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8"/>
  <workbookPr codeName="ThisWorkbook"/>
  <mc:AlternateContent xmlns:mc="http://schemas.openxmlformats.org/markup-compatibility/2006">
    <mc:Choice Requires="x15">
      <x15ac:absPath xmlns:x15ac="http://schemas.microsoft.com/office/spreadsheetml/2010/11/ac" url="https://valleesud.sharepoint.com/sites/Directionjuridiqueetcommandepublique/Documents partages/S7-DOSSIER MARCHES/Travaux/2025/25TRX08_AC Tvx Infra/01Prep/V2/PiècesTechniquesLot1/"/>
    </mc:Choice>
  </mc:AlternateContent>
  <xr:revisionPtr revIDLastSave="42" documentId="13_ncr:1_{4A589552-310A-4364-B9CE-F4EB948E7BDE}" xr6:coauthVersionLast="47" xr6:coauthVersionMax="47" xr10:uidLastSave="{66944D8A-968B-46D5-86E9-0D7A0F7B409A}"/>
  <bookViews>
    <workbookView xWindow="28680" yWindow="-120" windowWidth="29040" windowHeight="15840" firstSheet="1" activeTab="1" xr2:uid="{D8114ABD-7DD0-476C-9E08-4BC19B9DCEE5}"/>
  </bookViews>
  <sheets>
    <sheet name="malabrydet" sheetId="4" state="hidden" r:id="rId1"/>
    <sheet name="Bordereau des Prix Cadres Lot 1" sheetId="23" r:id="rId2"/>
  </sheets>
  <externalReferences>
    <externalReference r:id="rId3"/>
  </externalReferences>
  <definedNames>
    <definedName name="_xlnm._FilterDatabase" localSheetId="1" hidden="1">'Bordereau des Prix Cadres Lot 1'!$A$8:$D$5679</definedName>
    <definedName name="Comment" localSheetId="1">'Bordereau des Prix Cadres Lot 1'!#REF!</definedName>
    <definedName name="Desi" localSheetId="1">'Bordereau des Prix Cadres Lot 1'!$B:$B</definedName>
    <definedName name="Espaces_verts">'[1]Cahier de Prix'!$B$871:$B$1044</definedName>
    <definedName name="EURO">6.55957</definedName>
    <definedName name="Headers" localSheetId="1">'Bordereau des Prix Cadres Lot 1'!$8:$8</definedName>
    <definedName name="HT_0_HT01" localSheetId="1">'Bordereau des Prix Cadres Lot 1'!#REF!</definedName>
    <definedName name="HT_0_HT01">#REF!</definedName>
    <definedName name="_xlnm.Print_Titles" localSheetId="1">'Bordereau des Prix Cadres Lot 1'!$1:$8</definedName>
    <definedName name="L_1_10" localSheetId="1">'Bordereau des Prix Cadres Lot 1'!#REF!</definedName>
    <definedName name="L_1_100" localSheetId="1">'Bordereau des Prix Cadres Lot 1'!#REF!</definedName>
    <definedName name="L_1_1000" localSheetId="1">'Bordereau des Prix Cadres Lot 1'!#REF!</definedName>
    <definedName name="L_1_1001" localSheetId="1">'Bordereau des Prix Cadres Lot 1'!#REF!</definedName>
    <definedName name="L_1_1002" localSheetId="1">'Bordereau des Prix Cadres Lot 1'!#REF!</definedName>
    <definedName name="L_1_1003" localSheetId="1">'Bordereau des Prix Cadres Lot 1'!#REF!</definedName>
    <definedName name="L_1_1004" localSheetId="1">'Bordereau des Prix Cadres Lot 1'!#REF!</definedName>
    <definedName name="L_1_1005" localSheetId="1">'Bordereau des Prix Cadres Lot 1'!#REF!</definedName>
    <definedName name="L_1_1006" localSheetId="1">'Bordereau des Prix Cadres Lot 1'!#REF!</definedName>
    <definedName name="L_1_1007" localSheetId="1">'Bordereau des Prix Cadres Lot 1'!#REF!</definedName>
    <definedName name="L_1_1008" localSheetId="1">'Bordereau des Prix Cadres Lot 1'!#REF!</definedName>
    <definedName name="L_1_1009" localSheetId="1">'Bordereau des Prix Cadres Lot 1'!#REF!</definedName>
    <definedName name="L_1_101" localSheetId="1">'Bordereau des Prix Cadres Lot 1'!#REF!</definedName>
    <definedName name="L_1_1010" localSheetId="1">'Bordereau des Prix Cadres Lot 1'!#REF!</definedName>
    <definedName name="L_1_1011" localSheetId="1">'Bordereau des Prix Cadres Lot 1'!#REF!</definedName>
    <definedName name="L_1_1012" localSheetId="1">'Bordereau des Prix Cadres Lot 1'!#REF!</definedName>
    <definedName name="L_1_1013" localSheetId="1">'Bordereau des Prix Cadres Lot 1'!#REF!</definedName>
    <definedName name="L_1_1014" localSheetId="1">'Bordereau des Prix Cadres Lot 1'!#REF!</definedName>
    <definedName name="L_1_1015" localSheetId="1">'Bordereau des Prix Cadres Lot 1'!#REF!</definedName>
    <definedName name="L_1_1016" localSheetId="1">'Bordereau des Prix Cadres Lot 1'!#REF!</definedName>
    <definedName name="L_1_1017" localSheetId="1">'Bordereau des Prix Cadres Lot 1'!#REF!</definedName>
    <definedName name="L_1_1018" localSheetId="1">'Bordereau des Prix Cadres Lot 1'!#REF!</definedName>
    <definedName name="L_1_1019" localSheetId="1">'Bordereau des Prix Cadres Lot 1'!#REF!</definedName>
    <definedName name="L_1_102" localSheetId="1">'Bordereau des Prix Cadres Lot 1'!#REF!</definedName>
    <definedName name="L_1_1020" localSheetId="1">'Bordereau des Prix Cadres Lot 1'!#REF!</definedName>
    <definedName name="L_1_1021" localSheetId="1">'Bordereau des Prix Cadres Lot 1'!#REF!</definedName>
    <definedName name="L_1_1022" localSheetId="1">'Bordereau des Prix Cadres Lot 1'!#REF!</definedName>
    <definedName name="L_1_1023" localSheetId="1">'Bordereau des Prix Cadres Lot 1'!#REF!</definedName>
    <definedName name="L_1_1024" localSheetId="1">'Bordereau des Prix Cadres Lot 1'!#REF!</definedName>
    <definedName name="L_1_1025" localSheetId="1">'Bordereau des Prix Cadres Lot 1'!#REF!</definedName>
    <definedName name="L_1_1026" localSheetId="1">'Bordereau des Prix Cadres Lot 1'!#REF!</definedName>
    <definedName name="L_1_1027" localSheetId="1">'Bordereau des Prix Cadres Lot 1'!#REF!</definedName>
    <definedName name="L_1_1028" localSheetId="1">'Bordereau des Prix Cadres Lot 1'!#REF!</definedName>
    <definedName name="L_1_1029" localSheetId="1">'Bordereau des Prix Cadres Lot 1'!#REF!</definedName>
    <definedName name="L_1_103" localSheetId="1">'Bordereau des Prix Cadres Lot 1'!#REF!</definedName>
    <definedName name="L_1_1030" localSheetId="1">'Bordereau des Prix Cadres Lot 1'!#REF!</definedName>
    <definedName name="L_1_1031" localSheetId="1">'Bordereau des Prix Cadres Lot 1'!#REF!</definedName>
    <definedName name="L_1_1032" localSheetId="1">'Bordereau des Prix Cadres Lot 1'!#REF!</definedName>
    <definedName name="L_1_1033" localSheetId="1">'Bordereau des Prix Cadres Lot 1'!#REF!</definedName>
    <definedName name="L_1_1034" localSheetId="1">'Bordereau des Prix Cadres Lot 1'!#REF!</definedName>
    <definedName name="L_1_1035" localSheetId="1">'Bordereau des Prix Cadres Lot 1'!#REF!</definedName>
    <definedName name="L_1_1036" localSheetId="1">'Bordereau des Prix Cadres Lot 1'!#REF!</definedName>
    <definedName name="L_1_1037" localSheetId="1">'Bordereau des Prix Cadres Lot 1'!#REF!</definedName>
    <definedName name="L_1_1038" localSheetId="1">'Bordereau des Prix Cadres Lot 1'!#REF!</definedName>
    <definedName name="L_1_1039" localSheetId="1">'Bordereau des Prix Cadres Lot 1'!#REF!</definedName>
    <definedName name="L_1_104" localSheetId="1">'Bordereau des Prix Cadres Lot 1'!#REF!</definedName>
    <definedName name="L_1_1040" localSheetId="1">'Bordereau des Prix Cadres Lot 1'!#REF!</definedName>
    <definedName name="L_1_1041" localSheetId="1">'Bordereau des Prix Cadres Lot 1'!#REF!</definedName>
    <definedName name="L_1_1042" localSheetId="1">'Bordereau des Prix Cadres Lot 1'!#REF!</definedName>
    <definedName name="L_1_1043" localSheetId="1">'Bordereau des Prix Cadres Lot 1'!#REF!</definedName>
    <definedName name="L_1_1044" localSheetId="1">'Bordereau des Prix Cadres Lot 1'!#REF!</definedName>
    <definedName name="L_1_1045" localSheetId="1">'Bordereau des Prix Cadres Lot 1'!#REF!</definedName>
    <definedName name="L_1_1046" localSheetId="1">'Bordereau des Prix Cadres Lot 1'!#REF!</definedName>
    <definedName name="L_1_1047" localSheetId="1">'Bordereau des Prix Cadres Lot 1'!#REF!</definedName>
    <definedName name="L_1_1048" localSheetId="1">'Bordereau des Prix Cadres Lot 1'!#REF!</definedName>
    <definedName name="L_1_1049" localSheetId="1">'Bordereau des Prix Cadres Lot 1'!#REF!</definedName>
    <definedName name="L_1_105" localSheetId="1">'Bordereau des Prix Cadres Lot 1'!#REF!</definedName>
    <definedName name="L_1_1050" localSheetId="1">'Bordereau des Prix Cadres Lot 1'!#REF!</definedName>
    <definedName name="L_1_1051" localSheetId="1">'Bordereau des Prix Cadres Lot 1'!#REF!</definedName>
    <definedName name="L_1_1052" localSheetId="1">'Bordereau des Prix Cadres Lot 1'!#REF!</definedName>
    <definedName name="L_1_1053" localSheetId="1">'Bordereau des Prix Cadres Lot 1'!#REF!</definedName>
    <definedName name="L_1_1054" localSheetId="1">'Bordereau des Prix Cadres Lot 1'!#REF!</definedName>
    <definedName name="L_1_1055" localSheetId="1">'Bordereau des Prix Cadres Lot 1'!#REF!</definedName>
    <definedName name="L_1_1056" localSheetId="1">'Bordereau des Prix Cadres Lot 1'!#REF!</definedName>
    <definedName name="L_1_1057" localSheetId="1">'Bordereau des Prix Cadres Lot 1'!#REF!</definedName>
    <definedName name="L_1_1058" localSheetId="1">'Bordereau des Prix Cadres Lot 1'!#REF!</definedName>
    <definedName name="L_1_1059" localSheetId="1">'Bordereau des Prix Cadres Lot 1'!#REF!</definedName>
    <definedName name="L_1_106" localSheetId="1">'Bordereau des Prix Cadres Lot 1'!#REF!</definedName>
    <definedName name="L_1_1060" localSheetId="1">'Bordereau des Prix Cadres Lot 1'!#REF!</definedName>
    <definedName name="L_1_1061" localSheetId="1">'Bordereau des Prix Cadres Lot 1'!#REF!</definedName>
    <definedName name="L_1_1062" localSheetId="1">'Bordereau des Prix Cadres Lot 1'!#REF!</definedName>
    <definedName name="L_1_1063" localSheetId="1">'Bordereau des Prix Cadres Lot 1'!#REF!</definedName>
    <definedName name="L_1_1064" localSheetId="1">'Bordereau des Prix Cadres Lot 1'!#REF!</definedName>
    <definedName name="L_1_1065" localSheetId="1">'Bordereau des Prix Cadres Lot 1'!#REF!</definedName>
    <definedName name="L_1_1066" localSheetId="1">'Bordereau des Prix Cadres Lot 1'!#REF!</definedName>
    <definedName name="L_1_1067" localSheetId="1">'Bordereau des Prix Cadres Lot 1'!#REF!</definedName>
    <definedName name="L_1_1068" localSheetId="1">'Bordereau des Prix Cadres Lot 1'!#REF!</definedName>
    <definedName name="L_1_1069" localSheetId="1">'Bordereau des Prix Cadres Lot 1'!#REF!</definedName>
    <definedName name="L_1_107" localSheetId="1">'Bordereau des Prix Cadres Lot 1'!#REF!</definedName>
    <definedName name="L_1_1070" localSheetId="1">'Bordereau des Prix Cadres Lot 1'!#REF!</definedName>
    <definedName name="L_1_1071" localSheetId="1">'Bordereau des Prix Cadres Lot 1'!#REF!</definedName>
    <definedName name="L_1_1072" localSheetId="1">'Bordereau des Prix Cadres Lot 1'!#REF!</definedName>
    <definedName name="L_1_1073" localSheetId="1">'Bordereau des Prix Cadres Lot 1'!#REF!</definedName>
    <definedName name="L_1_1074" localSheetId="1">'Bordereau des Prix Cadres Lot 1'!#REF!</definedName>
    <definedName name="L_1_1075" localSheetId="1">'Bordereau des Prix Cadres Lot 1'!#REF!</definedName>
    <definedName name="L_1_1076" localSheetId="1">'Bordereau des Prix Cadres Lot 1'!#REF!</definedName>
    <definedName name="L_1_1077" localSheetId="1">'Bordereau des Prix Cadres Lot 1'!#REF!</definedName>
    <definedName name="L_1_1078" localSheetId="1">'Bordereau des Prix Cadres Lot 1'!#REF!</definedName>
    <definedName name="L_1_1079" localSheetId="1">'Bordereau des Prix Cadres Lot 1'!#REF!</definedName>
    <definedName name="L_1_108" localSheetId="1">'Bordereau des Prix Cadres Lot 1'!#REF!</definedName>
    <definedName name="L_1_1080" localSheetId="1">'Bordereau des Prix Cadres Lot 1'!#REF!</definedName>
    <definedName name="L_1_1081" localSheetId="1">'Bordereau des Prix Cadres Lot 1'!#REF!</definedName>
    <definedName name="L_1_1082" localSheetId="1">'Bordereau des Prix Cadres Lot 1'!#REF!</definedName>
    <definedName name="L_1_1083" localSheetId="1">'Bordereau des Prix Cadres Lot 1'!#REF!</definedName>
    <definedName name="L_1_1084" localSheetId="1">'Bordereau des Prix Cadres Lot 1'!#REF!</definedName>
    <definedName name="L_1_1085" localSheetId="1">'Bordereau des Prix Cadres Lot 1'!#REF!</definedName>
    <definedName name="L_1_1086" localSheetId="1">'Bordereau des Prix Cadres Lot 1'!#REF!</definedName>
    <definedName name="L_1_1087" localSheetId="1">'Bordereau des Prix Cadres Lot 1'!#REF!</definedName>
    <definedName name="L_1_1088" localSheetId="1">'Bordereau des Prix Cadres Lot 1'!#REF!</definedName>
    <definedName name="L_1_1089" localSheetId="1">'Bordereau des Prix Cadres Lot 1'!#REF!</definedName>
    <definedName name="L_1_109" localSheetId="1">'Bordereau des Prix Cadres Lot 1'!#REF!</definedName>
    <definedName name="L_1_1090" localSheetId="1">'Bordereau des Prix Cadres Lot 1'!#REF!</definedName>
    <definedName name="L_1_1091" localSheetId="1">'Bordereau des Prix Cadres Lot 1'!#REF!</definedName>
    <definedName name="L_1_1092" localSheetId="1">'Bordereau des Prix Cadres Lot 1'!#REF!</definedName>
    <definedName name="L_1_1093" localSheetId="1">'Bordereau des Prix Cadres Lot 1'!#REF!</definedName>
    <definedName name="L_1_1094" localSheetId="1">'Bordereau des Prix Cadres Lot 1'!#REF!</definedName>
    <definedName name="L_1_1095" localSheetId="1">'Bordereau des Prix Cadres Lot 1'!#REF!</definedName>
    <definedName name="L_1_1096" localSheetId="1">'Bordereau des Prix Cadres Lot 1'!#REF!</definedName>
    <definedName name="L_1_1097" localSheetId="1">'Bordereau des Prix Cadres Lot 1'!#REF!</definedName>
    <definedName name="L_1_1098" localSheetId="1">'Bordereau des Prix Cadres Lot 1'!#REF!</definedName>
    <definedName name="L_1_1099" localSheetId="1">'Bordereau des Prix Cadres Lot 1'!#REF!</definedName>
    <definedName name="L_1_11" localSheetId="1">'Bordereau des Prix Cadres Lot 1'!#REF!</definedName>
    <definedName name="L_1_110" localSheetId="1">'Bordereau des Prix Cadres Lot 1'!#REF!</definedName>
    <definedName name="L_1_1100" localSheetId="1">'Bordereau des Prix Cadres Lot 1'!#REF!</definedName>
    <definedName name="L_1_1101" localSheetId="1">'Bordereau des Prix Cadres Lot 1'!#REF!</definedName>
    <definedName name="L_1_1102" localSheetId="1">'Bordereau des Prix Cadres Lot 1'!#REF!</definedName>
    <definedName name="L_1_1103" localSheetId="1">'Bordereau des Prix Cadres Lot 1'!#REF!</definedName>
    <definedName name="L_1_1104" localSheetId="1">'Bordereau des Prix Cadres Lot 1'!#REF!</definedName>
    <definedName name="L_1_1105" localSheetId="1">'Bordereau des Prix Cadres Lot 1'!$2405:$2405</definedName>
    <definedName name="L_1_1106" localSheetId="1">'Bordereau des Prix Cadres Lot 1'!$2407:$2407</definedName>
    <definedName name="L_1_1107" localSheetId="1">'Bordereau des Prix Cadres Lot 1'!$2408:$2408</definedName>
    <definedName name="L_1_1108" localSheetId="1">'Bordereau des Prix Cadres Lot 1'!$2409:$2409</definedName>
    <definedName name="L_1_1109" localSheetId="1">'Bordereau des Prix Cadres Lot 1'!$2410:$2410</definedName>
    <definedName name="L_1_111" localSheetId="1">'Bordereau des Prix Cadres Lot 1'!#REF!</definedName>
    <definedName name="L_1_1110" localSheetId="1">'Bordereau des Prix Cadres Lot 1'!$2411:$2411</definedName>
    <definedName name="L_1_1111" localSheetId="1">'Bordereau des Prix Cadres Lot 1'!#REF!</definedName>
    <definedName name="L_1_1112" localSheetId="1">'Bordereau des Prix Cadres Lot 1'!#REF!</definedName>
    <definedName name="L_1_1113" localSheetId="1">'Bordereau des Prix Cadres Lot 1'!#REF!</definedName>
    <definedName name="L_1_1114" localSheetId="1">'Bordereau des Prix Cadres Lot 1'!#REF!</definedName>
    <definedName name="L_1_1115" localSheetId="1">'Bordereau des Prix Cadres Lot 1'!#REF!</definedName>
    <definedName name="L_1_1116" localSheetId="1">'Bordereau des Prix Cadres Lot 1'!#REF!</definedName>
    <definedName name="L_1_1117" localSheetId="1">'Bordereau des Prix Cadres Lot 1'!#REF!</definedName>
    <definedName name="L_1_1118" localSheetId="1">'Bordereau des Prix Cadres Lot 1'!#REF!</definedName>
    <definedName name="L_1_1119" localSheetId="1">'Bordereau des Prix Cadres Lot 1'!#REF!</definedName>
    <definedName name="L_1_112" localSheetId="1">'Bordereau des Prix Cadres Lot 1'!#REF!</definedName>
    <definedName name="L_1_1120" localSheetId="1">'Bordereau des Prix Cadres Lot 1'!#REF!</definedName>
    <definedName name="L_1_1121" localSheetId="1">'Bordereau des Prix Cadres Lot 1'!#REF!</definedName>
    <definedName name="L_1_1122" localSheetId="1">'Bordereau des Prix Cadres Lot 1'!#REF!</definedName>
    <definedName name="L_1_1123" localSheetId="1">'Bordereau des Prix Cadres Lot 1'!#REF!</definedName>
    <definedName name="L_1_1124" localSheetId="1">'Bordereau des Prix Cadres Lot 1'!#REF!</definedName>
    <definedName name="L_1_1125" localSheetId="1">'Bordereau des Prix Cadres Lot 1'!#REF!</definedName>
    <definedName name="L_1_1126" localSheetId="1">'Bordereau des Prix Cadres Lot 1'!#REF!</definedName>
    <definedName name="L_1_1127" localSheetId="1">'Bordereau des Prix Cadres Lot 1'!#REF!</definedName>
    <definedName name="L_1_1128" localSheetId="1">'Bordereau des Prix Cadres Lot 1'!#REF!</definedName>
    <definedName name="L_1_1129" localSheetId="1">'Bordereau des Prix Cadres Lot 1'!#REF!</definedName>
    <definedName name="L_1_113" localSheetId="1">'Bordereau des Prix Cadres Lot 1'!#REF!</definedName>
    <definedName name="L_1_1130" localSheetId="1">'Bordereau des Prix Cadres Lot 1'!#REF!</definedName>
    <definedName name="L_1_1131" localSheetId="1">'Bordereau des Prix Cadres Lot 1'!#REF!</definedName>
    <definedName name="L_1_1132" localSheetId="1">'Bordereau des Prix Cadres Lot 1'!#REF!</definedName>
    <definedName name="L_1_1133" localSheetId="1">'Bordereau des Prix Cadres Lot 1'!#REF!</definedName>
    <definedName name="L_1_1134" localSheetId="1">'Bordereau des Prix Cadres Lot 1'!#REF!</definedName>
    <definedName name="L_1_1135" localSheetId="1">'Bordereau des Prix Cadres Lot 1'!#REF!</definedName>
    <definedName name="L_1_1136" localSheetId="1">'Bordereau des Prix Cadres Lot 1'!#REF!</definedName>
    <definedName name="L_1_1137" localSheetId="1">'Bordereau des Prix Cadres Lot 1'!#REF!</definedName>
    <definedName name="L_1_1138" localSheetId="1">'Bordereau des Prix Cadres Lot 1'!#REF!</definedName>
    <definedName name="L_1_1139" localSheetId="1">'Bordereau des Prix Cadres Lot 1'!#REF!</definedName>
    <definedName name="L_1_114" localSheetId="1">'Bordereau des Prix Cadres Lot 1'!#REF!</definedName>
    <definedName name="L_1_1140" localSheetId="1">'Bordereau des Prix Cadres Lot 1'!#REF!</definedName>
    <definedName name="L_1_1141" localSheetId="1">'Bordereau des Prix Cadres Lot 1'!#REF!</definedName>
    <definedName name="L_1_1142" localSheetId="1">'Bordereau des Prix Cadres Lot 1'!$2414:$2414</definedName>
    <definedName name="L_1_1143" localSheetId="1">'Bordereau des Prix Cadres Lot 1'!$2415:$2415</definedName>
    <definedName name="L_1_1144" localSheetId="1">'Bordereau des Prix Cadres Lot 1'!$2417:$2417</definedName>
    <definedName name="L_1_1145" localSheetId="1">'Bordereau des Prix Cadres Lot 1'!#REF!</definedName>
    <definedName name="L_1_1146" localSheetId="1">'Bordereau des Prix Cadres Lot 1'!#REF!</definedName>
    <definedName name="L_1_1147" localSheetId="1">'Bordereau des Prix Cadres Lot 1'!#REF!</definedName>
    <definedName name="L_1_1148" localSheetId="1">'Bordereau des Prix Cadres Lot 1'!#REF!</definedName>
    <definedName name="L_1_1149" localSheetId="1">'Bordereau des Prix Cadres Lot 1'!#REF!</definedName>
    <definedName name="L_1_115" localSheetId="1">'Bordereau des Prix Cadres Lot 1'!#REF!</definedName>
    <definedName name="L_1_1150" localSheetId="1">'Bordereau des Prix Cadres Lot 1'!#REF!</definedName>
    <definedName name="L_1_1151" localSheetId="1">'Bordereau des Prix Cadres Lot 1'!#REF!</definedName>
    <definedName name="L_1_1152" localSheetId="1">'Bordereau des Prix Cadres Lot 1'!#REF!</definedName>
    <definedName name="L_1_1153" localSheetId="1">'Bordereau des Prix Cadres Lot 1'!#REF!</definedName>
    <definedName name="L_1_1154" localSheetId="1">'Bordereau des Prix Cadres Lot 1'!#REF!</definedName>
    <definedName name="L_1_1155" localSheetId="1">'Bordereau des Prix Cadres Lot 1'!#REF!</definedName>
    <definedName name="L_1_1156" localSheetId="1">'Bordereau des Prix Cadres Lot 1'!#REF!</definedName>
    <definedName name="L_1_1157" localSheetId="1">'Bordereau des Prix Cadres Lot 1'!#REF!</definedName>
    <definedName name="L_1_1158" localSheetId="1">'Bordereau des Prix Cadres Lot 1'!#REF!</definedName>
    <definedName name="L_1_1159" localSheetId="1">'Bordereau des Prix Cadres Lot 1'!#REF!</definedName>
    <definedName name="L_1_116" localSheetId="1">'Bordereau des Prix Cadres Lot 1'!#REF!</definedName>
    <definedName name="L_1_1160" localSheetId="1">'Bordereau des Prix Cadres Lot 1'!#REF!</definedName>
    <definedName name="L_1_1161" localSheetId="1">'Bordereau des Prix Cadres Lot 1'!#REF!</definedName>
    <definedName name="L_1_1162" localSheetId="1">'Bordereau des Prix Cadres Lot 1'!#REF!</definedName>
    <definedName name="L_1_1163" localSheetId="1">'Bordereau des Prix Cadres Lot 1'!#REF!</definedName>
    <definedName name="L_1_1164" localSheetId="1">'Bordereau des Prix Cadres Lot 1'!#REF!</definedName>
    <definedName name="L_1_1165" localSheetId="1">'Bordereau des Prix Cadres Lot 1'!#REF!</definedName>
    <definedName name="L_1_1166" localSheetId="1">'Bordereau des Prix Cadres Lot 1'!#REF!</definedName>
    <definedName name="L_1_1167" localSheetId="1">'Bordereau des Prix Cadres Lot 1'!#REF!</definedName>
    <definedName name="L_1_1168" localSheetId="1">'Bordereau des Prix Cadres Lot 1'!#REF!</definedName>
    <definedName name="L_1_1169" localSheetId="1">'Bordereau des Prix Cadres Lot 1'!#REF!</definedName>
    <definedName name="L_1_117" localSheetId="1">'Bordereau des Prix Cadres Lot 1'!#REF!</definedName>
    <definedName name="L_1_1170" localSheetId="1">'Bordereau des Prix Cadres Lot 1'!$2433:$2433</definedName>
    <definedName name="L_1_1171" localSheetId="1">'Bordereau des Prix Cadres Lot 1'!#REF!</definedName>
    <definedName name="L_1_1172" localSheetId="1">'Bordereau des Prix Cadres Lot 1'!#REF!</definedName>
    <definedName name="L_1_1173" localSheetId="1">'Bordereau des Prix Cadres Lot 1'!#REF!</definedName>
    <definedName name="L_1_1174" localSheetId="1">'Bordereau des Prix Cadres Lot 1'!#REF!</definedName>
    <definedName name="L_1_1175" localSheetId="1">'Bordereau des Prix Cadres Lot 1'!#REF!</definedName>
    <definedName name="L_1_1176" localSheetId="1">'Bordereau des Prix Cadres Lot 1'!#REF!</definedName>
    <definedName name="L_1_1177" localSheetId="1">'Bordereau des Prix Cadres Lot 1'!#REF!</definedName>
    <definedName name="L_1_1178" localSheetId="1">'Bordereau des Prix Cadres Lot 1'!#REF!</definedName>
    <definedName name="L_1_1179" localSheetId="1">'Bordereau des Prix Cadres Lot 1'!#REF!</definedName>
    <definedName name="L_1_118" localSheetId="1">'Bordereau des Prix Cadres Lot 1'!#REF!</definedName>
    <definedName name="L_1_1180" localSheetId="1">'Bordereau des Prix Cadres Lot 1'!#REF!</definedName>
    <definedName name="L_1_1181" localSheetId="1">'Bordereau des Prix Cadres Lot 1'!#REF!</definedName>
    <definedName name="L_1_1182" localSheetId="1">'Bordereau des Prix Cadres Lot 1'!#REF!</definedName>
    <definedName name="L_1_1183" localSheetId="1">'Bordereau des Prix Cadres Lot 1'!#REF!</definedName>
    <definedName name="L_1_1184" localSheetId="1">'Bordereau des Prix Cadres Lot 1'!#REF!</definedName>
    <definedName name="L_1_1185" localSheetId="1">'Bordereau des Prix Cadres Lot 1'!#REF!</definedName>
    <definedName name="L_1_1186" localSheetId="1">'Bordereau des Prix Cadres Lot 1'!#REF!</definedName>
    <definedName name="L_1_1187" localSheetId="1">'Bordereau des Prix Cadres Lot 1'!#REF!</definedName>
    <definedName name="L_1_1188" localSheetId="1">'Bordereau des Prix Cadres Lot 1'!#REF!</definedName>
    <definedName name="L_1_1189" localSheetId="1">'Bordereau des Prix Cadres Lot 1'!#REF!</definedName>
    <definedName name="L_1_119" localSheetId="1">'Bordereau des Prix Cadres Lot 1'!#REF!</definedName>
    <definedName name="L_1_1190" localSheetId="1">'Bordereau des Prix Cadres Lot 1'!#REF!</definedName>
    <definedName name="L_1_1191" localSheetId="1">'Bordereau des Prix Cadres Lot 1'!#REF!</definedName>
    <definedName name="L_1_1192" localSheetId="1">'Bordereau des Prix Cadres Lot 1'!#REF!</definedName>
    <definedName name="L_1_1193" localSheetId="1">'Bordereau des Prix Cadres Lot 1'!#REF!</definedName>
    <definedName name="L_1_1194" localSheetId="1">'Bordereau des Prix Cadres Lot 1'!#REF!</definedName>
    <definedName name="L_1_1195" localSheetId="1">'Bordereau des Prix Cadres Lot 1'!#REF!</definedName>
    <definedName name="L_1_1196" localSheetId="1">'Bordereau des Prix Cadres Lot 1'!#REF!</definedName>
    <definedName name="L_1_1197" localSheetId="1">'Bordereau des Prix Cadres Lot 1'!#REF!</definedName>
    <definedName name="L_1_1198" localSheetId="1">'Bordereau des Prix Cadres Lot 1'!#REF!</definedName>
    <definedName name="L_1_1199" localSheetId="1">'Bordereau des Prix Cadres Lot 1'!#REF!</definedName>
    <definedName name="L_1_12" localSheetId="1">'Bordereau des Prix Cadres Lot 1'!#REF!</definedName>
    <definedName name="L_1_120" localSheetId="1">'Bordereau des Prix Cadres Lot 1'!#REF!</definedName>
    <definedName name="L_1_1200" localSheetId="1">'Bordereau des Prix Cadres Lot 1'!#REF!</definedName>
    <definedName name="L_1_1201" localSheetId="1">'Bordereau des Prix Cadres Lot 1'!#REF!</definedName>
    <definedName name="L_1_1202" localSheetId="1">'Bordereau des Prix Cadres Lot 1'!#REF!</definedName>
    <definedName name="L_1_1203" localSheetId="1">'Bordereau des Prix Cadres Lot 1'!#REF!</definedName>
    <definedName name="L_1_1204" localSheetId="1">'Bordereau des Prix Cadres Lot 1'!$2435:$2435</definedName>
    <definedName name="L_1_1205" localSheetId="1">'Bordereau des Prix Cadres Lot 1'!#REF!</definedName>
    <definedName name="L_1_1206" localSheetId="1">'Bordereau des Prix Cadres Lot 1'!#REF!</definedName>
    <definedName name="L_1_1207" localSheetId="1">'Bordereau des Prix Cadres Lot 1'!#REF!</definedName>
    <definedName name="L_1_1208" localSheetId="1">'Bordereau des Prix Cadres Lot 1'!#REF!</definedName>
    <definedName name="L_1_1209" localSheetId="1">'Bordereau des Prix Cadres Lot 1'!#REF!</definedName>
    <definedName name="L_1_121" localSheetId="1">'Bordereau des Prix Cadres Lot 1'!$4879:$4879</definedName>
    <definedName name="L_1_1210" localSheetId="1">'Bordereau des Prix Cadres Lot 1'!#REF!</definedName>
    <definedName name="L_1_1211" localSheetId="1">'Bordereau des Prix Cadres Lot 1'!$2437:$2437</definedName>
    <definedName name="L_1_1212" localSheetId="1">'Bordereau des Prix Cadres Lot 1'!$2438:$2438</definedName>
    <definedName name="L_1_1213" localSheetId="1">'Bordereau des Prix Cadres Lot 1'!$2439:$2439</definedName>
    <definedName name="L_1_1214" localSheetId="1">'Bordereau des Prix Cadres Lot 1'!$2440:$2440</definedName>
    <definedName name="L_1_1215" localSheetId="1">'Bordereau des Prix Cadres Lot 1'!#REF!</definedName>
    <definedName name="L_1_1216" localSheetId="1">'Bordereau des Prix Cadres Lot 1'!$2443:$2443</definedName>
    <definedName name="L_1_1217" localSheetId="1">'Bordereau des Prix Cadres Lot 1'!#REF!</definedName>
    <definedName name="L_1_1218" localSheetId="1">'Bordereau des Prix Cadres Lot 1'!#REF!</definedName>
    <definedName name="L_1_1219" localSheetId="1">'Bordereau des Prix Cadres Lot 1'!#REF!</definedName>
    <definedName name="L_1_122" localSheetId="1">'Bordereau des Prix Cadres Lot 1'!$4883:$4883</definedName>
    <definedName name="L_1_1220" localSheetId="1">'Bordereau des Prix Cadres Lot 1'!#REF!</definedName>
    <definedName name="L_1_1221" localSheetId="1">'Bordereau des Prix Cadres Lot 1'!#REF!</definedName>
    <definedName name="L_1_1222" localSheetId="1">'Bordereau des Prix Cadres Lot 1'!#REF!</definedName>
    <definedName name="L_1_1223" localSheetId="1">'Bordereau des Prix Cadres Lot 1'!#REF!</definedName>
    <definedName name="L_1_1224" localSheetId="1">'Bordereau des Prix Cadres Lot 1'!#REF!</definedName>
    <definedName name="L_1_1225" localSheetId="1">'Bordereau des Prix Cadres Lot 1'!#REF!</definedName>
    <definedName name="L_1_1226" localSheetId="1">'Bordereau des Prix Cadres Lot 1'!#REF!</definedName>
    <definedName name="L_1_1227" localSheetId="1">'Bordereau des Prix Cadres Lot 1'!#REF!</definedName>
    <definedName name="L_1_1228" localSheetId="1">'Bordereau des Prix Cadres Lot 1'!#REF!</definedName>
    <definedName name="L_1_1229" localSheetId="1">'Bordereau des Prix Cadres Lot 1'!#REF!</definedName>
    <definedName name="L_1_123" localSheetId="1">'Bordereau des Prix Cadres Lot 1'!$4887:$4887</definedName>
    <definedName name="L_1_1230" localSheetId="1">'Bordereau des Prix Cadres Lot 1'!#REF!</definedName>
    <definedName name="L_1_1231" localSheetId="1">'Bordereau des Prix Cadres Lot 1'!#REF!</definedName>
    <definedName name="L_1_1232" localSheetId="1">'Bordereau des Prix Cadres Lot 1'!#REF!</definedName>
    <definedName name="L_1_1233" localSheetId="1">'Bordereau des Prix Cadres Lot 1'!#REF!</definedName>
    <definedName name="L_1_1234" localSheetId="1">'Bordereau des Prix Cadres Lot 1'!#REF!</definedName>
    <definedName name="L_1_1235" localSheetId="1">'Bordereau des Prix Cadres Lot 1'!#REF!</definedName>
    <definedName name="L_1_1236" localSheetId="1">'Bordereau des Prix Cadres Lot 1'!#REF!</definedName>
    <definedName name="L_1_1237" localSheetId="1">'Bordereau des Prix Cadres Lot 1'!#REF!</definedName>
    <definedName name="L_1_1238" localSheetId="1">'Bordereau des Prix Cadres Lot 1'!#REF!</definedName>
    <definedName name="L_1_1239" localSheetId="1">'Bordereau des Prix Cadres Lot 1'!$2483:$2483</definedName>
    <definedName name="L_1_124" localSheetId="1">'Bordereau des Prix Cadres Lot 1'!$4890:$4890</definedName>
    <definedName name="L_1_1240" localSheetId="1">'Bordereau des Prix Cadres Lot 1'!$2484:$2484</definedName>
    <definedName name="L_1_1241" localSheetId="1">'Bordereau des Prix Cadres Lot 1'!$2485:$2485</definedName>
    <definedName name="L_1_1242" localSheetId="1">'Bordereau des Prix Cadres Lot 1'!#REF!</definedName>
    <definedName name="L_1_1243" localSheetId="1">'Bordereau des Prix Cadres Lot 1'!#REF!</definedName>
    <definedName name="L_1_1244" localSheetId="1">'Bordereau des Prix Cadres Lot 1'!#REF!</definedName>
    <definedName name="L_1_1245" localSheetId="1">'Bordereau des Prix Cadres Lot 1'!#REF!</definedName>
    <definedName name="L_1_1246" localSheetId="1">'Bordereau des Prix Cadres Lot 1'!#REF!</definedName>
    <definedName name="L_1_1247" localSheetId="1">'Bordereau des Prix Cadres Lot 1'!#REF!</definedName>
    <definedName name="L_1_1248" localSheetId="1">'Bordereau des Prix Cadres Lot 1'!#REF!</definedName>
    <definedName name="L_1_1249" localSheetId="1">'Bordereau des Prix Cadres Lot 1'!#REF!</definedName>
    <definedName name="L_1_125" localSheetId="1">'Bordereau des Prix Cadres Lot 1'!$4893:$4893</definedName>
    <definedName name="L_1_1250" localSheetId="1">'Bordereau des Prix Cadres Lot 1'!#REF!</definedName>
    <definedName name="L_1_1251" localSheetId="1">'Bordereau des Prix Cadres Lot 1'!#REF!</definedName>
    <definedName name="L_1_1252" localSheetId="1">'Bordereau des Prix Cadres Lot 1'!#REF!</definedName>
    <definedName name="L_1_1253" localSheetId="1">'Bordereau des Prix Cadres Lot 1'!#REF!</definedName>
    <definedName name="L_1_1254" localSheetId="1">'Bordereau des Prix Cadres Lot 1'!#REF!</definedName>
    <definedName name="L_1_1255" localSheetId="1">'Bordereau des Prix Cadres Lot 1'!#REF!</definedName>
    <definedName name="L_1_1256" localSheetId="1">'Bordereau des Prix Cadres Lot 1'!#REF!</definedName>
    <definedName name="L_1_1257" localSheetId="1">'Bordereau des Prix Cadres Lot 1'!#REF!</definedName>
    <definedName name="L_1_1258" localSheetId="1">'Bordereau des Prix Cadres Lot 1'!#REF!</definedName>
    <definedName name="L_1_1259" localSheetId="1">'Bordereau des Prix Cadres Lot 1'!$2497:$2497</definedName>
    <definedName name="L_1_126" localSheetId="1">'Bordereau des Prix Cadres Lot 1'!$4896:$4896</definedName>
    <definedName name="L_1_1260" localSheetId="1">'Bordereau des Prix Cadres Lot 1'!#REF!</definedName>
    <definedName name="L_1_1261" localSheetId="1">'Bordereau des Prix Cadres Lot 1'!#REF!</definedName>
    <definedName name="L_1_1262" localSheetId="1">'Bordereau des Prix Cadres Lot 1'!#REF!</definedName>
    <definedName name="L_1_1263" localSheetId="1">'Bordereau des Prix Cadres Lot 1'!#REF!</definedName>
    <definedName name="L_1_1264" localSheetId="1">'Bordereau des Prix Cadres Lot 1'!#REF!</definedName>
    <definedName name="L_1_1265" localSheetId="1">'Bordereau des Prix Cadres Lot 1'!#REF!</definedName>
    <definedName name="L_1_1266" localSheetId="1">'Bordereau des Prix Cadres Lot 1'!#REF!</definedName>
    <definedName name="L_1_1267" localSheetId="1">'Bordereau des Prix Cadres Lot 1'!#REF!</definedName>
    <definedName name="L_1_1268" localSheetId="1">'Bordereau des Prix Cadres Lot 1'!#REF!</definedName>
    <definedName name="L_1_1269" localSheetId="1">'Bordereau des Prix Cadres Lot 1'!$2500:$2500</definedName>
    <definedName name="L_1_127" localSheetId="1">'Bordereau des Prix Cadres Lot 1'!#REF!</definedName>
    <definedName name="L_1_1270" localSheetId="1">'Bordereau des Prix Cadres Lot 1'!$2501:$2501</definedName>
    <definedName name="L_1_1271" localSheetId="1">'Bordereau des Prix Cadres Lot 1'!$2502:$2502</definedName>
    <definedName name="L_1_1272" localSheetId="1">'Bordereau des Prix Cadres Lot 1'!$2503:$2503</definedName>
    <definedName name="L_1_1273" localSheetId="1">'Bordereau des Prix Cadres Lot 1'!$2504:$2504</definedName>
    <definedName name="L_1_1274" localSheetId="1">'Bordereau des Prix Cadres Lot 1'!$2505:$2505</definedName>
    <definedName name="L_1_1275" localSheetId="1">'Bordereau des Prix Cadres Lot 1'!#REF!</definedName>
    <definedName name="L_1_1276" localSheetId="1">'Bordereau des Prix Cadres Lot 1'!$2512:$2512</definedName>
    <definedName name="L_1_1277" localSheetId="1">'Bordereau des Prix Cadres Lot 1'!$2513:$2513</definedName>
    <definedName name="L_1_1278" localSheetId="1">'Bordereau des Prix Cadres Lot 1'!$2514:$2514</definedName>
    <definedName name="L_1_1279" localSheetId="1">'Bordereau des Prix Cadres Lot 1'!$2515:$2515</definedName>
    <definedName name="L_1_128" localSheetId="1">'Bordereau des Prix Cadres Lot 1'!$4778:$4778</definedName>
    <definedName name="L_1_1280" localSheetId="1">'Bordereau des Prix Cadres Lot 1'!$2516:$2516</definedName>
    <definedName name="L_1_1281" localSheetId="1">'Bordereau des Prix Cadres Lot 1'!$2517:$2517</definedName>
    <definedName name="L_1_1282" localSheetId="1">'Bordereau des Prix Cadres Lot 1'!$2518:$2518</definedName>
    <definedName name="L_1_1283" localSheetId="1">'Bordereau des Prix Cadres Lot 1'!$2519:$2519</definedName>
    <definedName name="L_1_1284" localSheetId="1">'Bordereau des Prix Cadres Lot 1'!$2520:$2520</definedName>
    <definedName name="L_1_1285" localSheetId="1">'Bordereau des Prix Cadres Lot 1'!$2529:$2529</definedName>
    <definedName name="L_1_1286" localSheetId="1">'Bordereau des Prix Cadres Lot 1'!$2539:$2539</definedName>
    <definedName name="L_1_1287" localSheetId="1">'Bordereau des Prix Cadres Lot 1'!$2549:$2549</definedName>
    <definedName name="L_1_1288" localSheetId="1">'Bordereau des Prix Cadres Lot 1'!$2550:$2550</definedName>
    <definedName name="L_1_1289" localSheetId="1">'Bordereau des Prix Cadres Lot 1'!#REF!</definedName>
    <definedName name="L_1_129" localSheetId="1">'Bordereau des Prix Cadres Lot 1'!$4779:$4779</definedName>
    <definedName name="L_1_1290" localSheetId="1">'Bordereau des Prix Cadres Lot 1'!$2567:$2567</definedName>
    <definedName name="L_1_1291" localSheetId="1">'Bordereau des Prix Cadres Lot 1'!$2568:$2568</definedName>
    <definedName name="L_1_1292" localSheetId="1">'Bordereau des Prix Cadres Lot 1'!#REF!</definedName>
    <definedName name="L_1_1293" localSheetId="1">'Bordereau des Prix Cadres Lot 1'!$2592:$2592</definedName>
    <definedName name="L_1_1294" localSheetId="1">'Bordereau des Prix Cadres Lot 1'!#REF!</definedName>
    <definedName name="L_1_1295" localSheetId="1">'Bordereau des Prix Cadres Lot 1'!#REF!</definedName>
    <definedName name="L_1_1296" localSheetId="1">'Bordereau des Prix Cadres Lot 1'!#REF!</definedName>
    <definedName name="L_1_1297" localSheetId="1">'Bordereau des Prix Cadres Lot 1'!#REF!</definedName>
    <definedName name="L_1_1298" localSheetId="1">'Bordereau des Prix Cadres Lot 1'!#REF!</definedName>
    <definedName name="L_1_1299" localSheetId="1">'Bordereau des Prix Cadres Lot 1'!#REF!</definedName>
    <definedName name="L_1_13" localSheetId="1">'Bordereau des Prix Cadres Lot 1'!$44:$44</definedName>
    <definedName name="L_1_130" localSheetId="1">'Bordereau des Prix Cadres Lot 1'!$4780:$4780</definedName>
    <definedName name="L_1_1300" localSheetId="1">'Bordereau des Prix Cadres Lot 1'!#REF!</definedName>
    <definedName name="L_1_1301" localSheetId="1">'Bordereau des Prix Cadres Lot 1'!#REF!</definedName>
    <definedName name="L_1_1302" localSheetId="1">'Bordereau des Prix Cadres Lot 1'!#REF!</definedName>
    <definedName name="L_1_1303" localSheetId="1">'Bordereau des Prix Cadres Lot 1'!#REF!</definedName>
    <definedName name="L_1_1304" localSheetId="1">'Bordereau des Prix Cadres Lot 1'!#REF!</definedName>
    <definedName name="L_1_1305" localSheetId="1">'Bordereau des Prix Cadres Lot 1'!#REF!</definedName>
    <definedName name="L_1_1306" localSheetId="1">'Bordereau des Prix Cadres Lot 1'!#REF!</definedName>
    <definedName name="L_1_1307" localSheetId="1">'Bordereau des Prix Cadres Lot 1'!#REF!</definedName>
    <definedName name="L_1_1308" localSheetId="1">'Bordereau des Prix Cadres Lot 1'!#REF!</definedName>
    <definedName name="L_1_1309" localSheetId="1">'Bordereau des Prix Cadres Lot 1'!#REF!</definedName>
    <definedName name="L_1_131" localSheetId="1">'Bordereau des Prix Cadres Lot 1'!$4781:$4781</definedName>
    <definedName name="L_1_1310" localSheetId="1">'Bordereau des Prix Cadres Lot 1'!#REF!</definedName>
    <definedName name="L_1_1311" localSheetId="1">'Bordereau des Prix Cadres Lot 1'!#REF!</definedName>
    <definedName name="L_1_1312" localSheetId="1">'Bordereau des Prix Cadres Lot 1'!#REF!</definedName>
    <definedName name="L_1_1313" localSheetId="1">'Bordereau des Prix Cadres Lot 1'!#REF!</definedName>
    <definedName name="L_1_1314" localSheetId="1">'Bordereau des Prix Cadres Lot 1'!#REF!</definedName>
    <definedName name="L_1_1315" localSheetId="1">'Bordereau des Prix Cadres Lot 1'!#REF!</definedName>
    <definedName name="L_1_1316" localSheetId="1">'Bordereau des Prix Cadres Lot 1'!$2671:$2671</definedName>
    <definedName name="L_1_1317" localSheetId="1">'Bordereau des Prix Cadres Lot 1'!#REF!</definedName>
    <definedName name="L_1_1318" localSheetId="1">'Bordereau des Prix Cadres Lot 1'!#REF!</definedName>
    <definedName name="L_1_1319" localSheetId="1">'Bordereau des Prix Cadres Lot 1'!$2681:$2681</definedName>
    <definedName name="L_1_132" localSheetId="1">'Bordereau des Prix Cadres Lot 1'!$4782:$4782</definedName>
    <definedName name="L_1_1320" localSheetId="1">'Bordereau des Prix Cadres Lot 1'!$2706:$2706</definedName>
    <definedName name="L_1_1321" localSheetId="1">'Bordereau des Prix Cadres Lot 1'!$2849:$2849</definedName>
    <definedName name="L_1_1322" localSheetId="1">'Bordereau des Prix Cadres Lot 1'!$2851:$2851</definedName>
    <definedName name="L_1_1323" localSheetId="1">'Bordereau des Prix Cadres Lot 1'!$2854:$2854</definedName>
    <definedName name="L_1_1324" localSheetId="1">'Bordereau des Prix Cadres Lot 1'!$2855:$2855</definedName>
    <definedName name="L_1_1325" localSheetId="1">'Bordereau des Prix Cadres Lot 1'!$2856:$2856</definedName>
    <definedName name="L_1_1326" localSheetId="1">'Bordereau des Prix Cadres Lot 1'!$2859:$2859</definedName>
    <definedName name="L_1_1327" localSheetId="1">'Bordereau des Prix Cadres Lot 1'!$2860:$2860</definedName>
    <definedName name="L_1_1328" localSheetId="1">'Bordereau des Prix Cadres Lot 1'!$2861:$2861</definedName>
    <definedName name="L_1_1329" localSheetId="1">'Bordereau des Prix Cadres Lot 1'!$2863:$2863</definedName>
    <definedName name="L_1_133" localSheetId="1">'Bordereau des Prix Cadres Lot 1'!$4783:$4783</definedName>
    <definedName name="L_1_1330" localSheetId="1">'Bordereau des Prix Cadres Lot 1'!$2869:$2869</definedName>
    <definedName name="L_1_1331" localSheetId="1">'Bordereau des Prix Cadres Lot 1'!#REF!</definedName>
    <definedName name="L_1_1332" localSheetId="1">'Bordereau des Prix Cadres Lot 1'!$2872:$2872</definedName>
    <definedName name="L_1_1333" localSheetId="1">'Bordereau des Prix Cadres Lot 1'!$2873:$2873</definedName>
    <definedName name="L_1_1334" localSheetId="1">'Bordereau des Prix Cadres Lot 1'!#REF!</definedName>
    <definedName name="L_1_1335" localSheetId="1">'Bordereau des Prix Cadres Lot 1'!#REF!</definedName>
    <definedName name="L_1_1336" localSheetId="1">'Bordereau des Prix Cadres Lot 1'!#REF!</definedName>
    <definedName name="L_1_1337" localSheetId="1">'Bordereau des Prix Cadres Lot 1'!#REF!</definedName>
    <definedName name="L_1_1338" localSheetId="1">'Bordereau des Prix Cadres Lot 1'!#REF!</definedName>
    <definedName name="L_1_1339" localSheetId="1">'Bordereau des Prix Cadres Lot 1'!#REF!</definedName>
    <definedName name="L_1_134" localSheetId="1">'Bordereau des Prix Cadres Lot 1'!#REF!</definedName>
    <definedName name="L_1_1340" localSheetId="1">'Bordereau des Prix Cadres Lot 1'!#REF!</definedName>
    <definedName name="L_1_1341" localSheetId="1">'Bordereau des Prix Cadres Lot 1'!#REF!</definedName>
    <definedName name="L_1_1342" localSheetId="1">'Bordereau des Prix Cadres Lot 1'!#REF!</definedName>
    <definedName name="L_1_1343" localSheetId="1">'Bordereau des Prix Cadres Lot 1'!#REF!</definedName>
    <definedName name="L_1_1344" localSheetId="1">'Bordereau des Prix Cadres Lot 1'!#REF!</definedName>
    <definedName name="L_1_1345" localSheetId="1">'Bordereau des Prix Cadres Lot 1'!#REF!</definedName>
    <definedName name="L_1_1346" localSheetId="1">'Bordereau des Prix Cadres Lot 1'!#REF!</definedName>
    <definedName name="L_1_1347" localSheetId="1">'Bordereau des Prix Cadres Lot 1'!#REF!</definedName>
    <definedName name="L_1_1348" localSheetId="1">'Bordereau des Prix Cadres Lot 1'!#REF!</definedName>
    <definedName name="L_1_1349" localSheetId="1">'Bordereau des Prix Cadres Lot 1'!#REF!</definedName>
    <definedName name="L_1_135" localSheetId="1">'Bordereau des Prix Cadres Lot 1'!$4794:$4794</definedName>
    <definedName name="L_1_1350" localSheetId="1">'Bordereau des Prix Cadres Lot 1'!#REF!</definedName>
    <definedName name="L_1_1351" localSheetId="1">'Bordereau des Prix Cadres Lot 1'!#REF!</definedName>
    <definedName name="L_1_1352" localSheetId="1">'Bordereau des Prix Cadres Lot 1'!#REF!</definedName>
    <definedName name="L_1_1353" localSheetId="1">'Bordereau des Prix Cadres Lot 1'!#REF!</definedName>
    <definedName name="L_1_1354" localSheetId="1">'Bordereau des Prix Cadres Lot 1'!$3464:$3464</definedName>
    <definedName name="L_1_1355" localSheetId="1">'Bordereau des Prix Cadres Lot 1'!$3465:$3465</definedName>
    <definedName name="L_1_1356" localSheetId="1">'Bordereau des Prix Cadres Lot 1'!$3466:$3466</definedName>
    <definedName name="L_1_1357" localSheetId="1">'Bordereau des Prix Cadres Lot 1'!$3467:$3467</definedName>
    <definedName name="L_1_1358" localSheetId="1">'Bordereau des Prix Cadres Lot 1'!$3468:$3468</definedName>
    <definedName name="L_1_1359" localSheetId="1">'Bordereau des Prix Cadres Lot 1'!$3469:$3469</definedName>
    <definedName name="L_1_136" localSheetId="1">'Bordereau des Prix Cadres Lot 1'!$4795:$4795</definedName>
    <definedName name="L_1_1360" localSheetId="1">'Bordereau des Prix Cadres Lot 1'!$3470:$3470</definedName>
    <definedName name="L_1_1361" localSheetId="1">'Bordereau des Prix Cadres Lot 1'!$3471:$3471</definedName>
    <definedName name="L_1_1362" localSheetId="1">'Bordereau des Prix Cadres Lot 1'!#REF!</definedName>
    <definedName name="L_1_1363" localSheetId="1">'Bordereau des Prix Cadres Lot 1'!#REF!</definedName>
    <definedName name="L_1_1364" localSheetId="1">'Bordereau des Prix Cadres Lot 1'!#REF!</definedName>
    <definedName name="L_1_1365" localSheetId="1">'Bordereau des Prix Cadres Lot 1'!#REF!</definedName>
    <definedName name="L_1_1366" localSheetId="1">'Bordereau des Prix Cadres Lot 1'!#REF!</definedName>
    <definedName name="L_1_1367" localSheetId="1">'Bordereau des Prix Cadres Lot 1'!#REF!</definedName>
    <definedName name="L_1_1368" localSheetId="1">'Bordereau des Prix Cadres Lot 1'!#REF!</definedName>
    <definedName name="L_1_1369" localSheetId="1">'Bordereau des Prix Cadres Lot 1'!#REF!</definedName>
    <definedName name="L_1_137" localSheetId="1">'Bordereau des Prix Cadres Lot 1'!$4796:$4796</definedName>
    <definedName name="L_1_1370" localSheetId="1">'Bordereau des Prix Cadres Lot 1'!#REF!</definedName>
    <definedName name="L_1_1371" localSheetId="1">'Bordereau des Prix Cadres Lot 1'!#REF!</definedName>
    <definedName name="L_1_1372" localSheetId="1">'Bordereau des Prix Cadres Lot 1'!#REF!</definedName>
    <definedName name="L_1_1373" localSheetId="1">'Bordereau des Prix Cadres Lot 1'!$3485:$3485</definedName>
    <definedName name="L_1_1374" localSheetId="1">'Bordereau des Prix Cadres Lot 1'!$3486:$3486</definedName>
    <definedName name="L_1_1375" localSheetId="1">'Bordereau des Prix Cadres Lot 1'!$3487:$3487</definedName>
    <definedName name="L_1_1376" localSheetId="1">'Bordereau des Prix Cadres Lot 1'!$3488:$3488</definedName>
    <definedName name="L_1_1377" localSheetId="1">'Bordereau des Prix Cadres Lot 1'!$3489:$3489</definedName>
    <definedName name="L_1_1378" localSheetId="1">'Bordereau des Prix Cadres Lot 1'!$3490:$3490</definedName>
    <definedName name="L_1_1379" localSheetId="1">'Bordereau des Prix Cadres Lot 1'!#REF!</definedName>
    <definedName name="L_1_138" localSheetId="1">'Bordereau des Prix Cadres Lot 1'!$4797:$4797</definedName>
    <definedName name="L_1_1380" localSheetId="1">'Bordereau des Prix Cadres Lot 1'!#REF!</definedName>
    <definedName name="L_1_1381" localSheetId="1">'Bordereau des Prix Cadres Lot 1'!#REF!</definedName>
    <definedName name="L_1_1382" localSheetId="1">'Bordereau des Prix Cadres Lot 1'!#REF!</definedName>
    <definedName name="L_1_1383" localSheetId="1">'Bordereau des Prix Cadres Lot 1'!#REF!</definedName>
    <definedName name="L_1_1384" localSheetId="1">'Bordereau des Prix Cadres Lot 1'!#REF!</definedName>
    <definedName name="L_1_1385" localSheetId="1">'Bordereau des Prix Cadres Lot 1'!#REF!</definedName>
    <definedName name="L_1_1386" localSheetId="1">'Bordereau des Prix Cadres Lot 1'!#REF!</definedName>
    <definedName name="L_1_1387" localSheetId="1">'Bordereau des Prix Cadres Lot 1'!#REF!</definedName>
    <definedName name="L_1_1388" localSheetId="1">'Bordereau des Prix Cadres Lot 1'!#REF!</definedName>
    <definedName name="L_1_1389" localSheetId="1">'Bordereau des Prix Cadres Lot 1'!#REF!</definedName>
    <definedName name="L_1_139" localSheetId="1">'Bordereau des Prix Cadres Lot 1'!$4798:$4798</definedName>
    <definedName name="L_1_1390" localSheetId="1">'Bordereau des Prix Cadres Lot 1'!#REF!</definedName>
    <definedName name="L_1_1391" localSheetId="1">'Bordereau des Prix Cadres Lot 1'!#REF!</definedName>
    <definedName name="L_1_1392" localSheetId="1">'Bordereau des Prix Cadres Lot 1'!#REF!</definedName>
    <definedName name="L_1_1393" localSheetId="1">'Bordereau des Prix Cadres Lot 1'!#REF!</definedName>
    <definedName name="L_1_1394" localSheetId="1">'Bordereau des Prix Cadres Lot 1'!#REF!</definedName>
    <definedName name="L_1_1395" localSheetId="1">'Bordereau des Prix Cadres Lot 1'!#REF!</definedName>
    <definedName name="L_1_1396" localSheetId="1">'Bordereau des Prix Cadres Lot 1'!#REF!</definedName>
    <definedName name="L_1_1397" localSheetId="1">'Bordereau des Prix Cadres Lot 1'!#REF!</definedName>
    <definedName name="L_1_1398" localSheetId="1">'Bordereau des Prix Cadres Lot 1'!#REF!</definedName>
    <definedName name="L_1_1399" localSheetId="1">'Bordereau des Prix Cadres Lot 1'!#REF!</definedName>
    <definedName name="L_1_14" localSheetId="1">'Bordereau des Prix Cadres Lot 1'!$45:$45</definedName>
    <definedName name="L_1_140" localSheetId="1">'Bordereau des Prix Cadres Lot 1'!$4799:$4799</definedName>
    <definedName name="L_1_1400" localSheetId="1">'Bordereau des Prix Cadres Lot 1'!#REF!</definedName>
    <definedName name="L_1_1401" localSheetId="1">'Bordereau des Prix Cadres Lot 1'!#REF!</definedName>
    <definedName name="L_1_1402" localSheetId="1">'Bordereau des Prix Cadres Lot 1'!#REF!</definedName>
    <definedName name="L_1_1403" localSheetId="1">'Bordereau des Prix Cadres Lot 1'!#REF!</definedName>
    <definedName name="L_1_1404" localSheetId="1">'Bordereau des Prix Cadres Lot 1'!#REF!</definedName>
    <definedName name="L_1_1405" localSheetId="1">'Bordereau des Prix Cadres Lot 1'!#REF!</definedName>
    <definedName name="L_1_1406" localSheetId="1">'Bordereau des Prix Cadres Lot 1'!#REF!</definedName>
    <definedName name="L_1_1407" localSheetId="1">'Bordereau des Prix Cadres Lot 1'!#REF!</definedName>
    <definedName name="L_1_1408" localSheetId="1">'Bordereau des Prix Cadres Lot 1'!#REF!</definedName>
    <definedName name="L_1_1409" localSheetId="1">'Bordereau des Prix Cadres Lot 1'!#REF!</definedName>
    <definedName name="L_1_141" localSheetId="1">'Bordereau des Prix Cadres Lot 1'!#REF!</definedName>
    <definedName name="L_1_1410" localSheetId="1">'Bordereau des Prix Cadres Lot 1'!#REF!</definedName>
    <definedName name="L_1_1411" localSheetId="1">'Bordereau des Prix Cadres Lot 1'!#REF!</definedName>
    <definedName name="L_1_1412" localSheetId="1">'Bordereau des Prix Cadres Lot 1'!#REF!</definedName>
    <definedName name="L_1_1413" localSheetId="1">'Bordereau des Prix Cadres Lot 1'!#REF!</definedName>
    <definedName name="L_1_1414" localSheetId="1">'Bordereau des Prix Cadres Lot 1'!#REF!</definedName>
    <definedName name="L_1_1415" localSheetId="1">'Bordereau des Prix Cadres Lot 1'!#REF!</definedName>
    <definedName name="L_1_1416" localSheetId="1">'Bordereau des Prix Cadres Lot 1'!$3499:$3499</definedName>
    <definedName name="L_1_1417" localSheetId="1">'Bordereau des Prix Cadres Lot 1'!#REF!</definedName>
    <definedName name="L_1_1418" localSheetId="1">'Bordereau des Prix Cadres Lot 1'!#REF!</definedName>
    <definedName name="L_1_1419" localSheetId="1">'Bordereau des Prix Cadres Lot 1'!#REF!</definedName>
    <definedName name="L_1_142" localSheetId="1">'Bordereau des Prix Cadres Lot 1'!#REF!</definedName>
    <definedName name="L_1_1420" localSheetId="1">'Bordereau des Prix Cadres Lot 1'!#REF!</definedName>
    <definedName name="L_1_1421" localSheetId="1">'Bordereau des Prix Cadres Lot 1'!#REF!</definedName>
    <definedName name="L_1_1422" localSheetId="1">'Bordereau des Prix Cadres Lot 1'!#REF!</definedName>
    <definedName name="L_1_1423" localSheetId="1">'Bordereau des Prix Cadres Lot 1'!#REF!</definedName>
    <definedName name="L_1_1424" localSheetId="1">'Bordereau des Prix Cadres Lot 1'!#REF!</definedName>
    <definedName name="L_1_1425" localSheetId="1">'Bordereau des Prix Cadres Lot 1'!$3551:$3551</definedName>
    <definedName name="L_1_1426" localSheetId="1">'Bordereau des Prix Cadres Lot 1'!$3552:$3552</definedName>
    <definedName name="L_1_1427" localSheetId="1">'Bordereau des Prix Cadres Lot 1'!$3553:$3553</definedName>
    <definedName name="L_1_1428" localSheetId="1">'Bordereau des Prix Cadres Lot 1'!$3554:$3554</definedName>
    <definedName name="L_1_1429" localSheetId="1">'Bordereau des Prix Cadres Lot 1'!$3555:$3555</definedName>
    <definedName name="L_1_143" localSheetId="1">'Bordereau des Prix Cadres Lot 1'!#REF!</definedName>
    <definedName name="L_1_1430" localSheetId="1">'Bordereau des Prix Cadres Lot 1'!$3556:$3556</definedName>
    <definedName name="L_1_1431" localSheetId="1">'Bordereau des Prix Cadres Lot 1'!$3557:$3557</definedName>
    <definedName name="L_1_1432" localSheetId="1">'Bordereau des Prix Cadres Lot 1'!$3558:$3558</definedName>
    <definedName name="L_1_1433" localSheetId="1">'Bordereau des Prix Cadres Lot 1'!$3559:$3559</definedName>
    <definedName name="L_1_1434" localSheetId="1">'Bordereau des Prix Cadres Lot 1'!$3572:$3572</definedName>
    <definedName name="L_1_1435" localSheetId="1">'Bordereau des Prix Cadres Lot 1'!$3574:$3574</definedName>
    <definedName name="L_1_1436" localSheetId="1">'Bordereau des Prix Cadres Lot 1'!#REF!</definedName>
    <definedName name="L_1_1437" localSheetId="1">'Bordereau des Prix Cadres Lot 1'!#REF!</definedName>
    <definedName name="L_1_1438" localSheetId="1">'Bordereau des Prix Cadres Lot 1'!#REF!</definedName>
    <definedName name="L_1_1439" localSheetId="1">'Bordereau des Prix Cadres Lot 1'!#REF!</definedName>
    <definedName name="L_1_144" localSheetId="1">'Bordereau des Prix Cadres Lot 1'!#REF!</definedName>
    <definedName name="L_1_1440" localSheetId="1">'Bordereau des Prix Cadres Lot 1'!#REF!</definedName>
    <definedName name="L_1_1441" localSheetId="1">'Bordereau des Prix Cadres Lot 1'!#REF!</definedName>
    <definedName name="L_1_1442" localSheetId="1">'Bordereau des Prix Cadres Lot 1'!#REF!</definedName>
    <definedName name="L_1_1443" localSheetId="1">'Bordereau des Prix Cadres Lot 1'!#REF!</definedName>
    <definedName name="L_1_1444" localSheetId="1">'Bordereau des Prix Cadres Lot 1'!#REF!</definedName>
    <definedName name="L_1_1445" localSheetId="1">'Bordereau des Prix Cadres Lot 1'!#REF!</definedName>
    <definedName name="L_1_1446" localSheetId="1">'Bordereau des Prix Cadres Lot 1'!#REF!</definedName>
    <definedName name="L_1_1447" localSheetId="1">'Bordereau des Prix Cadres Lot 1'!#REF!</definedName>
    <definedName name="L_1_1448" localSheetId="1">'Bordereau des Prix Cadres Lot 1'!#REF!</definedName>
    <definedName name="L_1_1449" localSheetId="1">'Bordereau des Prix Cadres Lot 1'!#REF!</definedName>
    <definedName name="L_1_145" localSheetId="1">'Bordereau des Prix Cadres Lot 1'!#REF!</definedName>
    <definedName name="L_1_1450" localSheetId="1">'Bordereau des Prix Cadres Lot 1'!#REF!</definedName>
    <definedName name="L_1_1451" localSheetId="1">'Bordereau des Prix Cadres Lot 1'!#REF!</definedName>
    <definedName name="L_1_1452" localSheetId="1">'Bordereau des Prix Cadres Lot 1'!#REF!</definedName>
    <definedName name="L_1_1453" localSheetId="1">'Bordereau des Prix Cadres Lot 1'!#REF!</definedName>
    <definedName name="L_1_1454" localSheetId="1">'Bordereau des Prix Cadres Lot 1'!#REF!</definedName>
    <definedName name="L_1_1455" localSheetId="1">'Bordereau des Prix Cadres Lot 1'!#REF!</definedName>
    <definedName name="L_1_1456" localSheetId="1">'Bordereau des Prix Cadres Lot 1'!#REF!</definedName>
    <definedName name="L_1_1457" localSheetId="1">'Bordereau des Prix Cadres Lot 1'!#REF!</definedName>
    <definedName name="L_1_1458" localSheetId="1">'Bordereau des Prix Cadres Lot 1'!#REF!</definedName>
    <definedName name="L_1_1459" localSheetId="1">'Bordereau des Prix Cadres Lot 1'!#REF!</definedName>
    <definedName name="L_1_146" localSheetId="1">'Bordereau des Prix Cadres Lot 1'!#REF!</definedName>
    <definedName name="L_1_1460" localSheetId="1">'Bordereau des Prix Cadres Lot 1'!#REF!</definedName>
    <definedName name="L_1_1461" localSheetId="1">'Bordereau des Prix Cadres Lot 1'!#REF!</definedName>
    <definedName name="L_1_1462" localSheetId="1">'Bordereau des Prix Cadres Lot 1'!#REF!</definedName>
    <definedName name="L_1_1463" localSheetId="1">'Bordereau des Prix Cadres Lot 1'!#REF!</definedName>
    <definedName name="L_1_1464" localSheetId="1">'Bordereau des Prix Cadres Lot 1'!#REF!</definedName>
    <definedName name="L_1_1465" localSheetId="1">'Bordereau des Prix Cadres Lot 1'!#REF!</definedName>
    <definedName name="L_1_1466" localSheetId="1">'Bordereau des Prix Cadres Lot 1'!#REF!</definedName>
    <definedName name="L_1_1467" localSheetId="1">'Bordereau des Prix Cadres Lot 1'!#REF!</definedName>
    <definedName name="L_1_1468" localSheetId="1">'Bordereau des Prix Cadres Lot 1'!$3719:$3719</definedName>
    <definedName name="L_1_1469" localSheetId="1">'Bordereau des Prix Cadres Lot 1'!$3759:$3759</definedName>
    <definedName name="L_1_147" localSheetId="1">'Bordereau des Prix Cadres Lot 1'!#REF!</definedName>
    <definedName name="L_1_1470" localSheetId="1">'Bordereau des Prix Cadres Lot 1'!$3760:$3760</definedName>
    <definedName name="L_1_1471" localSheetId="1">'Bordereau des Prix Cadres Lot 1'!$3761:$3761</definedName>
    <definedName name="L_1_1472" localSheetId="1">'Bordereau des Prix Cadres Lot 1'!$3762:$3762</definedName>
    <definedName name="L_1_1473" localSheetId="1">'Bordereau des Prix Cadres Lot 1'!$3763:$3763</definedName>
    <definedName name="L_1_1474" localSheetId="1">'Bordereau des Prix Cadres Lot 1'!$3764:$3764</definedName>
    <definedName name="L_1_1475" localSheetId="1">'Bordereau des Prix Cadres Lot 1'!#REF!</definedName>
    <definedName name="L_1_1476" localSheetId="1">'Bordereau des Prix Cadres Lot 1'!$3794:$3794</definedName>
    <definedName name="L_1_1477" localSheetId="1">'Bordereau des Prix Cadres Lot 1'!$3795:$3795</definedName>
    <definedName name="L_1_1478" localSheetId="1">'Bordereau des Prix Cadres Lot 1'!$3796:$3796</definedName>
    <definedName name="L_1_1479" localSheetId="1">'Bordereau des Prix Cadres Lot 1'!$3797:$3797</definedName>
    <definedName name="L_1_148" localSheetId="1">'Bordereau des Prix Cadres Lot 1'!#REF!</definedName>
    <definedName name="L_1_1480" localSheetId="1">'Bordereau des Prix Cadres Lot 1'!$3798:$3798</definedName>
    <definedName name="L_1_1481" localSheetId="1">'Bordereau des Prix Cadres Lot 1'!$3799:$3799</definedName>
    <definedName name="L_1_1482" localSheetId="1">'Bordereau des Prix Cadres Lot 1'!#REF!</definedName>
    <definedName name="L_1_1483" localSheetId="1">'Bordereau des Prix Cadres Lot 1'!$3816:$3816</definedName>
    <definedName name="L_1_1484" localSheetId="1">'Bordereau des Prix Cadres Lot 1'!$3817:$3817</definedName>
    <definedName name="L_1_1485" localSheetId="1">'Bordereau des Prix Cadres Lot 1'!$3818:$3818</definedName>
    <definedName name="L_1_1486" localSheetId="1">'Bordereau des Prix Cadres Lot 1'!$3819:$3819</definedName>
    <definedName name="L_1_1487" localSheetId="1">'Bordereau des Prix Cadres Lot 1'!$3820:$3820</definedName>
    <definedName name="L_1_1488" localSheetId="1">'Bordereau des Prix Cadres Lot 1'!$3821:$3821</definedName>
    <definedName name="L_1_1489" localSheetId="1">'Bordereau des Prix Cadres Lot 1'!$3822:$3822</definedName>
    <definedName name="L_1_149" localSheetId="1">'Bordereau des Prix Cadres Lot 1'!#REF!</definedName>
    <definedName name="L_1_1490" localSheetId="1">'Bordereau des Prix Cadres Lot 1'!$3829:$3829</definedName>
    <definedName name="L_1_1491" localSheetId="1">'Bordereau des Prix Cadres Lot 1'!#REF!</definedName>
    <definedName name="L_1_1492" localSheetId="1">'Bordereau des Prix Cadres Lot 1'!$3830:$3830</definedName>
    <definedName name="L_1_1493" localSheetId="1">'Bordereau des Prix Cadres Lot 1'!$3831:$3831</definedName>
    <definedName name="L_1_1494" localSheetId="1">'Bordereau des Prix Cadres Lot 1'!#REF!</definedName>
    <definedName name="L_1_1495" localSheetId="1">'Bordereau des Prix Cadres Lot 1'!#REF!</definedName>
    <definedName name="L_1_1496" localSheetId="1">'Bordereau des Prix Cadres Lot 1'!$3832:$3832</definedName>
    <definedName name="L_1_1497" localSheetId="1">'Bordereau des Prix Cadres Lot 1'!$3833:$3833</definedName>
    <definedName name="L_1_1498" localSheetId="1">'Bordereau des Prix Cadres Lot 1'!$3834:$3834</definedName>
    <definedName name="L_1_1499" localSheetId="1">'Bordereau des Prix Cadres Lot 1'!$3867:$3867</definedName>
    <definedName name="L_1_15" localSheetId="1">'Bordereau des Prix Cadres Lot 1'!$46:$46</definedName>
    <definedName name="L_1_150" localSheetId="1">'Bordereau des Prix Cadres Lot 1'!#REF!</definedName>
    <definedName name="L_1_1500" localSheetId="1">'Bordereau des Prix Cadres Lot 1'!$3868:$3868</definedName>
    <definedName name="L_1_1501" localSheetId="1">'Bordereau des Prix Cadres Lot 1'!$3869:$3869</definedName>
    <definedName name="L_1_1502" localSheetId="1">'Bordereau des Prix Cadres Lot 1'!$3870:$3870</definedName>
    <definedName name="L_1_1503" localSheetId="1">'Bordereau des Prix Cadres Lot 1'!$3871:$3871</definedName>
    <definedName name="L_1_1504" localSheetId="1">'Bordereau des Prix Cadres Lot 1'!$3872:$3872</definedName>
    <definedName name="L_1_1505" localSheetId="1">'Bordereau des Prix Cadres Lot 1'!#REF!</definedName>
    <definedName name="L_1_1506" localSheetId="1">'Bordereau des Prix Cadres Lot 1'!$3885:$3885</definedName>
    <definedName name="L_1_1507" localSheetId="1">'Bordereau des Prix Cadres Lot 1'!$3886:$3886</definedName>
    <definedName name="L_1_1508" localSheetId="1">'Bordereau des Prix Cadres Lot 1'!#REF!</definedName>
    <definedName name="L_1_1509" localSheetId="1">'Bordereau des Prix Cadres Lot 1'!#REF!</definedName>
    <definedName name="L_1_151" localSheetId="1">'Bordereau des Prix Cadres Lot 1'!#REF!</definedName>
    <definedName name="L_1_1510" localSheetId="1">'Bordereau des Prix Cadres Lot 1'!#REF!</definedName>
    <definedName name="L_1_1511" localSheetId="1">'Bordereau des Prix Cadres Lot 1'!#REF!</definedName>
    <definedName name="L_1_1512" localSheetId="1">'Bordereau des Prix Cadres Lot 1'!#REF!</definedName>
    <definedName name="L_1_1513" localSheetId="1">'Bordereau des Prix Cadres Lot 1'!#REF!</definedName>
    <definedName name="L_1_1514" localSheetId="1">'Bordereau des Prix Cadres Lot 1'!#REF!</definedName>
    <definedName name="L_1_1515" localSheetId="1">'Bordereau des Prix Cadres Lot 1'!#REF!</definedName>
    <definedName name="L_1_1516" localSheetId="1">'Bordereau des Prix Cadres Lot 1'!#REF!</definedName>
    <definedName name="L_1_1517" localSheetId="1">'Bordereau des Prix Cadres Lot 1'!#REF!</definedName>
    <definedName name="L_1_1518" localSheetId="1">'Bordereau des Prix Cadres Lot 1'!#REF!</definedName>
    <definedName name="L_1_1519" localSheetId="1">'Bordereau des Prix Cadres Lot 1'!#REF!</definedName>
    <definedName name="L_1_152" localSheetId="1">'Bordereau des Prix Cadres Lot 1'!#REF!</definedName>
    <definedName name="L_1_1520" localSheetId="1">'Bordereau des Prix Cadres Lot 1'!#REF!</definedName>
    <definedName name="L_1_1521" localSheetId="1">'Bordereau des Prix Cadres Lot 1'!#REF!</definedName>
    <definedName name="L_1_1522" localSheetId="1">'Bordereau des Prix Cadres Lot 1'!#REF!</definedName>
    <definedName name="L_1_1523" localSheetId="1">'Bordereau des Prix Cadres Lot 1'!#REF!</definedName>
    <definedName name="L_1_1524" localSheetId="1">'Bordereau des Prix Cadres Lot 1'!#REF!</definedName>
    <definedName name="L_1_1525" localSheetId="1">'Bordereau des Prix Cadres Lot 1'!#REF!</definedName>
    <definedName name="L_1_1526" localSheetId="1">'Bordereau des Prix Cadres Lot 1'!#REF!</definedName>
    <definedName name="L_1_1527" localSheetId="1">'Bordereau des Prix Cadres Lot 1'!#REF!</definedName>
    <definedName name="L_1_1528" localSheetId="1">'Bordereau des Prix Cadres Lot 1'!#REF!</definedName>
    <definedName name="L_1_1529" localSheetId="1">'Bordereau des Prix Cadres Lot 1'!#REF!</definedName>
    <definedName name="L_1_153" localSheetId="1">'Bordereau des Prix Cadres Lot 1'!#REF!</definedName>
    <definedName name="L_1_1530" localSheetId="1">'Bordereau des Prix Cadres Lot 1'!#REF!</definedName>
    <definedName name="L_1_1531" localSheetId="1">'Bordereau des Prix Cadres Lot 1'!#REF!</definedName>
    <definedName name="L_1_1532" localSheetId="1">'Bordereau des Prix Cadres Lot 1'!#REF!</definedName>
    <definedName name="L_1_1533" localSheetId="1">'Bordereau des Prix Cadres Lot 1'!#REF!</definedName>
    <definedName name="L_1_1534" localSheetId="1">'Bordereau des Prix Cadres Lot 1'!#REF!</definedName>
    <definedName name="L_1_1535" localSheetId="1">'Bordereau des Prix Cadres Lot 1'!#REF!</definedName>
    <definedName name="L_1_1536" localSheetId="1">'Bordereau des Prix Cadres Lot 1'!#REF!</definedName>
    <definedName name="L_1_1537" localSheetId="1">'Bordereau des Prix Cadres Lot 1'!#REF!</definedName>
    <definedName name="L_1_1538" localSheetId="1">'Bordereau des Prix Cadres Lot 1'!#REF!</definedName>
    <definedName name="L_1_1539" localSheetId="1">'Bordereau des Prix Cadres Lot 1'!#REF!</definedName>
    <definedName name="L_1_154" localSheetId="1">'Bordereau des Prix Cadres Lot 1'!#REF!</definedName>
    <definedName name="L_1_1540" localSheetId="1">'Bordereau des Prix Cadres Lot 1'!#REF!</definedName>
    <definedName name="L_1_1541" localSheetId="1">'Bordereau des Prix Cadres Lot 1'!#REF!</definedName>
    <definedName name="L_1_1542" localSheetId="1">'Bordereau des Prix Cadres Lot 1'!#REF!</definedName>
    <definedName name="L_1_1543" localSheetId="1">'Bordereau des Prix Cadres Lot 1'!#REF!</definedName>
    <definedName name="L_1_1544" localSheetId="1">'Bordereau des Prix Cadres Lot 1'!#REF!</definedName>
    <definedName name="L_1_1545" localSheetId="1">'Bordereau des Prix Cadres Lot 1'!#REF!</definedName>
    <definedName name="L_1_1546" localSheetId="1">'Bordereau des Prix Cadres Lot 1'!#REF!</definedName>
    <definedName name="L_1_1547" localSheetId="1">'Bordereau des Prix Cadres Lot 1'!#REF!</definedName>
    <definedName name="L_1_1548" localSheetId="1">'Bordereau des Prix Cadres Lot 1'!#REF!</definedName>
    <definedName name="L_1_1549" localSheetId="1">'Bordereau des Prix Cadres Lot 1'!$3919:$3919</definedName>
    <definedName name="L_1_155" localSheetId="1">'Bordereau des Prix Cadres Lot 1'!#REF!</definedName>
    <definedName name="L_1_1550" localSheetId="1">'Bordereau des Prix Cadres Lot 1'!$3920:$3920</definedName>
    <definedName name="L_1_1551" localSheetId="1">'Bordereau des Prix Cadres Lot 1'!$3921:$3921</definedName>
    <definedName name="L_1_1552" localSheetId="1">'Bordereau des Prix Cadres Lot 1'!$3922:$3922</definedName>
    <definedName name="L_1_1553" localSheetId="1">'Bordereau des Prix Cadres Lot 1'!$3923:$3923</definedName>
    <definedName name="L_1_1554" localSheetId="1">'Bordereau des Prix Cadres Lot 1'!$3924:$3924</definedName>
    <definedName name="L_1_1555" localSheetId="1">'Bordereau des Prix Cadres Lot 1'!$3925:$3925</definedName>
    <definedName name="L_1_1556" localSheetId="1">'Bordereau des Prix Cadres Lot 1'!#REF!</definedName>
    <definedName name="L_1_1557" localSheetId="1">'Bordereau des Prix Cadres Lot 1'!#REF!</definedName>
    <definedName name="L_1_1558" localSheetId="1">'Bordereau des Prix Cadres Lot 1'!#REF!</definedName>
    <definedName name="L_1_1559" localSheetId="1">'Bordereau des Prix Cadres Lot 1'!#REF!</definedName>
    <definedName name="L_1_156" localSheetId="1">'Bordereau des Prix Cadres Lot 1'!#REF!</definedName>
    <definedName name="L_1_1560" localSheetId="1">'Bordereau des Prix Cadres Lot 1'!#REF!</definedName>
    <definedName name="L_1_1561" localSheetId="1">'Bordereau des Prix Cadres Lot 1'!#REF!</definedName>
    <definedName name="L_1_1562" localSheetId="1">'Bordereau des Prix Cadres Lot 1'!#REF!</definedName>
    <definedName name="L_1_1563" localSheetId="1">'Bordereau des Prix Cadres Lot 1'!#REF!</definedName>
    <definedName name="L_1_1564" localSheetId="1">'Bordereau des Prix Cadres Lot 1'!#REF!</definedName>
    <definedName name="L_1_1565" localSheetId="1">'Bordereau des Prix Cadres Lot 1'!#REF!</definedName>
    <definedName name="L_1_1566" localSheetId="1">'Bordereau des Prix Cadres Lot 1'!#REF!</definedName>
    <definedName name="L_1_1567" localSheetId="1">'Bordereau des Prix Cadres Lot 1'!#REF!</definedName>
    <definedName name="L_1_1568" localSheetId="1">'Bordereau des Prix Cadres Lot 1'!#REF!</definedName>
    <definedName name="L_1_1569" localSheetId="1">'Bordereau des Prix Cadres Lot 1'!#REF!</definedName>
    <definedName name="L_1_157" localSheetId="1">'Bordereau des Prix Cadres Lot 1'!#REF!</definedName>
    <definedName name="L_1_1570" localSheetId="1">'Bordereau des Prix Cadres Lot 1'!#REF!</definedName>
    <definedName name="L_1_1571" localSheetId="1">'Bordereau des Prix Cadres Lot 1'!#REF!</definedName>
    <definedName name="L_1_1572" localSheetId="1">'Bordereau des Prix Cadres Lot 1'!$3310:$3310</definedName>
    <definedName name="L_1_1573" localSheetId="1">'Bordereau des Prix Cadres Lot 1'!$3311:$3311</definedName>
    <definedName name="L_1_1574" localSheetId="1">'Bordereau des Prix Cadres Lot 1'!#REF!</definedName>
    <definedName name="L_1_1575" localSheetId="1">'Bordereau des Prix Cadres Lot 1'!#REF!</definedName>
    <definedName name="L_1_1576" localSheetId="1">'Bordereau des Prix Cadres Lot 1'!#REF!</definedName>
    <definedName name="L_1_1577" localSheetId="1">'Bordereau des Prix Cadres Lot 1'!#REF!</definedName>
    <definedName name="L_1_1578" localSheetId="1">'Bordereau des Prix Cadres Lot 1'!#REF!</definedName>
    <definedName name="L_1_1579" localSheetId="1">'Bordereau des Prix Cadres Lot 1'!#REF!</definedName>
    <definedName name="L_1_158" localSheetId="1">'Bordereau des Prix Cadres Lot 1'!#REF!</definedName>
    <definedName name="L_1_1580" localSheetId="1">'Bordereau des Prix Cadres Lot 1'!$3360:$3360</definedName>
    <definedName name="L_1_1581" localSheetId="1">'Bordereau des Prix Cadres Lot 1'!$3362:$3362</definedName>
    <definedName name="L_1_1582" localSheetId="1">'Bordereau des Prix Cadres Lot 1'!$3363:$3363</definedName>
    <definedName name="L_1_1583" localSheetId="1">'Bordereau des Prix Cadres Lot 1'!$3364:$3364</definedName>
    <definedName name="L_1_1584" localSheetId="1">'Bordereau des Prix Cadres Lot 1'!$3365:$3365</definedName>
    <definedName name="L_1_1585" localSheetId="1">'Bordereau des Prix Cadres Lot 1'!$3366:$3366</definedName>
    <definedName name="L_1_1586" localSheetId="1">'Bordereau des Prix Cadres Lot 1'!$3367:$3367</definedName>
    <definedName name="L_1_1587" localSheetId="1">'Bordereau des Prix Cadres Lot 1'!$3409:$3409</definedName>
    <definedName name="L_1_1588" localSheetId="1">'Bordereau des Prix Cadres Lot 1'!$3410:$3410</definedName>
    <definedName name="L_1_1589" localSheetId="1">'Bordereau des Prix Cadres Lot 1'!#REF!</definedName>
    <definedName name="L_1_159" localSheetId="1">'Bordereau des Prix Cadres Lot 1'!#REF!</definedName>
    <definedName name="L_1_1590" localSheetId="1">'Bordereau des Prix Cadres Lot 1'!#REF!</definedName>
    <definedName name="L_1_1591" localSheetId="1">'Bordereau des Prix Cadres Lot 1'!#REF!</definedName>
    <definedName name="L_1_1592" localSheetId="1">'Bordereau des Prix Cadres Lot 1'!#REF!</definedName>
    <definedName name="L_1_1593" localSheetId="1">'Bordereau des Prix Cadres Lot 1'!#REF!</definedName>
    <definedName name="L_1_1594" localSheetId="1">'Bordereau des Prix Cadres Lot 1'!#REF!</definedName>
    <definedName name="L_1_1595" localSheetId="1">'Bordereau des Prix Cadres Lot 1'!#REF!</definedName>
    <definedName name="L_1_1596" localSheetId="1">'Bordereau des Prix Cadres Lot 1'!#REF!</definedName>
    <definedName name="L_1_1597" localSheetId="1">'Bordereau des Prix Cadres Lot 1'!#REF!</definedName>
    <definedName name="L_1_1598" localSheetId="1">'Bordereau des Prix Cadres Lot 1'!#REF!</definedName>
    <definedName name="L_1_1599" localSheetId="1">'Bordereau des Prix Cadres Lot 1'!#REF!</definedName>
    <definedName name="L_1_16" localSheetId="1">'Bordereau des Prix Cadres Lot 1'!#REF!</definedName>
    <definedName name="L_1_160" localSheetId="1">'Bordereau des Prix Cadres Lot 1'!#REF!</definedName>
    <definedName name="L_1_1600" localSheetId="1">'Bordereau des Prix Cadres Lot 1'!#REF!</definedName>
    <definedName name="L_1_1601" localSheetId="1">'Bordereau des Prix Cadres Lot 1'!#REF!</definedName>
    <definedName name="L_1_1602" localSheetId="1">'Bordereau des Prix Cadres Lot 1'!#REF!</definedName>
    <definedName name="L_1_1603" localSheetId="1">'Bordereau des Prix Cadres Lot 1'!#REF!</definedName>
    <definedName name="L_1_1604" localSheetId="1">'Bordereau des Prix Cadres Lot 1'!#REF!</definedName>
    <definedName name="L_1_1605" localSheetId="1">'Bordereau des Prix Cadres Lot 1'!#REF!</definedName>
    <definedName name="L_1_1606" localSheetId="1">'Bordereau des Prix Cadres Lot 1'!#REF!</definedName>
    <definedName name="L_1_1607" localSheetId="1">'Bordereau des Prix Cadres Lot 1'!#REF!</definedName>
    <definedName name="L_1_1608" localSheetId="1">'Bordereau des Prix Cadres Lot 1'!#REF!</definedName>
    <definedName name="L_1_1609" localSheetId="1">'Bordereau des Prix Cadres Lot 1'!#REF!</definedName>
    <definedName name="L_1_161" localSheetId="1">'Bordereau des Prix Cadres Lot 1'!#REF!</definedName>
    <definedName name="L_1_1610" localSheetId="1">'Bordereau des Prix Cadres Lot 1'!#REF!</definedName>
    <definedName name="L_1_1611" localSheetId="1">'Bordereau des Prix Cadres Lot 1'!#REF!</definedName>
    <definedName name="L_1_1612" localSheetId="1">'Bordereau des Prix Cadres Lot 1'!#REF!</definedName>
    <definedName name="L_1_1613" localSheetId="1">'Bordereau des Prix Cadres Lot 1'!#REF!</definedName>
    <definedName name="L_1_1614" localSheetId="1">'Bordereau des Prix Cadres Lot 1'!#REF!</definedName>
    <definedName name="L_1_1615" localSheetId="1">'Bordereau des Prix Cadres Lot 1'!#REF!</definedName>
    <definedName name="L_1_1616" localSheetId="1">'Bordereau des Prix Cadres Lot 1'!#REF!</definedName>
    <definedName name="L_1_1617" localSheetId="1">'Bordereau des Prix Cadres Lot 1'!#REF!</definedName>
    <definedName name="L_1_1618" localSheetId="1">'Bordereau des Prix Cadres Lot 1'!#REF!</definedName>
    <definedName name="L_1_1619" localSheetId="1">'Bordereau des Prix Cadres Lot 1'!#REF!</definedName>
    <definedName name="L_1_162" localSheetId="1">'Bordereau des Prix Cadres Lot 1'!#REF!</definedName>
    <definedName name="L_1_1620" localSheetId="1">'Bordereau des Prix Cadres Lot 1'!#REF!</definedName>
    <definedName name="L_1_1621" localSheetId="1">'Bordereau des Prix Cadres Lot 1'!#REF!</definedName>
    <definedName name="L_1_1622" localSheetId="1">'Bordereau des Prix Cadres Lot 1'!#REF!</definedName>
    <definedName name="L_1_1623" localSheetId="1">'Bordereau des Prix Cadres Lot 1'!#REF!</definedName>
    <definedName name="L_1_1624" localSheetId="1">'Bordereau des Prix Cadres Lot 1'!#REF!</definedName>
    <definedName name="L_1_1625" localSheetId="1">'Bordereau des Prix Cadres Lot 1'!#REF!</definedName>
    <definedName name="L_1_1626" localSheetId="1">'Bordereau des Prix Cadres Lot 1'!#REF!</definedName>
    <definedName name="L_1_1627" localSheetId="1">'Bordereau des Prix Cadres Lot 1'!#REF!</definedName>
    <definedName name="L_1_1628" localSheetId="1">'Bordereau des Prix Cadres Lot 1'!#REF!</definedName>
    <definedName name="L_1_1629" localSheetId="1">'Bordereau des Prix Cadres Lot 1'!#REF!</definedName>
    <definedName name="L_1_163" localSheetId="1">'Bordereau des Prix Cadres Lot 1'!#REF!</definedName>
    <definedName name="L_1_1630" localSheetId="1">'Bordereau des Prix Cadres Lot 1'!#REF!</definedName>
    <definedName name="L_1_1631" localSheetId="1">'Bordereau des Prix Cadres Lot 1'!#REF!</definedName>
    <definedName name="L_1_1632" localSheetId="1">'Bordereau des Prix Cadres Lot 1'!#REF!</definedName>
    <definedName name="L_1_1633" localSheetId="1">'Bordereau des Prix Cadres Lot 1'!#REF!</definedName>
    <definedName name="L_1_1634" localSheetId="1">'Bordereau des Prix Cadres Lot 1'!#REF!</definedName>
    <definedName name="L_1_1635" localSheetId="1">'Bordereau des Prix Cadres Lot 1'!#REF!</definedName>
    <definedName name="L_1_1636" localSheetId="1">'Bordereau des Prix Cadres Lot 1'!#REF!</definedName>
    <definedName name="L_1_1637" localSheetId="1">'Bordereau des Prix Cadres Lot 1'!#REF!</definedName>
    <definedName name="L_1_164" localSheetId="1">'Bordereau des Prix Cadres Lot 1'!$942:$942</definedName>
    <definedName name="L_1_165" localSheetId="1">'Bordereau des Prix Cadres Lot 1'!$943:$943</definedName>
    <definedName name="L_1_166" localSheetId="1">'Bordereau des Prix Cadres Lot 1'!#REF!</definedName>
    <definedName name="L_1_167" localSheetId="1">'Bordereau des Prix Cadres Lot 1'!#REF!</definedName>
    <definedName name="L_1_168" localSheetId="1">'Bordereau des Prix Cadres Lot 1'!$970:$970</definedName>
    <definedName name="L_1_169" localSheetId="1">'Bordereau des Prix Cadres Lot 1'!$971:$971</definedName>
    <definedName name="L_1_17" localSheetId="1">'Bordereau des Prix Cadres Lot 1'!#REF!</definedName>
    <definedName name="L_1_170" localSheetId="1">'Bordereau des Prix Cadres Lot 1'!$972:$972</definedName>
    <definedName name="L_1_171" localSheetId="1">'Bordereau des Prix Cadres Lot 1'!$978:$978</definedName>
    <definedName name="L_1_172" localSheetId="1">'Bordereau des Prix Cadres Lot 1'!$979:$979</definedName>
    <definedName name="L_1_173" localSheetId="1">'Bordereau des Prix Cadres Lot 1'!$980:$980</definedName>
    <definedName name="L_1_174" localSheetId="1">'Bordereau des Prix Cadres Lot 1'!#REF!</definedName>
    <definedName name="L_1_175" localSheetId="1">'Bordereau des Prix Cadres Lot 1'!$1003:$1003</definedName>
    <definedName name="L_1_176" localSheetId="1">'Bordereau des Prix Cadres Lot 1'!$1004:$1004</definedName>
    <definedName name="L_1_177" localSheetId="1">'Bordereau des Prix Cadres Lot 1'!$1005:$1005</definedName>
    <definedName name="L_1_178" localSheetId="1">'Bordereau des Prix Cadres Lot 1'!$1007:$1007</definedName>
    <definedName name="L_1_179" localSheetId="1">'Bordereau des Prix Cadres Lot 1'!#REF!</definedName>
    <definedName name="L_1_18" localSheetId="1">'Bordereau des Prix Cadres Lot 1'!#REF!</definedName>
    <definedName name="L_1_180" localSheetId="1">'Bordereau des Prix Cadres Lot 1'!#REF!</definedName>
    <definedName name="L_1_181" localSheetId="1">'Bordereau des Prix Cadres Lot 1'!#REF!</definedName>
    <definedName name="L_1_182" localSheetId="1">'Bordereau des Prix Cadres Lot 1'!#REF!</definedName>
    <definedName name="L_1_183" localSheetId="1">'Bordereau des Prix Cadres Lot 1'!#REF!</definedName>
    <definedName name="L_1_184" localSheetId="1">'Bordereau des Prix Cadres Lot 1'!#REF!</definedName>
    <definedName name="L_1_185" localSheetId="1">'Bordereau des Prix Cadres Lot 1'!$1016:$1016</definedName>
    <definedName name="L_1_186" localSheetId="1">'Bordereau des Prix Cadres Lot 1'!$1017:$1017</definedName>
    <definedName name="L_1_187" localSheetId="1">'Bordereau des Prix Cadres Lot 1'!$1018:$1018</definedName>
    <definedName name="L_1_188" localSheetId="1">'Bordereau des Prix Cadres Lot 1'!$1019:$1019</definedName>
    <definedName name="L_1_189" localSheetId="1">'Bordereau des Prix Cadres Lot 1'!$1020:$1020</definedName>
    <definedName name="L_1_19" localSheetId="1">'Bordereau des Prix Cadres Lot 1'!#REF!</definedName>
    <definedName name="L_1_190" localSheetId="1">'Bordereau des Prix Cadres Lot 1'!$1021:$1021</definedName>
    <definedName name="L_1_191" localSheetId="1">'Bordereau des Prix Cadres Lot 1'!$1022:$1022</definedName>
    <definedName name="L_1_192" localSheetId="1">'Bordereau des Prix Cadres Lot 1'!#REF!</definedName>
    <definedName name="L_1_193" localSheetId="1">'Bordereau des Prix Cadres Lot 1'!$1047:$1047</definedName>
    <definedName name="L_1_194" localSheetId="1">'Bordereau des Prix Cadres Lot 1'!#REF!</definedName>
    <definedName name="L_1_195" localSheetId="1">'Bordereau des Prix Cadres Lot 1'!$1049:$1049</definedName>
    <definedName name="L_1_196" localSheetId="1">'Bordereau des Prix Cadres Lot 1'!$1050:$1050</definedName>
    <definedName name="L_1_197" localSheetId="1">'Bordereau des Prix Cadres Lot 1'!$1051:$1051</definedName>
    <definedName name="L_1_198" localSheetId="1">'Bordereau des Prix Cadres Lot 1'!$1052:$1052</definedName>
    <definedName name="L_1_199" localSheetId="1">'Bordereau des Prix Cadres Lot 1'!#REF!</definedName>
    <definedName name="L_1_2" localSheetId="1">'Bordereau des Prix Cadres Lot 1'!$9:$9</definedName>
    <definedName name="L_1_20" localSheetId="1">'Bordereau des Prix Cadres Lot 1'!#REF!</definedName>
    <definedName name="L_1_200" localSheetId="1">'Bordereau des Prix Cadres Lot 1'!$1055:$1055</definedName>
    <definedName name="L_1_201" localSheetId="1">'Bordereau des Prix Cadres Lot 1'!#REF!</definedName>
    <definedName name="L_1_202" localSheetId="1">'Bordereau des Prix Cadres Lot 1'!#REF!</definedName>
    <definedName name="L_1_203" localSheetId="1">'Bordereau des Prix Cadres Lot 1'!#REF!</definedName>
    <definedName name="L_1_204" localSheetId="1">'Bordereau des Prix Cadres Lot 1'!#REF!</definedName>
    <definedName name="L_1_205" localSheetId="1">'Bordereau des Prix Cadres Lot 1'!#REF!</definedName>
    <definedName name="L_1_206" localSheetId="1">'Bordereau des Prix Cadres Lot 1'!#REF!</definedName>
    <definedName name="L_1_207" localSheetId="1">'Bordereau des Prix Cadres Lot 1'!#REF!</definedName>
    <definedName name="L_1_208" localSheetId="1">'Bordereau des Prix Cadres Lot 1'!#REF!</definedName>
    <definedName name="L_1_209" localSheetId="1">'Bordereau des Prix Cadres Lot 1'!#REF!</definedName>
    <definedName name="L_1_21" localSheetId="1">'Bordereau des Prix Cadres Lot 1'!#REF!</definedName>
    <definedName name="L_1_210" localSheetId="1">'Bordereau des Prix Cadres Lot 1'!#REF!</definedName>
    <definedName name="L_1_211" localSheetId="1">'Bordereau des Prix Cadres Lot 1'!#REF!</definedName>
    <definedName name="L_1_212" localSheetId="1">'Bordereau des Prix Cadres Lot 1'!#REF!</definedName>
    <definedName name="L_1_213" localSheetId="1">'Bordereau des Prix Cadres Lot 1'!#REF!</definedName>
    <definedName name="L_1_214" localSheetId="1">'Bordereau des Prix Cadres Lot 1'!#REF!</definedName>
    <definedName name="L_1_215" localSheetId="1">'Bordereau des Prix Cadres Lot 1'!#REF!</definedName>
    <definedName name="L_1_216" localSheetId="1">'Bordereau des Prix Cadres Lot 1'!#REF!</definedName>
    <definedName name="L_1_217" localSheetId="1">'Bordereau des Prix Cadres Lot 1'!#REF!</definedName>
    <definedName name="L_1_218" localSheetId="1">'Bordereau des Prix Cadres Lot 1'!#REF!</definedName>
    <definedName name="L_1_219" localSheetId="1">'Bordereau des Prix Cadres Lot 1'!#REF!</definedName>
    <definedName name="L_1_22" localSheetId="1">'Bordereau des Prix Cadres Lot 1'!#REF!</definedName>
    <definedName name="L_1_220" localSheetId="1">'Bordereau des Prix Cadres Lot 1'!#REF!</definedName>
    <definedName name="L_1_221" localSheetId="1">'Bordereau des Prix Cadres Lot 1'!#REF!</definedName>
    <definedName name="L_1_222" localSheetId="1">'Bordereau des Prix Cadres Lot 1'!#REF!</definedName>
    <definedName name="L_1_223" localSheetId="1">'Bordereau des Prix Cadres Lot 1'!#REF!</definedName>
    <definedName name="L_1_224" localSheetId="1">'Bordereau des Prix Cadres Lot 1'!#REF!</definedName>
    <definedName name="L_1_225" localSheetId="1">'Bordereau des Prix Cadres Lot 1'!#REF!</definedName>
    <definedName name="L_1_226" localSheetId="1">'Bordereau des Prix Cadres Lot 1'!#REF!</definedName>
    <definedName name="L_1_227" localSheetId="1">'Bordereau des Prix Cadres Lot 1'!#REF!</definedName>
    <definedName name="L_1_228" localSheetId="1">'Bordereau des Prix Cadres Lot 1'!#REF!</definedName>
    <definedName name="L_1_229" localSheetId="1">'Bordereau des Prix Cadres Lot 1'!#REF!</definedName>
    <definedName name="L_1_23" localSheetId="1">'Bordereau des Prix Cadres Lot 1'!$74:$74</definedName>
    <definedName name="L_1_230" localSheetId="1">'Bordereau des Prix Cadres Lot 1'!#REF!</definedName>
    <definedName name="L_1_231" localSheetId="1">'Bordereau des Prix Cadres Lot 1'!#REF!</definedName>
    <definedName name="L_1_232" localSheetId="1">'Bordereau des Prix Cadres Lot 1'!#REF!</definedName>
    <definedName name="L_1_233" localSheetId="1">'Bordereau des Prix Cadres Lot 1'!#REF!</definedName>
    <definedName name="L_1_234" localSheetId="1">'Bordereau des Prix Cadres Lot 1'!#REF!</definedName>
    <definedName name="L_1_235" localSheetId="1">'Bordereau des Prix Cadres Lot 1'!#REF!</definedName>
    <definedName name="L_1_236" localSheetId="1">'Bordereau des Prix Cadres Lot 1'!#REF!</definedName>
    <definedName name="L_1_237" localSheetId="1">'Bordereau des Prix Cadres Lot 1'!#REF!</definedName>
    <definedName name="L_1_238" localSheetId="1">'Bordereau des Prix Cadres Lot 1'!#REF!</definedName>
    <definedName name="L_1_239" localSheetId="1">'Bordereau des Prix Cadres Lot 1'!#REF!</definedName>
    <definedName name="L_1_24" localSheetId="1">'Bordereau des Prix Cadres Lot 1'!$75:$75</definedName>
    <definedName name="L_1_240" localSheetId="1">'Bordereau des Prix Cadres Lot 1'!#REF!</definedName>
    <definedName name="L_1_241" localSheetId="1">'Bordereau des Prix Cadres Lot 1'!#REF!</definedName>
    <definedName name="L_1_242" localSheetId="1">'Bordereau des Prix Cadres Lot 1'!#REF!</definedName>
    <definedName name="L_1_243" localSheetId="1">'Bordereau des Prix Cadres Lot 1'!#REF!</definedName>
    <definedName name="L_1_244" localSheetId="1">'Bordereau des Prix Cadres Lot 1'!#REF!</definedName>
    <definedName name="L_1_245" localSheetId="1">'Bordereau des Prix Cadres Lot 1'!#REF!</definedName>
    <definedName name="L_1_246" localSheetId="1">'Bordereau des Prix Cadres Lot 1'!#REF!</definedName>
    <definedName name="L_1_247" localSheetId="1">'Bordereau des Prix Cadres Lot 1'!#REF!</definedName>
    <definedName name="L_1_248" localSheetId="1">'Bordereau des Prix Cadres Lot 1'!#REF!</definedName>
    <definedName name="L_1_249" localSheetId="1">'Bordereau des Prix Cadres Lot 1'!#REF!</definedName>
    <definedName name="L_1_25" localSheetId="1">'Bordereau des Prix Cadres Lot 1'!#REF!</definedName>
    <definedName name="L_1_250" localSheetId="1">'Bordereau des Prix Cadres Lot 1'!#REF!</definedName>
    <definedName name="L_1_251" localSheetId="1">'Bordereau des Prix Cadres Lot 1'!#REF!</definedName>
    <definedName name="L_1_252" localSheetId="1">'Bordereau des Prix Cadres Lot 1'!#REF!</definedName>
    <definedName name="L_1_253" localSheetId="1">'Bordereau des Prix Cadres Lot 1'!#REF!</definedName>
    <definedName name="L_1_254" localSheetId="1">'Bordereau des Prix Cadres Lot 1'!#REF!</definedName>
    <definedName name="L_1_255" localSheetId="1">'Bordereau des Prix Cadres Lot 1'!#REF!</definedName>
    <definedName name="L_1_256" localSheetId="1">'Bordereau des Prix Cadres Lot 1'!#REF!</definedName>
    <definedName name="L_1_257" localSheetId="1">'Bordereau des Prix Cadres Lot 1'!#REF!</definedName>
    <definedName name="L_1_258" localSheetId="1">'Bordereau des Prix Cadres Lot 1'!#REF!</definedName>
    <definedName name="L_1_259" localSheetId="1">'Bordereau des Prix Cadres Lot 1'!#REF!</definedName>
    <definedName name="L_1_26" localSheetId="1">'Bordereau des Prix Cadres Lot 1'!$80:$80</definedName>
    <definedName name="L_1_260" localSheetId="1">'Bordereau des Prix Cadres Lot 1'!#REF!</definedName>
    <definedName name="L_1_261" localSheetId="1">'Bordereau des Prix Cadres Lot 1'!#REF!</definedName>
    <definedName name="L_1_262" localSheetId="1">'Bordereau des Prix Cadres Lot 1'!#REF!</definedName>
    <definedName name="L_1_263" localSheetId="1">'Bordereau des Prix Cadres Lot 1'!#REF!</definedName>
    <definedName name="L_1_264" localSheetId="1">'Bordereau des Prix Cadres Lot 1'!#REF!</definedName>
    <definedName name="L_1_265" localSheetId="1">'Bordereau des Prix Cadres Lot 1'!#REF!</definedName>
    <definedName name="L_1_266" localSheetId="1">'Bordereau des Prix Cadres Lot 1'!#REF!</definedName>
    <definedName name="L_1_267" localSheetId="1">'Bordereau des Prix Cadres Lot 1'!#REF!</definedName>
    <definedName name="L_1_268" localSheetId="1">'Bordereau des Prix Cadres Lot 1'!#REF!</definedName>
    <definedName name="L_1_269" localSheetId="1">'Bordereau des Prix Cadres Lot 1'!#REF!</definedName>
    <definedName name="L_1_27" localSheetId="1">'Bordereau des Prix Cadres Lot 1'!$81:$81</definedName>
    <definedName name="L_1_270" localSheetId="1">'Bordereau des Prix Cadres Lot 1'!#REF!</definedName>
    <definedName name="L_1_271" localSheetId="1">'Bordereau des Prix Cadres Lot 1'!#REF!</definedName>
    <definedName name="L_1_272" localSheetId="1">'Bordereau des Prix Cadres Lot 1'!#REF!</definedName>
    <definedName name="L_1_273" localSheetId="1">'Bordereau des Prix Cadres Lot 1'!#REF!</definedName>
    <definedName name="L_1_274" localSheetId="1">'Bordereau des Prix Cadres Lot 1'!#REF!</definedName>
    <definedName name="L_1_275" localSheetId="1">'Bordereau des Prix Cadres Lot 1'!#REF!</definedName>
    <definedName name="L_1_276" localSheetId="1">'Bordereau des Prix Cadres Lot 1'!#REF!</definedName>
    <definedName name="L_1_277" localSheetId="1">'Bordereau des Prix Cadres Lot 1'!#REF!</definedName>
    <definedName name="L_1_278" localSheetId="1">'Bordereau des Prix Cadres Lot 1'!#REF!</definedName>
    <definedName name="L_1_279" localSheetId="1">'Bordereau des Prix Cadres Lot 1'!#REF!</definedName>
    <definedName name="L_1_28" localSheetId="1">'Bordereau des Prix Cadres Lot 1'!$82:$82</definedName>
    <definedName name="L_1_280" localSheetId="1">'Bordereau des Prix Cadres Lot 1'!#REF!</definedName>
    <definedName name="L_1_281" localSheetId="1">'Bordereau des Prix Cadres Lot 1'!#REF!</definedName>
    <definedName name="L_1_282" localSheetId="1">'Bordereau des Prix Cadres Lot 1'!#REF!</definedName>
    <definedName name="L_1_283" localSheetId="1">'Bordereau des Prix Cadres Lot 1'!#REF!</definedName>
    <definedName name="L_1_284" localSheetId="1">'Bordereau des Prix Cadres Lot 1'!#REF!</definedName>
    <definedName name="L_1_285" localSheetId="1">'Bordereau des Prix Cadres Lot 1'!#REF!</definedName>
    <definedName name="L_1_286" localSheetId="1">'Bordereau des Prix Cadres Lot 1'!#REF!</definedName>
    <definedName name="L_1_287" localSheetId="1">'Bordereau des Prix Cadres Lot 1'!#REF!</definedName>
    <definedName name="L_1_288" localSheetId="1">'Bordereau des Prix Cadres Lot 1'!#REF!</definedName>
    <definedName name="L_1_289" localSheetId="1">'Bordereau des Prix Cadres Lot 1'!#REF!</definedName>
    <definedName name="L_1_29" localSheetId="1">'Bordereau des Prix Cadres Lot 1'!$83:$83</definedName>
    <definedName name="L_1_290" localSheetId="1">'Bordereau des Prix Cadres Lot 1'!#REF!</definedName>
    <definedName name="L_1_291" localSheetId="1">'Bordereau des Prix Cadres Lot 1'!#REF!</definedName>
    <definedName name="L_1_292" localSheetId="1">'Bordereau des Prix Cadres Lot 1'!#REF!</definedName>
    <definedName name="L_1_293" localSheetId="1">'Bordereau des Prix Cadres Lot 1'!#REF!</definedName>
    <definedName name="L_1_294" localSheetId="1">'Bordereau des Prix Cadres Lot 1'!#REF!</definedName>
    <definedName name="L_1_295" localSheetId="1">'Bordereau des Prix Cadres Lot 1'!#REF!</definedName>
    <definedName name="L_1_296" localSheetId="1">'Bordereau des Prix Cadres Lot 1'!#REF!</definedName>
    <definedName name="L_1_297" localSheetId="1">'Bordereau des Prix Cadres Lot 1'!#REF!</definedName>
    <definedName name="L_1_298" localSheetId="1">'Bordereau des Prix Cadres Lot 1'!#REF!</definedName>
    <definedName name="L_1_299" localSheetId="1">'Bordereau des Prix Cadres Lot 1'!#REF!</definedName>
    <definedName name="L_1_3" localSheetId="1">'Bordereau des Prix Cadres Lot 1'!$10:$10</definedName>
    <definedName name="L_1_30" localSheetId="1">'Bordereau des Prix Cadres Lot 1'!$84:$84</definedName>
    <definedName name="L_1_300" localSheetId="1">'Bordereau des Prix Cadres Lot 1'!#REF!</definedName>
    <definedName name="L_1_301" localSheetId="1">'Bordereau des Prix Cadres Lot 1'!#REF!</definedName>
    <definedName name="L_1_302" localSheetId="1">'Bordereau des Prix Cadres Lot 1'!#REF!</definedName>
    <definedName name="L_1_303" localSheetId="1">'Bordereau des Prix Cadres Lot 1'!#REF!</definedName>
    <definedName name="L_1_304" localSheetId="1">'Bordereau des Prix Cadres Lot 1'!#REF!</definedName>
    <definedName name="L_1_305" localSheetId="1">'Bordereau des Prix Cadres Lot 1'!#REF!</definedName>
    <definedName name="L_1_306" localSheetId="1">'Bordereau des Prix Cadres Lot 1'!#REF!</definedName>
    <definedName name="L_1_307" localSheetId="1">'Bordereau des Prix Cadres Lot 1'!#REF!</definedName>
    <definedName name="L_1_308" localSheetId="1">'Bordereau des Prix Cadres Lot 1'!#REF!</definedName>
    <definedName name="L_1_309" localSheetId="1">'Bordereau des Prix Cadres Lot 1'!#REF!</definedName>
    <definedName name="L_1_31" localSheetId="1">'Bordereau des Prix Cadres Lot 1'!$86:$86</definedName>
    <definedName name="L_1_310" localSheetId="1">'Bordereau des Prix Cadres Lot 1'!#REF!</definedName>
    <definedName name="L_1_311" localSheetId="1">'Bordereau des Prix Cadres Lot 1'!#REF!</definedName>
    <definedName name="L_1_312" localSheetId="1">'Bordereau des Prix Cadres Lot 1'!#REF!</definedName>
    <definedName name="L_1_313" localSheetId="1">'Bordereau des Prix Cadres Lot 1'!#REF!</definedName>
    <definedName name="L_1_314" localSheetId="1">'Bordereau des Prix Cadres Lot 1'!#REF!</definedName>
    <definedName name="L_1_315" localSheetId="1">'Bordereau des Prix Cadres Lot 1'!#REF!</definedName>
    <definedName name="L_1_316" localSheetId="1">'Bordereau des Prix Cadres Lot 1'!#REF!</definedName>
    <definedName name="L_1_317" localSheetId="1">'Bordereau des Prix Cadres Lot 1'!#REF!</definedName>
    <definedName name="L_1_318" localSheetId="1">'Bordereau des Prix Cadres Lot 1'!#REF!</definedName>
    <definedName name="L_1_319" localSheetId="1">'Bordereau des Prix Cadres Lot 1'!#REF!</definedName>
    <definedName name="L_1_32" localSheetId="1">'Bordereau des Prix Cadres Lot 1'!#REF!</definedName>
    <definedName name="L_1_320" localSheetId="1">'Bordereau des Prix Cadres Lot 1'!$1197:$1197</definedName>
    <definedName name="L_1_321" localSheetId="1">'Bordereau des Prix Cadres Lot 1'!$1198:$1198</definedName>
    <definedName name="L_1_322" localSheetId="1">'Bordereau des Prix Cadres Lot 1'!$1199:$1199</definedName>
    <definedName name="L_1_323" localSheetId="1">'Bordereau des Prix Cadres Lot 1'!$1200:$1200</definedName>
    <definedName name="L_1_324" localSheetId="1">'Bordereau des Prix Cadres Lot 1'!$1201:$1201</definedName>
    <definedName name="L_1_325" localSheetId="1">'Bordereau des Prix Cadres Lot 1'!$1202:$1202</definedName>
    <definedName name="L_1_326" localSheetId="1">'Bordereau des Prix Cadres Lot 1'!$1203:$1203</definedName>
    <definedName name="L_1_327" localSheetId="1">'Bordereau des Prix Cadres Lot 1'!$1204:$1204</definedName>
    <definedName name="L_1_328" localSheetId="1">'Bordereau des Prix Cadres Lot 1'!$1205:$1205</definedName>
    <definedName name="L_1_329" localSheetId="1">'Bordereau des Prix Cadres Lot 1'!#REF!</definedName>
    <definedName name="L_1_33" localSheetId="1">'Bordereau des Prix Cadres Lot 1'!#REF!</definedName>
    <definedName name="L_1_330" localSheetId="1">'Bordereau des Prix Cadres Lot 1'!$1208:$1208</definedName>
    <definedName name="L_1_331" localSheetId="1">'Bordereau des Prix Cadres Lot 1'!$1209:$1209</definedName>
    <definedName name="L_1_332" localSheetId="1">'Bordereau des Prix Cadres Lot 1'!$1210:$1210</definedName>
    <definedName name="L_1_333" localSheetId="1">'Bordereau des Prix Cadres Lot 1'!$1211:$1211</definedName>
    <definedName name="L_1_334" localSheetId="1">'Bordereau des Prix Cadres Lot 1'!$1212:$1212</definedName>
    <definedName name="L_1_335" localSheetId="1">'Bordereau des Prix Cadres Lot 1'!$1213:$1213</definedName>
    <definedName name="L_1_336" localSheetId="1">'Bordereau des Prix Cadres Lot 1'!$1214:$1214</definedName>
    <definedName name="L_1_337" localSheetId="1">'Bordereau des Prix Cadres Lot 1'!$1215:$1215</definedName>
    <definedName name="L_1_338" localSheetId="1">'Bordereau des Prix Cadres Lot 1'!$1216:$1216</definedName>
    <definedName name="L_1_339" localSheetId="1">'Bordereau des Prix Cadres Lot 1'!$1217:$1217</definedName>
    <definedName name="L_1_34" localSheetId="1">'Bordereau des Prix Cadres Lot 1'!#REF!</definedName>
    <definedName name="L_1_340" localSheetId="1">'Bordereau des Prix Cadres Lot 1'!$1218:$1218</definedName>
    <definedName name="L_1_341" localSheetId="1">'Bordereau des Prix Cadres Lot 1'!$1219:$1219</definedName>
    <definedName name="L_1_342" localSheetId="1">'Bordereau des Prix Cadres Lot 1'!#REF!</definedName>
    <definedName name="L_1_343" localSheetId="1">'Bordereau des Prix Cadres Lot 1'!$1223:$1223</definedName>
    <definedName name="L_1_344" localSheetId="1">'Bordereau des Prix Cadres Lot 1'!$1224:$1224</definedName>
    <definedName name="L_1_345" localSheetId="1">'Bordereau des Prix Cadres Lot 1'!$1225:$1225</definedName>
    <definedName name="L_1_346" localSheetId="1">'Bordereau des Prix Cadres Lot 1'!$1226:$1226</definedName>
    <definedName name="L_1_347" localSheetId="1">'Bordereau des Prix Cadres Lot 1'!$1227:$1227</definedName>
    <definedName name="L_1_348" localSheetId="1">'Bordereau des Prix Cadres Lot 1'!$1228:$1228</definedName>
    <definedName name="L_1_349" localSheetId="1">'Bordereau des Prix Cadres Lot 1'!$1229:$1229</definedName>
    <definedName name="L_1_35" localSheetId="1">'Bordereau des Prix Cadres Lot 1'!#REF!</definedName>
    <definedName name="L_1_350" localSheetId="1">'Bordereau des Prix Cadres Lot 1'!$1230:$1230</definedName>
    <definedName name="L_1_351" localSheetId="1">'Bordereau des Prix Cadres Lot 1'!$1231:$1231</definedName>
    <definedName name="L_1_352" localSheetId="1">'Bordereau des Prix Cadres Lot 1'!#REF!</definedName>
    <definedName name="L_1_353" localSheetId="1">'Bordereau des Prix Cadres Lot 1'!$1236:$1236</definedName>
    <definedName name="L_1_354" localSheetId="1">'Bordereau des Prix Cadres Lot 1'!$1237:$1237</definedName>
    <definedName name="L_1_355" localSheetId="1">'Bordereau des Prix Cadres Lot 1'!$1238:$1238</definedName>
    <definedName name="L_1_356" localSheetId="1">'Bordereau des Prix Cadres Lot 1'!$1239:$1239</definedName>
    <definedName name="L_1_357" localSheetId="1">'Bordereau des Prix Cadres Lot 1'!$1240:$1240</definedName>
    <definedName name="L_1_358" localSheetId="1">'Bordereau des Prix Cadres Lot 1'!$1241:$1241</definedName>
    <definedName name="L_1_359" localSheetId="1">'Bordereau des Prix Cadres Lot 1'!$1242:$1242</definedName>
    <definedName name="L_1_36" localSheetId="1">'Bordereau des Prix Cadres Lot 1'!#REF!</definedName>
    <definedName name="L_1_360" localSheetId="1">'Bordereau des Prix Cadres Lot 1'!$1243:$1243</definedName>
    <definedName name="L_1_361" localSheetId="1">'Bordereau des Prix Cadres Lot 1'!#REF!</definedName>
    <definedName name="L_1_362" localSheetId="1">'Bordereau des Prix Cadres Lot 1'!$624:$624</definedName>
    <definedName name="L_1_363" localSheetId="1">'Bordereau des Prix Cadres Lot 1'!$626:$626</definedName>
    <definedName name="L_1_364" localSheetId="1">'Bordereau des Prix Cadres Lot 1'!#REF!</definedName>
    <definedName name="L_1_365" localSheetId="1">'Bordereau des Prix Cadres Lot 1'!#REF!</definedName>
    <definedName name="L_1_366" localSheetId="1">'Bordereau des Prix Cadres Lot 1'!#REF!</definedName>
    <definedName name="L_1_367" localSheetId="1">'Bordereau des Prix Cadres Lot 1'!#REF!</definedName>
    <definedName name="L_1_368" localSheetId="1">'Bordereau des Prix Cadres Lot 1'!#REF!</definedName>
    <definedName name="L_1_369" localSheetId="1">'Bordereau des Prix Cadres Lot 1'!#REF!</definedName>
    <definedName name="L_1_37" localSheetId="1">'Bordereau des Prix Cadres Lot 1'!#REF!</definedName>
    <definedName name="L_1_370" localSheetId="1">'Bordereau des Prix Cadres Lot 1'!#REF!</definedName>
    <definedName name="L_1_371" localSheetId="1">'Bordereau des Prix Cadres Lot 1'!#REF!</definedName>
    <definedName name="L_1_372" localSheetId="1">'Bordereau des Prix Cadres Lot 1'!#REF!</definedName>
    <definedName name="L_1_373" localSheetId="1">'Bordereau des Prix Cadres Lot 1'!#REF!</definedName>
    <definedName name="L_1_374" localSheetId="1">'Bordereau des Prix Cadres Lot 1'!#REF!</definedName>
    <definedName name="L_1_375" localSheetId="1">'Bordereau des Prix Cadres Lot 1'!#REF!</definedName>
    <definedName name="L_1_376" localSheetId="1">'Bordereau des Prix Cadres Lot 1'!#REF!</definedName>
    <definedName name="L_1_377" localSheetId="1">'Bordereau des Prix Cadres Lot 1'!#REF!</definedName>
    <definedName name="L_1_378" localSheetId="1">'Bordereau des Prix Cadres Lot 1'!#REF!</definedName>
    <definedName name="L_1_379" localSheetId="1">'Bordereau des Prix Cadres Lot 1'!$650:$650</definedName>
    <definedName name="L_1_38" localSheetId="1">'Bordereau des Prix Cadres Lot 1'!#REF!</definedName>
    <definedName name="L_1_380" localSheetId="1">'Bordereau des Prix Cadres Lot 1'!$651:$651</definedName>
    <definedName name="L_1_381" localSheetId="1">'Bordereau des Prix Cadres Lot 1'!$652:$652</definedName>
    <definedName name="L_1_382" localSheetId="1">'Bordereau des Prix Cadres Lot 1'!#REF!</definedName>
    <definedName name="L_1_383" localSheetId="1">'Bordereau des Prix Cadres Lot 1'!#REF!</definedName>
    <definedName name="L_1_384" localSheetId="1">'Bordereau des Prix Cadres Lot 1'!#REF!</definedName>
    <definedName name="L_1_385" localSheetId="1">'Bordereau des Prix Cadres Lot 1'!#REF!</definedName>
    <definedName name="L_1_386" localSheetId="1">'Bordereau des Prix Cadres Lot 1'!#REF!</definedName>
    <definedName name="L_1_387" localSheetId="1">'Bordereau des Prix Cadres Lot 1'!$660:$660</definedName>
    <definedName name="L_1_388" localSheetId="1">'Bordereau des Prix Cadres Lot 1'!$661:$661</definedName>
    <definedName name="L_1_389" localSheetId="1">'Bordereau des Prix Cadres Lot 1'!$662:$662</definedName>
    <definedName name="L_1_39" localSheetId="1">'Bordereau des Prix Cadres Lot 1'!#REF!</definedName>
    <definedName name="L_1_390" localSheetId="1">'Bordereau des Prix Cadres Lot 1'!$663:$663</definedName>
    <definedName name="L_1_391" localSheetId="1">'Bordereau des Prix Cadres Lot 1'!#REF!</definedName>
    <definedName name="L_1_392" localSheetId="1">'Bordereau des Prix Cadres Lot 1'!#REF!</definedName>
    <definedName name="L_1_393" localSheetId="1">'Bordereau des Prix Cadres Lot 1'!#REF!</definedName>
    <definedName name="L_1_394" localSheetId="1">'Bordereau des Prix Cadres Lot 1'!#REF!</definedName>
    <definedName name="L_1_395" localSheetId="1">'Bordereau des Prix Cadres Lot 1'!#REF!</definedName>
    <definedName name="L_1_396" localSheetId="1">'Bordereau des Prix Cadres Lot 1'!#REF!</definedName>
    <definedName name="L_1_397" localSheetId="1">'Bordereau des Prix Cadres Lot 1'!#REF!</definedName>
    <definedName name="L_1_398" localSheetId="1">'Bordereau des Prix Cadres Lot 1'!#REF!</definedName>
    <definedName name="L_1_399" localSheetId="1">'Bordereau des Prix Cadres Lot 1'!#REF!</definedName>
    <definedName name="L_1_4" localSheetId="1">'Bordereau des Prix Cadres Lot 1'!$11:$11</definedName>
    <definedName name="L_1_40" localSheetId="1">'Bordereau des Prix Cadres Lot 1'!#REF!</definedName>
    <definedName name="L_1_400" localSheetId="1">'Bordereau des Prix Cadres Lot 1'!#REF!</definedName>
    <definedName name="L_1_401" localSheetId="1">'Bordereau des Prix Cadres Lot 1'!#REF!</definedName>
    <definedName name="L_1_402" localSheetId="1">'Bordereau des Prix Cadres Lot 1'!#REF!</definedName>
    <definedName name="L_1_403" localSheetId="1">'Bordereau des Prix Cadres Lot 1'!#REF!</definedName>
    <definedName name="L_1_404" localSheetId="1">'Bordereau des Prix Cadres Lot 1'!#REF!</definedName>
    <definedName name="L_1_405" localSheetId="1">'Bordereau des Prix Cadres Lot 1'!#REF!</definedName>
    <definedName name="L_1_406" localSheetId="1">'Bordereau des Prix Cadres Lot 1'!#REF!</definedName>
    <definedName name="L_1_407" localSheetId="1">'Bordereau des Prix Cadres Lot 1'!#REF!</definedName>
    <definedName name="L_1_408" localSheetId="1">'Bordereau des Prix Cadres Lot 1'!#REF!</definedName>
    <definedName name="L_1_409" localSheetId="1">'Bordereau des Prix Cadres Lot 1'!#REF!</definedName>
    <definedName name="L_1_41" localSheetId="1">'Bordereau des Prix Cadres Lot 1'!#REF!</definedName>
    <definedName name="L_1_410" localSheetId="1">'Bordereau des Prix Cadres Lot 1'!#REF!</definedName>
    <definedName name="L_1_411" localSheetId="1">'Bordereau des Prix Cadres Lot 1'!#REF!</definedName>
    <definedName name="L_1_412" localSheetId="1">'Bordereau des Prix Cadres Lot 1'!#REF!</definedName>
    <definedName name="L_1_413" localSheetId="1">'Bordereau des Prix Cadres Lot 1'!#REF!</definedName>
    <definedName name="L_1_414" localSheetId="1">'Bordereau des Prix Cadres Lot 1'!#REF!</definedName>
    <definedName name="L_1_415" localSheetId="1">'Bordereau des Prix Cadres Lot 1'!#REF!</definedName>
    <definedName name="L_1_416" localSheetId="1">'Bordereau des Prix Cadres Lot 1'!#REF!</definedName>
    <definedName name="L_1_417" localSheetId="1">'Bordereau des Prix Cadres Lot 1'!#REF!</definedName>
    <definedName name="L_1_418" localSheetId="1">'Bordereau des Prix Cadres Lot 1'!#REF!</definedName>
    <definedName name="L_1_419" localSheetId="1">'Bordereau des Prix Cadres Lot 1'!#REF!</definedName>
    <definedName name="L_1_42" localSheetId="1">'Bordereau des Prix Cadres Lot 1'!#REF!</definedName>
    <definedName name="L_1_420" localSheetId="1">'Bordereau des Prix Cadres Lot 1'!#REF!</definedName>
    <definedName name="L_1_421" localSheetId="1">'Bordereau des Prix Cadres Lot 1'!$677:$677</definedName>
    <definedName name="L_1_422" localSheetId="1">'Bordereau des Prix Cadres Lot 1'!$679:$679</definedName>
    <definedName name="L_1_423" localSheetId="1">'Bordereau des Prix Cadres Lot 1'!#REF!</definedName>
    <definedName name="L_1_424" localSheetId="1">'Bordereau des Prix Cadres Lot 1'!#REF!</definedName>
    <definedName name="L_1_425" localSheetId="1">'Bordereau des Prix Cadres Lot 1'!#REF!</definedName>
    <definedName name="L_1_426" localSheetId="1">'Bordereau des Prix Cadres Lot 1'!#REF!</definedName>
    <definedName name="L_1_427" localSheetId="1">'Bordereau des Prix Cadres Lot 1'!#REF!</definedName>
    <definedName name="L_1_428" localSheetId="1">'Bordereau des Prix Cadres Lot 1'!#REF!</definedName>
    <definedName name="L_1_429" localSheetId="1">'Bordereau des Prix Cadres Lot 1'!#REF!</definedName>
    <definedName name="L_1_43" localSheetId="1">'Bordereau des Prix Cadres Lot 1'!#REF!</definedName>
    <definedName name="L_1_430" localSheetId="1">'Bordereau des Prix Cadres Lot 1'!#REF!</definedName>
    <definedName name="L_1_431" localSheetId="1">'Bordereau des Prix Cadres Lot 1'!$681:$681</definedName>
    <definedName name="L_1_432" localSheetId="1">'Bordereau des Prix Cadres Lot 1'!#REF!</definedName>
    <definedName name="L_1_433" localSheetId="1">'Bordereau des Prix Cadres Lot 1'!#REF!</definedName>
    <definedName name="L_1_434" localSheetId="1">'Bordereau des Prix Cadres Lot 1'!#REF!</definedName>
    <definedName name="L_1_435" localSheetId="1">'Bordereau des Prix Cadres Lot 1'!#REF!</definedName>
    <definedName name="L_1_436" localSheetId="1">'Bordereau des Prix Cadres Lot 1'!$683:$683</definedName>
    <definedName name="L_1_437" localSheetId="1">'Bordereau des Prix Cadres Lot 1'!#REF!</definedName>
    <definedName name="L_1_438" localSheetId="1">'Bordereau des Prix Cadres Lot 1'!#REF!</definedName>
    <definedName name="L_1_439" localSheetId="1">'Bordereau des Prix Cadres Lot 1'!#REF!</definedName>
    <definedName name="L_1_44" localSheetId="1">'Bordereau des Prix Cadres Lot 1'!#REF!</definedName>
    <definedName name="L_1_440" localSheetId="1">'Bordereau des Prix Cadres Lot 1'!#REF!</definedName>
    <definedName name="L_1_441" localSheetId="1">'Bordereau des Prix Cadres Lot 1'!#REF!</definedName>
    <definedName name="L_1_442" localSheetId="1">'Bordereau des Prix Cadres Lot 1'!$1406:$1406</definedName>
    <definedName name="L_1_443" localSheetId="1">'Bordereau des Prix Cadres Lot 1'!$1410:$1410</definedName>
    <definedName name="L_1_444" localSheetId="1">'Bordereau des Prix Cadres Lot 1'!#REF!</definedName>
    <definedName name="L_1_445" localSheetId="1">'Bordereau des Prix Cadres Lot 1'!#REF!</definedName>
    <definedName name="L_1_446" localSheetId="1">'Bordereau des Prix Cadres Lot 1'!#REF!</definedName>
    <definedName name="L_1_447" localSheetId="1">'Bordereau des Prix Cadres Lot 1'!$1433:$1433</definedName>
    <definedName name="L_1_448" localSheetId="1">'Bordereau des Prix Cadres Lot 1'!#REF!</definedName>
    <definedName name="L_1_449" localSheetId="1">'Bordereau des Prix Cadres Lot 1'!#REF!</definedName>
    <definedName name="L_1_45" localSheetId="1">'Bordereau des Prix Cadres Lot 1'!#REF!</definedName>
    <definedName name="L_1_450" localSheetId="1">'Bordereau des Prix Cadres Lot 1'!$1434:$1434</definedName>
    <definedName name="L_1_451" localSheetId="1">'Bordereau des Prix Cadres Lot 1'!#REF!</definedName>
    <definedName name="L_1_452" localSheetId="1">'Bordereau des Prix Cadres Lot 1'!#REF!</definedName>
    <definedName name="L_1_453" localSheetId="1">'Bordereau des Prix Cadres Lot 1'!$1435:$1435</definedName>
    <definedName name="L_1_454" localSheetId="1">'Bordereau des Prix Cadres Lot 1'!#REF!</definedName>
    <definedName name="L_1_455" localSheetId="1">'Bordereau des Prix Cadres Lot 1'!#REF!</definedName>
    <definedName name="L_1_456" localSheetId="1">'Bordereau des Prix Cadres Lot 1'!#REF!</definedName>
    <definedName name="L_1_457" localSheetId="1">'Bordereau des Prix Cadres Lot 1'!#REF!</definedName>
    <definedName name="L_1_458" localSheetId="1">'Bordereau des Prix Cadres Lot 1'!#REF!</definedName>
    <definedName name="L_1_459" localSheetId="1">'Bordereau des Prix Cadres Lot 1'!#REF!</definedName>
    <definedName name="L_1_46" localSheetId="1">'Bordereau des Prix Cadres Lot 1'!#REF!</definedName>
    <definedName name="L_1_460" localSheetId="1">'Bordereau des Prix Cadres Lot 1'!#REF!</definedName>
    <definedName name="L_1_461" localSheetId="1">'Bordereau des Prix Cadres Lot 1'!#REF!</definedName>
    <definedName name="L_1_462" localSheetId="1">'Bordereau des Prix Cadres Lot 1'!#REF!</definedName>
    <definedName name="L_1_463" localSheetId="1">'Bordereau des Prix Cadres Lot 1'!#REF!</definedName>
    <definedName name="L_1_464" localSheetId="1">'Bordereau des Prix Cadres Lot 1'!#REF!</definedName>
    <definedName name="L_1_465" localSheetId="1">'Bordereau des Prix Cadres Lot 1'!#REF!</definedName>
    <definedName name="L_1_466" localSheetId="1">'Bordereau des Prix Cadres Lot 1'!#REF!</definedName>
    <definedName name="L_1_467" localSheetId="1">'Bordereau des Prix Cadres Lot 1'!#REF!</definedName>
    <definedName name="L_1_468" localSheetId="1">'Bordereau des Prix Cadres Lot 1'!#REF!</definedName>
    <definedName name="L_1_469" localSheetId="1">'Bordereau des Prix Cadres Lot 1'!#REF!</definedName>
    <definedName name="L_1_47" localSheetId="1">'Bordereau des Prix Cadres Lot 1'!#REF!</definedName>
    <definedName name="L_1_470" localSheetId="1">'Bordereau des Prix Cadres Lot 1'!#REF!</definedName>
    <definedName name="L_1_471" localSheetId="1">'Bordereau des Prix Cadres Lot 1'!#REF!</definedName>
    <definedName name="L_1_472" localSheetId="1">'Bordereau des Prix Cadres Lot 1'!#REF!</definedName>
    <definedName name="L_1_473" localSheetId="1">'Bordereau des Prix Cadres Lot 1'!#REF!</definedName>
    <definedName name="L_1_474" localSheetId="1">'Bordereau des Prix Cadres Lot 1'!#REF!</definedName>
    <definedName name="L_1_475" localSheetId="1">'Bordereau des Prix Cadres Lot 1'!#REF!</definedName>
    <definedName name="L_1_476" localSheetId="1">'Bordereau des Prix Cadres Lot 1'!#REF!</definedName>
    <definedName name="L_1_477" localSheetId="1">'Bordereau des Prix Cadres Lot 1'!#REF!</definedName>
    <definedName name="L_1_478" localSheetId="1">'Bordereau des Prix Cadres Lot 1'!#REF!</definedName>
    <definedName name="L_1_479" localSheetId="1">'Bordereau des Prix Cadres Lot 1'!#REF!</definedName>
    <definedName name="L_1_48" localSheetId="1">'Bordereau des Prix Cadres Lot 1'!#REF!</definedName>
    <definedName name="L_1_480" localSheetId="1">'Bordereau des Prix Cadres Lot 1'!#REF!</definedName>
    <definedName name="L_1_481" localSheetId="1">'Bordereau des Prix Cadres Lot 1'!#REF!</definedName>
    <definedName name="L_1_482" localSheetId="1">'Bordereau des Prix Cadres Lot 1'!#REF!</definedName>
    <definedName name="L_1_483" localSheetId="1">'Bordereau des Prix Cadres Lot 1'!#REF!</definedName>
    <definedName name="L_1_484" localSheetId="1">'Bordereau des Prix Cadres Lot 1'!#REF!</definedName>
    <definedName name="L_1_485" localSheetId="1">'Bordereau des Prix Cadres Lot 1'!#REF!</definedName>
    <definedName name="L_1_486" localSheetId="1">'Bordereau des Prix Cadres Lot 1'!#REF!</definedName>
    <definedName name="L_1_487" localSheetId="1">'Bordereau des Prix Cadres Lot 1'!#REF!</definedName>
    <definedName name="L_1_488" localSheetId="1">'Bordereau des Prix Cadres Lot 1'!#REF!</definedName>
    <definedName name="L_1_489" localSheetId="1">'Bordereau des Prix Cadres Lot 1'!#REF!</definedName>
    <definedName name="L_1_49" localSheetId="1">'Bordereau des Prix Cadres Lot 1'!#REF!</definedName>
    <definedName name="L_1_490" localSheetId="1">'Bordereau des Prix Cadres Lot 1'!#REF!</definedName>
    <definedName name="L_1_491" localSheetId="1">'Bordereau des Prix Cadres Lot 1'!#REF!</definedName>
    <definedName name="L_1_492" localSheetId="1">'Bordereau des Prix Cadres Lot 1'!#REF!</definedName>
    <definedName name="L_1_493" localSheetId="1">'Bordereau des Prix Cadres Lot 1'!#REF!</definedName>
    <definedName name="L_1_494" localSheetId="1">'Bordereau des Prix Cadres Lot 1'!#REF!</definedName>
    <definedName name="L_1_495" localSheetId="1">'Bordereau des Prix Cadres Lot 1'!#REF!</definedName>
    <definedName name="L_1_496" localSheetId="1">'Bordereau des Prix Cadres Lot 1'!#REF!</definedName>
    <definedName name="L_1_497" localSheetId="1">'Bordereau des Prix Cadres Lot 1'!#REF!</definedName>
    <definedName name="L_1_498" localSheetId="1">'Bordereau des Prix Cadres Lot 1'!#REF!</definedName>
    <definedName name="L_1_499" localSheetId="1">'Bordereau des Prix Cadres Lot 1'!#REF!</definedName>
    <definedName name="L_1_5" localSheetId="1">'Bordereau des Prix Cadres Lot 1'!$12:$12</definedName>
    <definedName name="L_1_50" localSheetId="1">'Bordereau des Prix Cadres Lot 1'!#REF!</definedName>
    <definedName name="L_1_500" localSheetId="1">'Bordereau des Prix Cadres Lot 1'!#REF!</definedName>
    <definedName name="L_1_501" localSheetId="1">'Bordereau des Prix Cadres Lot 1'!#REF!</definedName>
    <definedName name="L_1_502" localSheetId="1">'Bordereau des Prix Cadres Lot 1'!#REF!</definedName>
    <definedName name="L_1_503" localSheetId="1">'Bordereau des Prix Cadres Lot 1'!#REF!</definedName>
    <definedName name="L_1_504" localSheetId="1">'Bordereau des Prix Cadres Lot 1'!#REF!</definedName>
    <definedName name="L_1_505" localSheetId="1">'Bordereau des Prix Cadres Lot 1'!#REF!</definedName>
    <definedName name="L_1_506" localSheetId="1">'Bordereau des Prix Cadres Lot 1'!#REF!</definedName>
    <definedName name="L_1_507" localSheetId="1">'Bordereau des Prix Cadres Lot 1'!#REF!</definedName>
    <definedName name="L_1_508" localSheetId="1">'Bordereau des Prix Cadres Lot 1'!#REF!</definedName>
    <definedName name="L_1_509" localSheetId="1">'Bordereau des Prix Cadres Lot 1'!#REF!</definedName>
    <definedName name="L_1_51" localSheetId="1">'Bordereau des Prix Cadres Lot 1'!#REF!</definedName>
    <definedName name="L_1_510" localSheetId="1">'Bordereau des Prix Cadres Lot 1'!#REF!</definedName>
    <definedName name="L_1_511" localSheetId="1">'Bordereau des Prix Cadres Lot 1'!#REF!</definedName>
    <definedName name="L_1_512" localSheetId="1">'Bordereau des Prix Cadres Lot 1'!#REF!</definedName>
    <definedName name="L_1_513" localSheetId="1">'Bordereau des Prix Cadres Lot 1'!#REF!</definedName>
    <definedName name="L_1_514" localSheetId="1">'Bordereau des Prix Cadres Lot 1'!#REF!</definedName>
    <definedName name="L_1_515" localSheetId="1">'Bordereau des Prix Cadres Lot 1'!#REF!</definedName>
    <definedName name="L_1_516" localSheetId="1">'Bordereau des Prix Cadres Lot 1'!#REF!</definedName>
    <definedName name="L_1_517" localSheetId="1">'Bordereau des Prix Cadres Lot 1'!#REF!</definedName>
    <definedName name="L_1_518" localSheetId="1">'Bordereau des Prix Cadres Lot 1'!#REF!</definedName>
    <definedName name="L_1_519" localSheetId="1">'Bordereau des Prix Cadres Lot 1'!#REF!</definedName>
    <definedName name="L_1_52" localSheetId="1">'Bordereau des Prix Cadres Lot 1'!#REF!</definedName>
    <definedName name="L_1_520" localSheetId="1">'Bordereau des Prix Cadres Lot 1'!#REF!</definedName>
    <definedName name="L_1_521" localSheetId="1">'Bordereau des Prix Cadres Lot 1'!#REF!</definedName>
    <definedName name="L_1_522" localSheetId="1">'Bordereau des Prix Cadres Lot 1'!#REF!</definedName>
    <definedName name="L_1_523" localSheetId="1">'Bordereau des Prix Cadres Lot 1'!#REF!</definedName>
    <definedName name="L_1_524" localSheetId="1">'Bordereau des Prix Cadres Lot 1'!#REF!</definedName>
    <definedName name="L_1_525" localSheetId="1">'Bordereau des Prix Cadres Lot 1'!#REF!</definedName>
    <definedName name="L_1_526" localSheetId="1">'Bordereau des Prix Cadres Lot 1'!#REF!</definedName>
    <definedName name="L_1_527" localSheetId="1">'Bordereau des Prix Cadres Lot 1'!#REF!</definedName>
    <definedName name="L_1_528" localSheetId="1">'Bordereau des Prix Cadres Lot 1'!#REF!</definedName>
    <definedName name="L_1_529" localSheetId="1">'Bordereau des Prix Cadres Lot 1'!#REF!</definedName>
    <definedName name="L_1_53" localSheetId="1">'Bordereau des Prix Cadres Lot 1'!#REF!</definedName>
    <definedName name="L_1_530" localSheetId="1">'Bordereau des Prix Cadres Lot 1'!#REF!</definedName>
    <definedName name="L_1_531" localSheetId="1">'Bordereau des Prix Cadres Lot 1'!#REF!</definedName>
    <definedName name="L_1_532" localSheetId="1">'Bordereau des Prix Cadres Lot 1'!#REF!</definedName>
    <definedName name="L_1_533" localSheetId="1">'Bordereau des Prix Cadres Lot 1'!#REF!</definedName>
    <definedName name="L_1_534" localSheetId="1">'Bordereau des Prix Cadres Lot 1'!#REF!</definedName>
    <definedName name="L_1_535" localSheetId="1">'Bordereau des Prix Cadres Lot 1'!#REF!</definedName>
    <definedName name="L_1_536" localSheetId="1">'Bordereau des Prix Cadres Lot 1'!#REF!</definedName>
    <definedName name="L_1_537" localSheetId="1">'Bordereau des Prix Cadres Lot 1'!#REF!</definedName>
    <definedName name="L_1_538" localSheetId="1">'Bordereau des Prix Cadres Lot 1'!#REF!</definedName>
    <definedName name="L_1_539" localSheetId="1">'Bordereau des Prix Cadres Lot 1'!#REF!</definedName>
    <definedName name="L_1_54" localSheetId="1">'Bordereau des Prix Cadres Lot 1'!#REF!</definedName>
    <definedName name="L_1_540" localSheetId="1">'Bordereau des Prix Cadres Lot 1'!#REF!</definedName>
    <definedName name="L_1_541" localSheetId="1">'Bordereau des Prix Cadres Lot 1'!#REF!</definedName>
    <definedName name="L_1_542" localSheetId="1">'Bordereau des Prix Cadres Lot 1'!#REF!</definedName>
    <definedName name="L_1_543" localSheetId="1">'Bordereau des Prix Cadres Lot 1'!#REF!</definedName>
    <definedName name="L_1_544" localSheetId="1">'Bordereau des Prix Cadres Lot 1'!#REF!</definedName>
    <definedName name="L_1_545" localSheetId="1">'Bordereau des Prix Cadres Lot 1'!#REF!</definedName>
    <definedName name="L_1_546" localSheetId="1">'Bordereau des Prix Cadres Lot 1'!#REF!</definedName>
    <definedName name="L_1_547" localSheetId="1">'Bordereau des Prix Cadres Lot 1'!#REF!</definedName>
    <definedName name="L_1_548" localSheetId="1">'Bordereau des Prix Cadres Lot 1'!#REF!</definedName>
    <definedName name="L_1_549" localSheetId="1">'Bordereau des Prix Cadres Lot 1'!#REF!</definedName>
    <definedName name="L_1_55" localSheetId="1">'Bordereau des Prix Cadres Lot 1'!#REF!</definedName>
    <definedName name="L_1_550" localSheetId="1">'Bordereau des Prix Cadres Lot 1'!#REF!</definedName>
    <definedName name="L_1_551" localSheetId="1">'Bordereau des Prix Cadres Lot 1'!#REF!</definedName>
    <definedName name="L_1_552" localSheetId="1">'Bordereau des Prix Cadres Lot 1'!#REF!</definedName>
    <definedName name="L_1_553" localSheetId="1">'Bordereau des Prix Cadres Lot 1'!#REF!</definedName>
    <definedName name="L_1_554" localSheetId="1">'Bordereau des Prix Cadres Lot 1'!#REF!</definedName>
    <definedName name="L_1_555" localSheetId="1">'Bordereau des Prix Cadres Lot 1'!#REF!</definedName>
    <definedName name="L_1_556" localSheetId="1">'Bordereau des Prix Cadres Lot 1'!#REF!</definedName>
    <definedName name="L_1_557" localSheetId="1">'Bordereau des Prix Cadres Lot 1'!#REF!</definedName>
    <definedName name="L_1_558" localSheetId="1">'Bordereau des Prix Cadres Lot 1'!#REF!</definedName>
    <definedName name="L_1_559" localSheetId="1">'Bordereau des Prix Cadres Lot 1'!#REF!</definedName>
    <definedName name="L_1_56" localSheetId="1">'Bordereau des Prix Cadres Lot 1'!#REF!</definedName>
    <definedName name="L_1_560" localSheetId="1">'Bordereau des Prix Cadres Lot 1'!$1584:$1584</definedName>
    <definedName name="L_1_561" localSheetId="1">'Bordereau des Prix Cadres Lot 1'!$1586:$1586</definedName>
    <definedName name="L_1_562" localSheetId="1">'Bordereau des Prix Cadres Lot 1'!#REF!</definedName>
    <definedName name="L_1_563" localSheetId="1">'Bordereau des Prix Cadres Lot 1'!#REF!</definedName>
    <definedName name="L_1_564" localSheetId="1">'Bordereau des Prix Cadres Lot 1'!#REF!</definedName>
    <definedName name="L_1_565" localSheetId="1">'Bordereau des Prix Cadres Lot 1'!#REF!</definedName>
    <definedName name="L_1_566" localSheetId="1">'Bordereau des Prix Cadres Lot 1'!#REF!</definedName>
    <definedName name="L_1_567" localSheetId="1">'Bordereau des Prix Cadres Lot 1'!#REF!</definedName>
    <definedName name="L_1_568" localSheetId="1">'Bordereau des Prix Cadres Lot 1'!#REF!</definedName>
    <definedName name="L_1_569" localSheetId="1">'Bordereau des Prix Cadres Lot 1'!#REF!</definedName>
    <definedName name="L_1_57" localSheetId="1">'Bordereau des Prix Cadres Lot 1'!#REF!</definedName>
    <definedName name="L_1_570" localSheetId="1">'Bordereau des Prix Cadres Lot 1'!#REF!</definedName>
    <definedName name="L_1_571" localSheetId="1">'Bordereau des Prix Cadres Lot 1'!#REF!</definedName>
    <definedName name="L_1_572" localSheetId="1">'Bordereau des Prix Cadres Lot 1'!#REF!</definedName>
    <definedName name="L_1_573" localSheetId="1">'Bordereau des Prix Cadres Lot 1'!#REF!</definedName>
    <definedName name="L_1_574" localSheetId="1">'Bordereau des Prix Cadres Lot 1'!#REF!</definedName>
    <definedName name="L_1_575" localSheetId="1">'Bordereau des Prix Cadres Lot 1'!#REF!</definedName>
    <definedName name="L_1_576" localSheetId="1">'Bordereau des Prix Cadres Lot 1'!#REF!</definedName>
    <definedName name="L_1_577" localSheetId="1">'Bordereau des Prix Cadres Lot 1'!#REF!</definedName>
    <definedName name="L_1_578" localSheetId="1">'Bordereau des Prix Cadres Lot 1'!$1648:$1648</definedName>
    <definedName name="L_1_579" localSheetId="1">'Bordereau des Prix Cadres Lot 1'!#REF!</definedName>
    <definedName name="L_1_58" localSheetId="1">'Bordereau des Prix Cadres Lot 1'!#REF!</definedName>
    <definedName name="L_1_580" localSheetId="1">'Bordereau des Prix Cadres Lot 1'!#REF!</definedName>
    <definedName name="L_1_581" localSheetId="1">'Bordereau des Prix Cadres Lot 1'!#REF!</definedName>
    <definedName name="L_1_582" localSheetId="1">'Bordereau des Prix Cadres Lot 1'!#REF!</definedName>
    <definedName name="L_1_583" localSheetId="1">'Bordereau des Prix Cadres Lot 1'!#REF!</definedName>
    <definedName name="L_1_584" localSheetId="1">'Bordereau des Prix Cadres Lot 1'!#REF!</definedName>
    <definedName name="L_1_585" localSheetId="1">'Bordereau des Prix Cadres Lot 1'!#REF!</definedName>
    <definedName name="L_1_586" localSheetId="1">'Bordereau des Prix Cadres Lot 1'!#REF!</definedName>
    <definedName name="L_1_587" localSheetId="1">'Bordereau des Prix Cadres Lot 1'!#REF!</definedName>
    <definedName name="L_1_588" localSheetId="1">'Bordereau des Prix Cadres Lot 1'!#REF!</definedName>
    <definedName name="L_1_589" localSheetId="1">'Bordereau des Prix Cadres Lot 1'!#REF!</definedName>
    <definedName name="L_1_59" localSheetId="1">'Bordereau des Prix Cadres Lot 1'!#REF!</definedName>
    <definedName name="L_1_590" localSheetId="1">'Bordereau des Prix Cadres Lot 1'!$3295:$3295</definedName>
    <definedName name="L_1_591" localSheetId="1">'Bordereau des Prix Cadres Lot 1'!$4460:$4460</definedName>
    <definedName name="L_1_592" localSheetId="1">'Bordereau des Prix Cadres Lot 1'!$4461:$4461</definedName>
    <definedName name="L_1_593" localSheetId="1">'Bordereau des Prix Cadres Lot 1'!$4462:$4462</definedName>
    <definedName name="L_1_594" localSheetId="1">'Bordereau des Prix Cadres Lot 1'!$4463:$4463</definedName>
    <definedName name="L_1_595" localSheetId="1">'Bordereau des Prix Cadres Lot 1'!$4464:$4464</definedName>
    <definedName name="L_1_596" localSheetId="1">'Bordereau des Prix Cadres Lot 1'!$4465:$4465</definedName>
    <definedName name="L_1_597" localSheetId="1">'Bordereau des Prix Cadres Lot 1'!$4466:$4466</definedName>
    <definedName name="L_1_598" localSheetId="1">'Bordereau des Prix Cadres Lot 1'!$4467:$4467</definedName>
    <definedName name="L_1_599" localSheetId="1">'Bordereau des Prix Cadres Lot 1'!$4468:$4468</definedName>
    <definedName name="L_1_6" localSheetId="1">'Bordereau des Prix Cadres Lot 1'!$23:$23</definedName>
    <definedName name="L_1_60" localSheetId="1">'Bordereau des Prix Cadres Lot 1'!#REF!</definedName>
    <definedName name="L_1_600" localSheetId="1">'Bordereau des Prix Cadres Lot 1'!$4469:$4469</definedName>
    <definedName name="L_1_601" localSheetId="1">'Bordereau des Prix Cadres Lot 1'!#REF!</definedName>
    <definedName name="L_1_602" localSheetId="1">'Bordereau des Prix Cadres Lot 1'!#REF!</definedName>
    <definedName name="L_1_603" localSheetId="1">'Bordereau des Prix Cadres Lot 1'!#REF!</definedName>
    <definedName name="L_1_604" localSheetId="1">'Bordereau des Prix Cadres Lot 1'!#REF!</definedName>
    <definedName name="L_1_605" localSheetId="1">'Bordereau des Prix Cadres Lot 1'!#REF!</definedName>
    <definedName name="L_1_606" localSheetId="1">'Bordereau des Prix Cadres Lot 1'!#REF!</definedName>
    <definedName name="L_1_607" localSheetId="1">'Bordereau des Prix Cadres Lot 1'!#REF!</definedName>
    <definedName name="L_1_608" localSheetId="1">'Bordereau des Prix Cadres Lot 1'!#REF!</definedName>
    <definedName name="L_1_609" localSheetId="1">'Bordereau des Prix Cadres Lot 1'!#REF!</definedName>
    <definedName name="L_1_61" localSheetId="1">'Bordereau des Prix Cadres Lot 1'!#REF!</definedName>
    <definedName name="L_1_610" localSheetId="1">'Bordereau des Prix Cadres Lot 1'!#REF!</definedName>
    <definedName name="L_1_611" localSheetId="1">'Bordereau des Prix Cadres Lot 1'!#REF!</definedName>
    <definedName name="L_1_612" localSheetId="1">'Bordereau des Prix Cadres Lot 1'!$4582:$4582</definedName>
    <definedName name="L_1_613" localSheetId="1">'Bordereau des Prix Cadres Lot 1'!$4583:$4583</definedName>
    <definedName name="L_1_614" localSheetId="1">'Bordereau des Prix Cadres Lot 1'!$4584:$4584</definedName>
    <definedName name="L_1_615" localSheetId="1">'Bordereau des Prix Cadres Lot 1'!$4585:$4585</definedName>
    <definedName name="L_1_616" localSheetId="1">'Bordereau des Prix Cadres Lot 1'!$4586:$4586</definedName>
    <definedName name="L_1_617" localSheetId="1">'Bordereau des Prix Cadres Lot 1'!$4587:$4587</definedName>
    <definedName name="L_1_618" localSheetId="1">'Bordereau des Prix Cadres Lot 1'!$4588:$4588</definedName>
    <definedName name="L_1_619" localSheetId="1">'Bordereau des Prix Cadres Lot 1'!$4589:$4589</definedName>
    <definedName name="L_1_62" localSheetId="1">'Bordereau des Prix Cadres Lot 1'!#REF!</definedName>
    <definedName name="L_1_620" localSheetId="1">'Bordereau des Prix Cadres Lot 1'!$4590:$4590</definedName>
    <definedName name="L_1_621" localSheetId="1">'Bordereau des Prix Cadres Lot 1'!$4591:$4591</definedName>
    <definedName name="L_1_622" localSheetId="1">'Bordereau des Prix Cadres Lot 1'!$1801:$1801</definedName>
    <definedName name="L_1_623" localSheetId="1">'Bordereau des Prix Cadres Lot 1'!#REF!</definedName>
    <definedName name="L_1_624" localSheetId="1">'Bordereau des Prix Cadres Lot 1'!#REF!</definedName>
    <definedName name="L_1_625" localSheetId="1">'Bordereau des Prix Cadres Lot 1'!#REF!</definedName>
    <definedName name="L_1_626" localSheetId="1">'Bordereau des Prix Cadres Lot 1'!#REF!</definedName>
    <definedName name="L_1_627" localSheetId="1">'Bordereau des Prix Cadres Lot 1'!#REF!</definedName>
    <definedName name="L_1_628" localSheetId="1">'Bordereau des Prix Cadres Lot 1'!#REF!</definedName>
    <definedName name="L_1_629" localSheetId="1">'Bordereau des Prix Cadres Lot 1'!#REF!</definedName>
    <definedName name="L_1_63" localSheetId="1">'Bordereau des Prix Cadres Lot 1'!#REF!</definedName>
    <definedName name="L_1_630" localSheetId="1">'Bordereau des Prix Cadres Lot 1'!#REF!</definedName>
    <definedName name="L_1_631" localSheetId="1">'Bordereau des Prix Cadres Lot 1'!#REF!</definedName>
    <definedName name="L_1_632" localSheetId="1">'Bordereau des Prix Cadres Lot 1'!#REF!</definedName>
    <definedName name="L_1_633" localSheetId="1">'Bordereau des Prix Cadres Lot 1'!#REF!</definedName>
    <definedName name="L_1_634" localSheetId="1">'Bordereau des Prix Cadres Lot 1'!#REF!</definedName>
    <definedName name="L_1_635" localSheetId="1">'Bordereau des Prix Cadres Lot 1'!#REF!</definedName>
    <definedName name="L_1_636" localSheetId="1">'Bordereau des Prix Cadres Lot 1'!#REF!</definedName>
    <definedName name="L_1_637" localSheetId="1">'Bordereau des Prix Cadres Lot 1'!#REF!</definedName>
    <definedName name="L_1_638" localSheetId="1">'Bordereau des Prix Cadres Lot 1'!#REF!</definedName>
    <definedName name="L_1_639" localSheetId="1">'Bordereau des Prix Cadres Lot 1'!$1829:$1829</definedName>
    <definedName name="L_1_64" localSheetId="1">'Bordereau des Prix Cadres Lot 1'!#REF!</definedName>
    <definedName name="L_1_640" localSheetId="1">'Bordereau des Prix Cadres Lot 1'!$1830:$1830</definedName>
    <definedName name="L_1_641" localSheetId="1">'Bordereau des Prix Cadres Lot 1'!$1831:$1831</definedName>
    <definedName name="L_1_642" localSheetId="1">'Bordereau des Prix Cadres Lot 1'!$1832:$1832</definedName>
    <definedName name="L_1_643" localSheetId="1">'Bordereau des Prix Cadres Lot 1'!$1833:$1833</definedName>
    <definedName name="L_1_644" localSheetId="1">'Bordereau des Prix Cadres Lot 1'!$1834:$1834</definedName>
    <definedName name="L_1_645" localSheetId="1">'Bordereau des Prix Cadres Lot 1'!$1836:$1836</definedName>
    <definedName name="L_1_646" localSheetId="1">'Bordereau des Prix Cadres Lot 1'!$1837:$1837</definedName>
    <definedName name="L_1_647" localSheetId="1">'Bordereau des Prix Cadres Lot 1'!#REF!</definedName>
    <definedName name="L_1_648" localSheetId="1">'Bordereau des Prix Cadres Lot 1'!#REF!</definedName>
    <definedName name="L_1_649" localSheetId="1">'Bordereau des Prix Cadres Lot 1'!#REF!</definedName>
    <definedName name="L_1_65" localSheetId="1">'Bordereau des Prix Cadres Lot 1'!#REF!</definedName>
    <definedName name="L_1_650" localSheetId="1">'Bordereau des Prix Cadres Lot 1'!$1857:$1857</definedName>
    <definedName name="L_1_651" localSheetId="1">'Bordereau des Prix Cadres Lot 1'!$1858:$1858</definedName>
    <definedName name="L_1_652" localSheetId="1">'Bordereau des Prix Cadres Lot 1'!$1859:$1859</definedName>
    <definedName name="L_1_653" localSheetId="1">'Bordereau des Prix Cadres Lot 1'!$1860:$1860</definedName>
    <definedName name="L_1_654" localSheetId="1">'Bordereau des Prix Cadres Lot 1'!$1861:$1861</definedName>
    <definedName name="L_1_655" localSheetId="1">'Bordereau des Prix Cadres Lot 1'!$1862:$1862</definedName>
    <definedName name="L_1_656" localSheetId="1">'Bordereau des Prix Cadres Lot 1'!$1864:$1864</definedName>
    <definedName name="L_1_657" localSheetId="1">'Bordereau des Prix Cadres Lot 1'!$1865:$1865</definedName>
    <definedName name="L_1_658" localSheetId="1">'Bordereau des Prix Cadres Lot 1'!#REF!</definedName>
    <definedName name="L_1_659" localSheetId="1">'Bordereau des Prix Cadres Lot 1'!#REF!</definedName>
    <definedName name="L_1_66" localSheetId="1">'Bordereau des Prix Cadres Lot 1'!#REF!</definedName>
    <definedName name="L_1_660" localSheetId="1">'Bordereau des Prix Cadres Lot 1'!$1934:$1934</definedName>
    <definedName name="L_1_661" localSheetId="1">'Bordereau des Prix Cadres Lot 1'!$1935:$1935</definedName>
    <definedName name="L_1_662" localSheetId="1">'Bordereau des Prix Cadres Lot 1'!$1936:$1936</definedName>
    <definedName name="L_1_663" localSheetId="1">'Bordereau des Prix Cadres Lot 1'!$1937:$1937</definedName>
    <definedName name="L_1_664" localSheetId="1">'Bordereau des Prix Cadres Lot 1'!$1938:$1938</definedName>
    <definedName name="L_1_665" localSheetId="1">'Bordereau des Prix Cadres Lot 1'!$1939:$1939</definedName>
    <definedName name="L_1_666" localSheetId="1">'Bordereau des Prix Cadres Lot 1'!#REF!</definedName>
    <definedName name="L_1_667" localSheetId="1">'Bordereau des Prix Cadres Lot 1'!$1980:$1980</definedName>
    <definedName name="L_1_668" localSheetId="1">'Bordereau des Prix Cadres Lot 1'!$1981:$1981</definedName>
    <definedName name="L_1_669" localSheetId="1">'Bordereau des Prix Cadres Lot 1'!#REF!</definedName>
    <definedName name="L_1_67" localSheetId="1">'Bordereau des Prix Cadres Lot 1'!$196:$196</definedName>
    <definedName name="L_1_670" localSheetId="1">'Bordereau des Prix Cadres Lot 1'!#REF!</definedName>
    <definedName name="L_1_671" localSheetId="1">'Bordereau des Prix Cadres Lot 1'!#REF!</definedName>
    <definedName name="L_1_672" localSheetId="1">'Bordereau des Prix Cadres Lot 1'!#REF!</definedName>
    <definedName name="L_1_673" localSheetId="1">'Bordereau des Prix Cadres Lot 1'!#REF!</definedName>
    <definedName name="L_1_674" localSheetId="1">'Bordereau des Prix Cadres Lot 1'!#REF!</definedName>
    <definedName name="L_1_675" localSheetId="1">'Bordereau des Prix Cadres Lot 1'!#REF!</definedName>
    <definedName name="L_1_676" localSheetId="1">'Bordereau des Prix Cadres Lot 1'!#REF!</definedName>
    <definedName name="L_1_677" localSheetId="1">'Bordereau des Prix Cadres Lot 1'!#REF!</definedName>
    <definedName name="L_1_678" localSheetId="1">'Bordereau des Prix Cadres Lot 1'!$2013:$2013</definedName>
    <definedName name="L_1_679" localSheetId="1">'Bordereau des Prix Cadres Lot 1'!$2014:$2014</definedName>
    <definedName name="L_1_68" localSheetId="1">'Bordereau des Prix Cadres Lot 1'!$197:$197</definedName>
    <definedName name="L_1_680" localSheetId="1">'Bordereau des Prix Cadres Lot 1'!#REF!</definedName>
    <definedName name="L_1_681" localSheetId="1">'Bordereau des Prix Cadres Lot 1'!#REF!</definedName>
    <definedName name="L_1_682" localSheetId="1">'Bordereau des Prix Cadres Lot 1'!#REF!</definedName>
    <definedName name="L_1_683" localSheetId="1">'Bordereau des Prix Cadres Lot 1'!#REF!</definedName>
    <definedName name="L_1_684" localSheetId="1">'Bordereau des Prix Cadres Lot 1'!#REF!</definedName>
    <definedName name="L_1_685" localSheetId="1">'Bordereau des Prix Cadres Lot 1'!#REF!</definedName>
    <definedName name="L_1_686" localSheetId="1">'Bordereau des Prix Cadres Lot 1'!#REF!</definedName>
    <definedName name="L_1_687" localSheetId="1">'Bordereau des Prix Cadres Lot 1'!#REF!</definedName>
    <definedName name="L_1_688" localSheetId="1">'Bordereau des Prix Cadres Lot 1'!#REF!</definedName>
    <definedName name="L_1_689" localSheetId="1">'Bordereau des Prix Cadres Lot 1'!#REF!</definedName>
    <definedName name="L_1_69" localSheetId="1">'Bordereau des Prix Cadres Lot 1'!$199:$199</definedName>
    <definedName name="L_1_690" localSheetId="1">'Bordereau des Prix Cadres Lot 1'!$2031:$2031</definedName>
    <definedName name="L_1_691" localSheetId="1">'Bordereau des Prix Cadres Lot 1'!$2032:$2032</definedName>
    <definedName name="L_1_692" localSheetId="1">'Bordereau des Prix Cadres Lot 1'!#REF!</definedName>
    <definedName name="L_1_693" localSheetId="1">'Bordereau des Prix Cadres Lot 1'!#REF!</definedName>
    <definedName name="L_1_694" localSheetId="1">'Bordereau des Prix Cadres Lot 1'!#REF!</definedName>
    <definedName name="L_1_695" localSheetId="1">'Bordereau des Prix Cadres Lot 1'!#REF!</definedName>
    <definedName name="L_1_696" localSheetId="1">'Bordereau des Prix Cadres Lot 1'!#REF!</definedName>
    <definedName name="L_1_697" localSheetId="1">'Bordereau des Prix Cadres Lot 1'!#REF!</definedName>
    <definedName name="L_1_698" localSheetId="1">'Bordereau des Prix Cadres Lot 1'!$2091:$2091</definedName>
    <definedName name="L_1_699" localSheetId="1">'Bordereau des Prix Cadres Lot 1'!$2092:$2092</definedName>
    <definedName name="L_1_7" localSheetId="1">'Bordereau des Prix Cadres Lot 1'!#REF!</definedName>
    <definedName name="L_1_70" localSheetId="1">'Bordereau des Prix Cadres Lot 1'!#REF!</definedName>
    <definedName name="L_1_700" localSheetId="1">'Bordereau des Prix Cadres Lot 1'!#REF!</definedName>
    <definedName name="L_1_701" localSheetId="1">'Bordereau des Prix Cadres Lot 1'!#REF!</definedName>
    <definedName name="L_1_702" localSheetId="1">'Bordereau des Prix Cadres Lot 1'!#REF!</definedName>
    <definedName name="L_1_703" localSheetId="1">'Bordereau des Prix Cadres Lot 1'!#REF!</definedName>
    <definedName name="L_1_704" localSheetId="1">'Bordereau des Prix Cadres Lot 1'!#REF!</definedName>
    <definedName name="L_1_705" localSheetId="1">'Bordereau des Prix Cadres Lot 1'!#REF!</definedName>
    <definedName name="L_1_706" localSheetId="1">'Bordereau des Prix Cadres Lot 1'!#REF!</definedName>
    <definedName name="L_1_707" localSheetId="1">'Bordereau des Prix Cadres Lot 1'!$2126:$2126</definedName>
    <definedName name="L_1_708" localSheetId="1">'Bordereau des Prix Cadres Lot 1'!$2127:$2127</definedName>
    <definedName name="L_1_709" localSheetId="1">'Bordereau des Prix Cadres Lot 1'!$2128:$2128</definedName>
    <definedName name="L_1_71" localSheetId="1">'Bordereau des Prix Cadres Lot 1'!$200:$200</definedName>
    <definedName name="L_1_710" localSheetId="1">'Bordereau des Prix Cadres Lot 1'!$2129:$2129</definedName>
    <definedName name="L_1_711" localSheetId="1">'Bordereau des Prix Cadres Lot 1'!$2130:$2130</definedName>
    <definedName name="L_1_712" localSheetId="1">'Bordereau des Prix Cadres Lot 1'!$2131:$2131</definedName>
    <definedName name="L_1_713" localSheetId="1">'Bordereau des Prix Cadres Lot 1'!$2132:$2132</definedName>
    <definedName name="L_1_714" localSheetId="1">'Bordereau des Prix Cadres Lot 1'!$2133:$2133</definedName>
    <definedName name="L_1_715" localSheetId="1">'Bordereau des Prix Cadres Lot 1'!$2134:$2134</definedName>
    <definedName name="L_1_716" localSheetId="1">'Bordereau des Prix Cadres Lot 1'!$2147:$2147</definedName>
    <definedName name="L_1_717" localSheetId="1">'Bordereau des Prix Cadres Lot 1'!$2148:$2148</definedName>
    <definedName name="L_1_718" localSheetId="1">'Bordereau des Prix Cadres Lot 1'!$2149:$2149</definedName>
    <definedName name="L_1_719" localSheetId="1">'Bordereau des Prix Cadres Lot 1'!$2150:$2150</definedName>
    <definedName name="L_1_72" localSheetId="1">'Bordereau des Prix Cadres Lot 1'!$201:$201</definedName>
    <definedName name="L_1_720" localSheetId="1">'Bordereau des Prix Cadres Lot 1'!$2151:$2151</definedName>
    <definedName name="L_1_721" localSheetId="1">'Bordereau des Prix Cadres Lot 1'!$2152:$2152</definedName>
    <definedName name="L_1_722" localSheetId="1">'Bordereau des Prix Cadres Lot 1'!$2153:$2153</definedName>
    <definedName name="L_1_723" localSheetId="1">'Bordereau des Prix Cadres Lot 1'!$2154:$2154</definedName>
    <definedName name="L_1_724" localSheetId="1">'Bordereau des Prix Cadres Lot 1'!#REF!</definedName>
    <definedName name="L_1_725" localSheetId="1">'Bordereau des Prix Cadres Lot 1'!$2167:$2167</definedName>
    <definedName name="L_1_726" localSheetId="1">'Bordereau des Prix Cadres Lot 1'!$2168:$2168</definedName>
    <definedName name="L_1_727" localSheetId="1">'Bordereau des Prix Cadres Lot 1'!$2169:$2169</definedName>
    <definedName name="L_1_728" localSheetId="1">'Bordereau des Prix Cadres Lot 1'!$2170:$2170</definedName>
    <definedName name="L_1_729" localSheetId="1">'Bordereau des Prix Cadres Lot 1'!$2171:$2171</definedName>
    <definedName name="L_1_73" localSheetId="1">'Bordereau des Prix Cadres Lot 1'!$202:$202</definedName>
    <definedName name="L_1_730" localSheetId="1">'Bordereau des Prix Cadres Lot 1'!$2172:$2172</definedName>
    <definedName name="L_1_731" localSheetId="1">'Bordereau des Prix Cadres Lot 1'!$2173:$2173</definedName>
    <definedName name="L_1_732" localSheetId="1">'Bordereau des Prix Cadres Lot 1'!$2174:$2174</definedName>
    <definedName name="L_1_733" localSheetId="1">'Bordereau des Prix Cadres Lot 1'!#REF!</definedName>
    <definedName name="L_1_734" localSheetId="1">'Bordereau des Prix Cadres Lot 1'!$2183:$2183</definedName>
    <definedName name="L_1_735" localSheetId="1">'Bordereau des Prix Cadres Lot 1'!$2184:$2184</definedName>
    <definedName name="L_1_736" localSheetId="1">'Bordereau des Prix Cadres Lot 1'!$2185:$2185</definedName>
    <definedName name="L_1_737" localSheetId="1">'Bordereau des Prix Cadres Lot 1'!$2186:$2186</definedName>
    <definedName name="L_1_738" localSheetId="1">'Bordereau des Prix Cadres Lot 1'!$2187:$2187</definedName>
    <definedName name="L_1_739" localSheetId="1">'Bordereau des Prix Cadres Lot 1'!$2188:$2188</definedName>
    <definedName name="L_1_74" localSheetId="1">'Bordereau des Prix Cadres Lot 1'!$203:$203</definedName>
    <definedName name="L_1_740" localSheetId="1">'Bordereau des Prix Cadres Lot 1'!$2189:$2189</definedName>
    <definedName name="L_1_741" localSheetId="1">'Bordereau des Prix Cadres Lot 1'!$2190:$2190</definedName>
    <definedName name="L_1_742" localSheetId="1">'Bordereau des Prix Cadres Lot 1'!#REF!</definedName>
    <definedName name="L_1_743" localSheetId="1">'Bordereau des Prix Cadres Lot 1'!$2267:$2267</definedName>
    <definedName name="L_1_744" localSheetId="1">'Bordereau des Prix Cadres Lot 1'!$2268:$2268</definedName>
    <definedName name="L_1_745" localSheetId="1">'Bordereau des Prix Cadres Lot 1'!$2269:$2269</definedName>
    <definedName name="L_1_746" localSheetId="1">'Bordereau des Prix Cadres Lot 1'!$2270:$2270</definedName>
    <definedName name="L_1_747" localSheetId="1">'Bordereau des Prix Cadres Lot 1'!$2271:$2271</definedName>
    <definedName name="L_1_748" localSheetId="1">'Bordereau des Prix Cadres Lot 1'!$2272:$2272</definedName>
    <definedName name="L_1_749" localSheetId="1">'Bordereau des Prix Cadres Lot 1'!$2273:$2273</definedName>
    <definedName name="L_1_75" localSheetId="1">'Bordereau des Prix Cadres Lot 1'!$204:$204</definedName>
    <definedName name="L_1_750" localSheetId="1">'Bordereau des Prix Cadres Lot 1'!#REF!</definedName>
    <definedName name="L_1_751" localSheetId="1">'Bordereau des Prix Cadres Lot 1'!#REF!</definedName>
    <definedName name="L_1_752" localSheetId="1">'Bordereau des Prix Cadres Lot 1'!#REF!</definedName>
    <definedName name="L_1_753" localSheetId="1">'Bordereau des Prix Cadres Lot 1'!#REF!</definedName>
    <definedName name="L_1_754" localSheetId="1">'Bordereau des Prix Cadres Lot 1'!$2284:$2284</definedName>
    <definedName name="L_1_755" localSheetId="1">'Bordereau des Prix Cadres Lot 1'!$2285:$2285</definedName>
    <definedName name="L_1_756" localSheetId="1">'Bordereau des Prix Cadres Lot 1'!#REF!</definedName>
    <definedName name="L_1_757" localSheetId="1">'Bordereau des Prix Cadres Lot 1'!#REF!</definedName>
    <definedName name="L_1_758" localSheetId="1">'Bordereau des Prix Cadres Lot 1'!#REF!</definedName>
    <definedName name="L_1_759" localSheetId="1">'Bordereau des Prix Cadres Lot 1'!#REF!</definedName>
    <definedName name="L_1_76" localSheetId="1">'Bordereau des Prix Cadres Lot 1'!#REF!</definedName>
    <definedName name="L_1_760" localSheetId="1">'Bordereau des Prix Cadres Lot 1'!#REF!</definedName>
    <definedName name="L_1_761" localSheetId="1">'Bordereau des Prix Cadres Lot 1'!#REF!</definedName>
    <definedName name="L_1_762" localSheetId="1">'Bordereau des Prix Cadres Lot 1'!#REF!</definedName>
    <definedName name="L_1_763" localSheetId="1">'Bordereau des Prix Cadres Lot 1'!#REF!</definedName>
    <definedName name="L_1_764" localSheetId="1">'Bordereau des Prix Cadres Lot 1'!#REF!</definedName>
    <definedName name="L_1_765" localSheetId="1">'Bordereau des Prix Cadres Lot 1'!#REF!</definedName>
    <definedName name="L_1_766" localSheetId="1">'Bordereau des Prix Cadres Lot 1'!#REF!</definedName>
    <definedName name="L_1_767" localSheetId="1">'Bordereau des Prix Cadres Lot 1'!#REF!</definedName>
    <definedName name="L_1_768" localSheetId="1">'Bordereau des Prix Cadres Lot 1'!#REF!</definedName>
    <definedName name="L_1_769" localSheetId="1">'Bordereau des Prix Cadres Lot 1'!#REF!</definedName>
    <definedName name="L_1_77" localSheetId="1">'Bordereau des Prix Cadres Lot 1'!#REF!</definedName>
    <definedName name="L_1_770" localSheetId="1">'Bordereau des Prix Cadres Lot 1'!#REF!</definedName>
    <definedName name="L_1_771" localSheetId="1">'Bordereau des Prix Cadres Lot 1'!#REF!</definedName>
    <definedName name="L_1_772" localSheetId="1">'Bordereau des Prix Cadres Lot 1'!#REF!</definedName>
    <definedName name="L_1_773" localSheetId="1">'Bordereau des Prix Cadres Lot 1'!#REF!</definedName>
    <definedName name="L_1_774" localSheetId="1">'Bordereau des Prix Cadres Lot 1'!#REF!</definedName>
    <definedName name="L_1_775" localSheetId="1">'Bordereau des Prix Cadres Lot 1'!#REF!</definedName>
    <definedName name="L_1_776" localSheetId="1">'Bordereau des Prix Cadres Lot 1'!#REF!</definedName>
    <definedName name="L_1_777" localSheetId="1">'Bordereau des Prix Cadres Lot 1'!#REF!</definedName>
    <definedName name="L_1_778" localSheetId="1">'Bordereau des Prix Cadres Lot 1'!#REF!</definedName>
    <definedName name="L_1_779" localSheetId="1">'Bordereau des Prix Cadres Lot 1'!#REF!</definedName>
    <definedName name="L_1_78" localSheetId="1">'Bordereau des Prix Cadres Lot 1'!#REF!</definedName>
    <definedName name="L_1_780" localSheetId="1">'Bordereau des Prix Cadres Lot 1'!#REF!</definedName>
    <definedName name="L_1_781" localSheetId="1">'Bordereau des Prix Cadres Lot 1'!#REF!</definedName>
    <definedName name="L_1_782" localSheetId="1">'Bordereau des Prix Cadres Lot 1'!#REF!</definedName>
    <definedName name="L_1_783" localSheetId="1">'Bordereau des Prix Cadres Lot 1'!#REF!</definedName>
    <definedName name="L_1_784" localSheetId="1">'Bordereau des Prix Cadres Lot 1'!#REF!</definedName>
    <definedName name="L_1_785" localSheetId="1">'Bordereau des Prix Cadres Lot 1'!#REF!</definedName>
    <definedName name="L_1_786" localSheetId="1">'Bordereau des Prix Cadres Lot 1'!#REF!</definedName>
    <definedName name="L_1_787" localSheetId="1">'Bordereau des Prix Cadres Lot 1'!#REF!</definedName>
    <definedName name="L_1_788" localSheetId="1">'Bordereau des Prix Cadres Lot 1'!#REF!</definedName>
    <definedName name="L_1_789" localSheetId="1">'Bordereau des Prix Cadres Lot 1'!#REF!</definedName>
    <definedName name="L_1_79" localSheetId="1">'Bordereau des Prix Cadres Lot 1'!$210:$210</definedName>
    <definedName name="L_1_790" localSheetId="1">'Bordereau des Prix Cadres Lot 1'!#REF!</definedName>
    <definedName name="L_1_791" localSheetId="1">'Bordereau des Prix Cadres Lot 1'!#REF!</definedName>
    <definedName name="L_1_792" localSheetId="1">'Bordereau des Prix Cadres Lot 1'!#REF!</definedName>
    <definedName name="L_1_793" localSheetId="1">'Bordereau des Prix Cadres Lot 1'!#REF!</definedName>
    <definedName name="L_1_794" localSheetId="1">'Bordereau des Prix Cadres Lot 1'!$1696:$1696</definedName>
    <definedName name="L_1_795" localSheetId="1">'Bordereau des Prix Cadres Lot 1'!$1697:$1697</definedName>
    <definedName name="L_1_796" localSheetId="1">'Bordereau des Prix Cadres Lot 1'!$1698:$1698</definedName>
    <definedName name="L_1_797" localSheetId="1">'Bordereau des Prix Cadres Lot 1'!$1699:$1699</definedName>
    <definedName name="L_1_798" localSheetId="1">'Bordereau des Prix Cadres Lot 1'!$1700:$1700</definedName>
    <definedName name="L_1_799" localSheetId="1">'Bordereau des Prix Cadres Lot 1'!$1701:$1701</definedName>
    <definedName name="L_1_8" localSheetId="1">'Bordereau des Prix Cadres Lot 1'!#REF!</definedName>
    <definedName name="L_1_80" localSheetId="1">'Bordereau des Prix Cadres Lot 1'!$212:$212</definedName>
    <definedName name="L_1_800" localSheetId="1">'Bordereau des Prix Cadres Lot 1'!$1702:$1702</definedName>
    <definedName name="L_1_801" localSheetId="1">'Bordereau des Prix Cadres Lot 1'!$1703:$1703</definedName>
    <definedName name="L_1_802" localSheetId="1">'Bordereau des Prix Cadres Lot 1'!#REF!</definedName>
    <definedName name="L_1_803" localSheetId="1">'Bordereau des Prix Cadres Lot 1'!$1706:$1706</definedName>
    <definedName name="L_1_804" localSheetId="1">'Bordereau des Prix Cadres Lot 1'!#REF!</definedName>
    <definedName name="L_1_805" localSheetId="1">'Bordereau des Prix Cadres Lot 1'!$1708:$1708</definedName>
    <definedName name="L_1_806" localSheetId="1">'Bordereau des Prix Cadres Lot 1'!$1709:$1709</definedName>
    <definedName name="L_1_807" localSheetId="1">'Bordereau des Prix Cadres Lot 1'!$1710:$1710</definedName>
    <definedName name="L_1_808" localSheetId="1">'Bordereau des Prix Cadres Lot 1'!$1711:$1711</definedName>
    <definedName name="L_1_809" localSheetId="1">'Bordereau des Prix Cadres Lot 1'!$1712:$1712</definedName>
    <definedName name="L_1_81" localSheetId="1">'Bordereau des Prix Cadres Lot 1'!$213:$213</definedName>
    <definedName name="L_1_810" localSheetId="1">'Bordereau des Prix Cadres Lot 1'!$1713:$1713</definedName>
    <definedName name="L_1_811" localSheetId="1">'Bordereau des Prix Cadres Lot 1'!$1717:$1717</definedName>
    <definedName name="L_1_812" localSheetId="1">'Bordereau des Prix Cadres Lot 1'!#REF!</definedName>
    <definedName name="L_1_813" localSheetId="1">'Bordereau des Prix Cadres Lot 1'!$1726:$1726</definedName>
    <definedName name="L_1_814" localSheetId="1">'Bordereau des Prix Cadres Lot 1'!$1727:$1727</definedName>
    <definedName name="L_1_815" localSheetId="1">'Bordereau des Prix Cadres Lot 1'!$1728:$1728</definedName>
    <definedName name="L_1_816" localSheetId="1">'Bordereau des Prix Cadres Lot 1'!$1729:$1729</definedName>
    <definedName name="L_1_817" localSheetId="1">'Bordereau des Prix Cadres Lot 1'!$1730:$1730</definedName>
    <definedName name="L_1_818" localSheetId="1">'Bordereau des Prix Cadres Lot 1'!$1731:$1731</definedName>
    <definedName name="L_1_819" localSheetId="1">'Bordereau des Prix Cadres Lot 1'!$1732:$1732</definedName>
    <definedName name="L_1_82" localSheetId="1">'Bordereau des Prix Cadres Lot 1'!#REF!</definedName>
    <definedName name="L_1_820" localSheetId="1">'Bordereau des Prix Cadres Lot 1'!$1733:$1733</definedName>
    <definedName name="L_1_821" localSheetId="1">'Bordereau des Prix Cadres Lot 1'!$1755:$1755</definedName>
    <definedName name="L_1_822" localSheetId="1">'Bordereau des Prix Cadres Lot 1'!$1756:$1756</definedName>
    <definedName name="L_1_823" localSheetId="1">'Bordereau des Prix Cadres Lot 1'!$1757:$1757</definedName>
    <definedName name="L_1_824" localSheetId="1">'Bordereau des Prix Cadres Lot 1'!$1758:$1758</definedName>
    <definedName name="L_1_825" localSheetId="1">'Bordereau des Prix Cadres Lot 1'!$1759:$1759</definedName>
    <definedName name="L_1_826" localSheetId="1">'Bordereau des Prix Cadres Lot 1'!$1760:$1760</definedName>
    <definedName name="L_1_827" localSheetId="1">'Bordereau des Prix Cadres Lot 1'!$1761:$1761</definedName>
    <definedName name="L_1_828" localSheetId="1">'Bordereau des Prix Cadres Lot 1'!$1762:$1762</definedName>
    <definedName name="L_1_829" localSheetId="1">'Bordereau des Prix Cadres Lot 1'!$1763:$1763</definedName>
    <definedName name="L_1_83" localSheetId="1">'Bordereau des Prix Cadres Lot 1'!$221:$221</definedName>
    <definedName name="L_1_830" localSheetId="1">'Bordereau des Prix Cadres Lot 1'!$1764:$1764</definedName>
    <definedName name="L_1_831" localSheetId="1">'Bordereau des Prix Cadres Lot 1'!$2305:$2305</definedName>
    <definedName name="L_1_832" localSheetId="1">'Bordereau des Prix Cadres Lot 1'!$2306:$2306</definedName>
    <definedName name="L_1_833" localSheetId="1">'Bordereau des Prix Cadres Lot 1'!$2308:$2308</definedName>
    <definedName name="L_1_834" localSheetId="1">'Bordereau des Prix Cadres Lot 1'!$2309:$2309</definedName>
    <definedName name="L_1_835" localSheetId="1">'Bordereau des Prix Cadres Lot 1'!$2310:$2310</definedName>
    <definedName name="L_1_836" localSheetId="1">'Bordereau des Prix Cadres Lot 1'!$2311:$2311</definedName>
    <definedName name="L_1_837" localSheetId="1">'Bordereau des Prix Cadres Lot 1'!$2312:$2312</definedName>
    <definedName name="L_1_838" localSheetId="1">'Bordereau des Prix Cadres Lot 1'!$2313:$2313</definedName>
    <definedName name="L_1_839" localSheetId="1">'Bordereau des Prix Cadres Lot 1'!$2314:$2314</definedName>
    <definedName name="L_1_84" localSheetId="1">'Bordereau des Prix Cadres Lot 1'!$223:$223</definedName>
    <definedName name="L_1_840" localSheetId="1">'Bordereau des Prix Cadres Lot 1'!$2315:$2315</definedName>
    <definedName name="L_1_841" localSheetId="1">'Bordereau des Prix Cadres Lot 1'!$2316:$2316</definedName>
    <definedName name="L_1_842" localSheetId="1">'Bordereau des Prix Cadres Lot 1'!$2317:$2317</definedName>
    <definedName name="L_1_843" localSheetId="1">'Bordereau des Prix Cadres Lot 1'!$2318:$2318</definedName>
    <definedName name="L_1_844" localSheetId="1">'Bordereau des Prix Cadres Lot 1'!#REF!</definedName>
    <definedName name="L_1_845" localSheetId="1">'Bordereau des Prix Cadres Lot 1'!#REF!</definedName>
    <definedName name="L_1_846" localSheetId="1">'Bordereau des Prix Cadres Lot 1'!$2322:$2322</definedName>
    <definedName name="L_1_847" localSheetId="1">'Bordereau des Prix Cadres Lot 1'!$2325:$2325</definedName>
    <definedName name="L_1_848" localSheetId="1">'Bordereau des Prix Cadres Lot 1'!$2326:$2326</definedName>
    <definedName name="L_1_849" localSheetId="1">'Bordereau des Prix Cadres Lot 1'!$2327:$2327</definedName>
    <definedName name="L_1_85" localSheetId="1">'Bordereau des Prix Cadres Lot 1'!#REF!</definedName>
    <definedName name="L_1_850" localSheetId="1">'Bordereau des Prix Cadres Lot 1'!$2328:$2328</definedName>
    <definedName name="L_1_851" localSheetId="1">'Bordereau des Prix Cadres Lot 1'!$2329:$2329</definedName>
    <definedName name="L_1_852" localSheetId="1">'Bordereau des Prix Cadres Lot 1'!$2330:$2330</definedName>
    <definedName name="L_1_853" localSheetId="1">'Bordereau des Prix Cadres Lot 1'!$2331:$2331</definedName>
    <definedName name="L_1_854" localSheetId="1">'Bordereau des Prix Cadres Lot 1'!$2332:$2332</definedName>
    <definedName name="L_1_855" localSheetId="1">'Bordereau des Prix Cadres Lot 1'!$2333:$2333</definedName>
    <definedName name="L_1_856" localSheetId="1">'Bordereau des Prix Cadres Lot 1'!$2334:$2334</definedName>
    <definedName name="L_1_857" localSheetId="1">'Bordereau des Prix Cadres Lot 1'!$2335:$2335</definedName>
    <definedName name="L_1_858" localSheetId="1">'Bordereau des Prix Cadres Lot 1'!#REF!</definedName>
    <definedName name="L_1_859" localSheetId="1">'Bordereau des Prix Cadres Lot 1'!$2336:$2336</definedName>
    <definedName name="L_1_86" localSheetId="1">'Bordereau des Prix Cadres Lot 1'!$238:$238</definedName>
    <definedName name="L_1_860" localSheetId="1">'Bordereau des Prix Cadres Lot 1'!#REF!</definedName>
    <definedName name="L_1_861" localSheetId="1">'Bordereau des Prix Cadres Lot 1'!#REF!</definedName>
    <definedName name="L_1_862" localSheetId="1">'Bordereau des Prix Cadres Lot 1'!#REF!</definedName>
    <definedName name="L_1_863" localSheetId="1">'Bordereau des Prix Cadres Lot 1'!$2343:$2343</definedName>
    <definedName name="L_1_864" localSheetId="1">'Bordereau des Prix Cadres Lot 1'!#REF!</definedName>
    <definedName name="L_1_865" localSheetId="1">'Bordereau des Prix Cadres Lot 1'!$2346:$2346</definedName>
    <definedName name="L_1_866" localSheetId="1">'Bordereau des Prix Cadres Lot 1'!$2347:$2347</definedName>
    <definedName name="L_1_867" localSheetId="1">'Bordereau des Prix Cadres Lot 1'!$2348:$2348</definedName>
    <definedName name="L_1_868" localSheetId="1">'Bordereau des Prix Cadres Lot 1'!$2349:$2349</definedName>
    <definedName name="L_1_869" localSheetId="1">'Bordereau des Prix Cadres Lot 1'!$2350:$2350</definedName>
    <definedName name="L_1_87" localSheetId="1">'Bordereau des Prix Cadres Lot 1'!$239:$239</definedName>
    <definedName name="L_1_870" localSheetId="1">'Bordereau des Prix Cadres Lot 1'!$2351:$2351</definedName>
    <definedName name="L_1_871" localSheetId="1">'Bordereau des Prix Cadres Lot 1'!#REF!</definedName>
    <definedName name="L_1_872" localSheetId="1">'Bordereau des Prix Cadres Lot 1'!$2354:$2354</definedName>
    <definedName name="L_1_873" localSheetId="1">'Bordereau des Prix Cadres Lot 1'!$2355:$2355</definedName>
    <definedName name="L_1_874" localSheetId="1">'Bordereau des Prix Cadres Lot 1'!$2356:$2356</definedName>
    <definedName name="L_1_875" localSheetId="1">'Bordereau des Prix Cadres Lot 1'!$2357:$2357</definedName>
    <definedName name="L_1_876" localSheetId="1">'Bordereau des Prix Cadres Lot 1'!$2358:$2358</definedName>
    <definedName name="L_1_877" localSheetId="1">'Bordereau des Prix Cadres Lot 1'!$2359:$2359</definedName>
    <definedName name="L_1_878" localSheetId="1">'Bordereau des Prix Cadres Lot 1'!$2360:$2360</definedName>
    <definedName name="L_1_879" localSheetId="1">'Bordereau des Prix Cadres Lot 1'!$2361:$2361</definedName>
    <definedName name="L_1_88" localSheetId="1">'Bordereau des Prix Cadres Lot 1'!#REF!</definedName>
    <definedName name="L_1_880" localSheetId="1">'Bordereau des Prix Cadres Lot 1'!$2362:$2362</definedName>
    <definedName name="L_1_881" localSheetId="1">'Bordereau des Prix Cadres Lot 1'!$2363:$2363</definedName>
    <definedName name="L_1_882" localSheetId="1">'Bordereau des Prix Cadres Lot 1'!$2364:$2364</definedName>
    <definedName name="L_1_883" localSheetId="1">'Bordereau des Prix Cadres Lot 1'!#REF!</definedName>
    <definedName name="L_1_884" localSheetId="1">'Bordereau des Prix Cadres Lot 1'!$2367:$2367</definedName>
    <definedName name="L_1_885" localSheetId="1">'Bordereau des Prix Cadres Lot 1'!$2368:$2368</definedName>
    <definedName name="L_1_886" localSheetId="1">'Bordereau des Prix Cadres Lot 1'!$2369:$2369</definedName>
    <definedName name="L_1_887" localSheetId="1">'Bordereau des Prix Cadres Lot 1'!$2370:$2370</definedName>
    <definedName name="L_1_888" localSheetId="1">'Bordereau des Prix Cadres Lot 1'!$2371:$2371</definedName>
    <definedName name="L_1_889" localSheetId="1">'Bordereau des Prix Cadres Lot 1'!#REF!</definedName>
    <definedName name="L_1_89" localSheetId="1">'Bordereau des Prix Cadres Lot 1'!$250:$250</definedName>
    <definedName name="L_1_890" localSheetId="1">'Bordereau des Prix Cadres Lot 1'!$2374:$2374</definedName>
    <definedName name="L_1_891" localSheetId="1">'Bordereau des Prix Cadres Lot 1'!$2375:$2375</definedName>
    <definedName name="L_1_892" localSheetId="1">'Bordereau des Prix Cadres Lot 1'!$2376:$2376</definedName>
    <definedName name="L_1_893" localSheetId="1">'Bordereau des Prix Cadres Lot 1'!$2377:$2377</definedName>
    <definedName name="L_1_894" localSheetId="1">'Bordereau des Prix Cadres Lot 1'!$2378:$2378</definedName>
    <definedName name="L_1_895" localSheetId="1">'Bordereau des Prix Cadres Lot 1'!$2379:$2379</definedName>
    <definedName name="L_1_896" localSheetId="1">'Bordereau des Prix Cadres Lot 1'!$2380:$2380</definedName>
    <definedName name="L_1_897" localSheetId="1">'Bordereau des Prix Cadres Lot 1'!$2381:$2381</definedName>
    <definedName name="L_1_898" localSheetId="1">'Bordereau des Prix Cadres Lot 1'!$2382:$2382</definedName>
    <definedName name="L_1_899" localSheetId="1">'Bordereau des Prix Cadres Lot 1'!$2383:$2383</definedName>
    <definedName name="L_1_9" localSheetId="1">'Bordereau des Prix Cadres Lot 1'!#REF!</definedName>
    <definedName name="L_1_90" localSheetId="1">'Bordereau des Prix Cadres Lot 1'!$242:$242</definedName>
    <definedName name="L_1_900" localSheetId="1">'Bordereau des Prix Cadres Lot 1'!#REF!</definedName>
    <definedName name="L_1_901" localSheetId="1">'Bordereau des Prix Cadres Lot 1'!#REF!</definedName>
    <definedName name="L_1_902" localSheetId="1">'Bordereau des Prix Cadres Lot 1'!#REF!</definedName>
    <definedName name="L_1_903" localSheetId="1">'Bordereau des Prix Cadres Lot 1'!#REF!</definedName>
    <definedName name="L_1_904" localSheetId="1">'Bordereau des Prix Cadres Lot 1'!#REF!</definedName>
    <definedName name="L_1_905" localSheetId="1">'Bordereau des Prix Cadres Lot 1'!#REF!</definedName>
    <definedName name="L_1_906" localSheetId="1">'Bordereau des Prix Cadres Lot 1'!#REF!</definedName>
    <definedName name="L_1_907" localSheetId="1">'Bordereau des Prix Cadres Lot 1'!#REF!</definedName>
    <definedName name="L_1_908" localSheetId="1">'Bordereau des Prix Cadres Lot 1'!#REF!</definedName>
    <definedName name="L_1_909" localSheetId="1">'Bordereau des Prix Cadres Lot 1'!#REF!</definedName>
    <definedName name="L_1_91" localSheetId="1">'Bordereau des Prix Cadres Lot 1'!$243:$243</definedName>
    <definedName name="L_1_910" localSheetId="1">'Bordereau des Prix Cadres Lot 1'!$2393:$2393</definedName>
    <definedName name="L_1_911" localSheetId="1">'Bordereau des Prix Cadres Lot 1'!$2394:$2394</definedName>
    <definedName name="L_1_912" localSheetId="1">'Bordereau des Prix Cadres Lot 1'!$2395:$2395</definedName>
    <definedName name="L_1_913" localSheetId="1">'Bordereau des Prix Cadres Lot 1'!$2396:$2396</definedName>
    <definedName name="L_1_914" localSheetId="1">'Bordereau des Prix Cadres Lot 1'!$2397:$2397</definedName>
    <definedName name="L_1_915" localSheetId="1">'Bordereau des Prix Cadres Lot 1'!$2398:$2398</definedName>
    <definedName name="L_1_916" localSheetId="1">'Bordereau des Prix Cadres Lot 1'!$2399:$2399</definedName>
    <definedName name="L_1_917" localSheetId="1">'Bordereau des Prix Cadres Lot 1'!$2400:$2400</definedName>
    <definedName name="L_1_918" localSheetId="1">'Bordereau des Prix Cadres Lot 1'!$2401:$2401</definedName>
    <definedName name="L_1_919" localSheetId="1">'Bordereau des Prix Cadres Lot 1'!$2402:$2402</definedName>
    <definedName name="L_1_92" localSheetId="1">'Bordereau des Prix Cadres Lot 1'!$244:$244</definedName>
    <definedName name="L_1_920" localSheetId="1">'Bordereau des Prix Cadres Lot 1'!$2403:$2403</definedName>
    <definedName name="L_1_921" localSheetId="1">'Bordereau des Prix Cadres Lot 1'!#REF!</definedName>
    <definedName name="L_1_922" localSheetId="1">'Bordereau des Prix Cadres Lot 1'!#REF!</definedName>
    <definedName name="L_1_923" localSheetId="1">'Bordereau des Prix Cadres Lot 1'!#REF!</definedName>
    <definedName name="L_1_924" localSheetId="1">'Bordereau des Prix Cadres Lot 1'!#REF!</definedName>
    <definedName name="L_1_925" localSheetId="1">'Bordereau des Prix Cadres Lot 1'!#REF!</definedName>
    <definedName name="L_1_926" localSheetId="1">'Bordereau des Prix Cadres Lot 1'!#REF!</definedName>
    <definedName name="L_1_927" localSheetId="1">'Bordereau des Prix Cadres Lot 1'!#REF!</definedName>
    <definedName name="L_1_928" localSheetId="1">'Bordereau des Prix Cadres Lot 1'!#REF!</definedName>
    <definedName name="L_1_929" localSheetId="1">'Bordereau des Prix Cadres Lot 1'!#REF!</definedName>
    <definedName name="L_1_93" localSheetId="1">'Bordereau des Prix Cadres Lot 1'!$253:$253</definedName>
    <definedName name="L_1_930" localSheetId="1">'Bordereau des Prix Cadres Lot 1'!#REF!</definedName>
    <definedName name="L_1_931" localSheetId="1">'Bordereau des Prix Cadres Lot 1'!#REF!</definedName>
    <definedName name="L_1_932" localSheetId="1">'Bordereau des Prix Cadres Lot 1'!#REF!</definedName>
    <definedName name="L_1_933" localSheetId="1">'Bordereau des Prix Cadres Lot 1'!#REF!</definedName>
    <definedName name="L_1_934" localSheetId="1">'Bordereau des Prix Cadres Lot 1'!#REF!</definedName>
    <definedName name="L_1_935" localSheetId="1">'Bordereau des Prix Cadres Lot 1'!#REF!</definedName>
    <definedName name="L_1_936" localSheetId="1">'Bordereau des Prix Cadres Lot 1'!#REF!</definedName>
    <definedName name="L_1_937" localSheetId="1">'Bordereau des Prix Cadres Lot 1'!#REF!</definedName>
    <definedName name="L_1_938" localSheetId="1">'Bordereau des Prix Cadres Lot 1'!#REF!</definedName>
    <definedName name="L_1_939" localSheetId="1">'Bordereau des Prix Cadres Lot 1'!#REF!</definedName>
    <definedName name="L_1_94" localSheetId="1">'Bordereau des Prix Cadres Lot 1'!$261:$261</definedName>
    <definedName name="L_1_940" localSheetId="1">'Bordereau des Prix Cadres Lot 1'!#REF!</definedName>
    <definedName name="L_1_941" localSheetId="1">'Bordereau des Prix Cadres Lot 1'!#REF!</definedName>
    <definedName name="L_1_942" localSheetId="1">'Bordereau des Prix Cadres Lot 1'!#REF!</definedName>
    <definedName name="L_1_943" localSheetId="1">'Bordereau des Prix Cadres Lot 1'!#REF!</definedName>
    <definedName name="L_1_944" localSheetId="1">'Bordereau des Prix Cadres Lot 1'!#REF!</definedName>
    <definedName name="L_1_945" localSheetId="1">'Bordereau des Prix Cadres Lot 1'!#REF!</definedName>
    <definedName name="L_1_946" localSheetId="1">'Bordereau des Prix Cadres Lot 1'!#REF!</definedName>
    <definedName name="L_1_947" localSheetId="1">'Bordereau des Prix Cadres Lot 1'!#REF!</definedName>
    <definedName name="L_1_948" localSheetId="1">'Bordereau des Prix Cadres Lot 1'!#REF!</definedName>
    <definedName name="L_1_949" localSheetId="1">'Bordereau des Prix Cadres Lot 1'!#REF!</definedName>
    <definedName name="L_1_95" localSheetId="1">'Bordereau des Prix Cadres Lot 1'!#REF!</definedName>
    <definedName name="L_1_950" localSheetId="1">'Bordereau des Prix Cadres Lot 1'!#REF!</definedName>
    <definedName name="L_1_951" localSheetId="1">'Bordereau des Prix Cadres Lot 1'!#REF!</definedName>
    <definedName name="L_1_952" localSheetId="1">'Bordereau des Prix Cadres Lot 1'!#REF!</definedName>
    <definedName name="L_1_953" localSheetId="1">'Bordereau des Prix Cadres Lot 1'!#REF!</definedName>
    <definedName name="L_1_954" localSheetId="1">'Bordereau des Prix Cadres Lot 1'!#REF!</definedName>
    <definedName name="L_1_955" localSheetId="1">'Bordereau des Prix Cadres Lot 1'!#REF!</definedName>
    <definedName name="L_1_956" localSheetId="1">'Bordereau des Prix Cadres Lot 1'!#REF!</definedName>
    <definedName name="L_1_957" localSheetId="1">'Bordereau des Prix Cadres Lot 1'!#REF!</definedName>
    <definedName name="L_1_958" localSheetId="1">'Bordereau des Prix Cadres Lot 1'!#REF!</definedName>
    <definedName name="L_1_959" localSheetId="1">'Bordereau des Prix Cadres Lot 1'!#REF!</definedName>
    <definedName name="L_1_96" localSheetId="1">'Bordereau des Prix Cadres Lot 1'!#REF!</definedName>
    <definedName name="L_1_960" localSheetId="1">'Bordereau des Prix Cadres Lot 1'!#REF!</definedName>
    <definedName name="L_1_961" localSheetId="1">'Bordereau des Prix Cadres Lot 1'!#REF!</definedName>
    <definedName name="L_1_962" localSheetId="1">'Bordereau des Prix Cadres Lot 1'!#REF!</definedName>
    <definedName name="L_1_963" localSheetId="1">'Bordereau des Prix Cadres Lot 1'!#REF!</definedName>
    <definedName name="L_1_964" localSheetId="1">'Bordereau des Prix Cadres Lot 1'!#REF!</definedName>
    <definedName name="L_1_965" localSheetId="1">'Bordereau des Prix Cadres Lot 1'!#REF!</definedName>
    <definedName name="L_1_966" localSheetId="1">'Bordereau des Prix Cadres Lot 1'!#REF!</definedName>
    <definedName name="L_1_967" localSheetId="1">'Bordereau des Prix Cadres Lot 1'!#REF!</definedName>
    <definedName name="L_1_968" localSheetId="1">'Bordereau des Prix Cadres Lot 1'!#REF!</definedName>
    <definedName name="L_1_969" localSheetId="1">'Bordereau des Prix Cadres Lot 1'!#REF!</definedName>
    <definedName name="L_1_97" localSheetId="1">'Bordereau des Prix Cadres Lot 1'!#REF!</definedName>
    <definedName name="L_1_970" localSheetId="1">'Bordereau des Prix Cadres Lot 1'!#REF!</definedName>
    <definedName name="L_1_971" localSheetId="1">'Bordereau des Prix Cadres Lot 1'!#REF!</definedName>
    <definedName name="L_1_972" localSheetId="1">'Bordereau des Prix Cadres Lot 1'!#REF!</definedName>
    <definedName name="L_1_973" localSheetId="1">'Bordereau des Prix Cadres Lot 1'!#REF!</definedName>
    <definedName name="L_1_974" localSheetId="1">'Bordereau des Prix Cadres Lot 1'!#REF!</definedName>
    <definedName name="L_1_975" localSheetId="1">'Bordereau des Prix Cadres Lot 1'!#REF!</definedName>
    <definedName name="L_1_976" localSheetId="1">'Bordereau des Prix Cadres Lot 1'!#REF!</definedName>
    <definedName name="L_1_977" localSheetId="1">'Bordereau des Prix Cadres Lot 1'!#REF!</definedName>
    <definedName name="L_1_978" localSheetId="1">'Bordereau des Prix Cadres Lot 1'!#REF!</definedName>
    <definedName name="L_1_979" localSheetId="1">'Bordereau des Prix Cadres Lot 1'!#REF!</definedName>
    <definedName name="L_1_98" localSheetId="1">'Bordereau des Prix Cadres Lot 1'!#REF!</definedName>
    <definedName name="L_1_980" localSheetId="1">'Bordereau des Prix Cadres Lot 1'!#REF!</definedName>
    <definedName name="L_1_981" localSheetId="1">'Bordereau des Prix Cadres Lot 1'!#REF!</definedName>
    <definedName name="L_1_982" localSheetId="1">'Bordereau des Prix Cadres Lot 1'!#REF!</definedName>
    <definedName name="L_1_983" localSheetId="1">'Bordereau des Prix Cadres Lot 1'!#REF!</definedName>
    <definedName name="L_1_984" localSheetId="1">'Bordereau des Prix Cadres Lot 1'!#REF!</definedName>
    <definedName name="L_1_985" localSheetId="1">'Bordereau des Prix Cadres Lot 1'!#REF!</definedName>
    <definedName name="L_1_986" localSheetId="1">'Bordereau des Prix Cadres Lot 1'!#REF!</definedName>
    <definedName name="L_1_987" localSheetId="1">'Bordereau des Prix Cadres Lot 1'!#REF!</definedName>
    <definedName name="L_1_988" localSheetId="1">'Bordereau des Prix Cadres Lot 1'!#REF!</definedName>
    <definedName name="L_1_989" localSheetId="1">'Bordereau des Prix Cadres Lot 1'!#REF!</definedName>
    <definedName name="L_1_99" localSheetId="1">'Bordereau des Prix Cadres Lot 1'!$4706:$4706</definedName>
    <definedName name="L_1_990" localSheetId="1">'Bordereau des Prix Cadres Lot 1'!#REF!</definedName>
    <definedName name="L_1_991" localSheetId="1">'Bordereau des Prix Cadres Lot 1'!#REF!</definedName>
    <definedName name="L_1_992" localSheetId="1">'Bordereau des Prix Cadres Lot 1'!#REF!</definedName>
    <definedName name="L_1_993" localSheetId="1">'Bordereau des Prix Cadres Lot 1'!#REF!</definedName>
    <definedName name="L_1_994" localSheetId="1">'Bordereau des Prix Cadres Lot 1'!#REF!</definedName>
    <definedName name="L_1_995" localSheetId="1">'Bordereau des Prix Cadres Lot 1'!#REF!</definedName>
    <definedName name="L_1_996" localSheetId="1">'Bordereau des Prix Cadres Lot 1'!#REF!</definedName>
    <definedName name="L_1_997" localSheetId="1">'Bordereau des Prix Cadres Lot 1'!#REF!</definedName>
    <definedName name="L_1_998" localSheetId="1">'Bordereau des Prix Cadres Lot 1'!#REF!</definedName>
    <definedName name="L_1_999" localSheetId="1">'Bordereau des Prix Cadres Lot 1'!#REF!</definedName>
    <definedName name="MT" localSheetId="1">'Bordereau des Prix Cadres Lot 1'!#REF!</definedName>
    <definedName name="MT">#REF!</definedName>
    <definedName name="Niv" localSheetId="1">'Bordereau des Prix Cadres Lot 1'!#REF!</definedName>
    <definedName name="NumP" localSheetId="1">'Bordereau des Prix Cadres Lot 1'!$A:$A</definedName>
    <definedName name="P_1_1.1.1" localSheetId="1">'Bordereau des Prix Cadres Lot 1'!#REF!</definedName>
    <definedName name="P_1_1.1.1">#REF!</definedName>
    <definedName name="P_1_1.1.2" localSheetId="1">'Bordereau des Prix Cadres Lot 1'!#REF!</definedName>
    <definedName name="P_1_1.1.2">#REF!</definedName>
    <definedName name="P_1_1.2" localSheetId="1">'Bordereau des Prix Cadres Lot 1'!$67:$67</definedName>
    <definedName name="P_1_1.2">#REF!</definedName>
    <definedName name="P_1_1.3.1.1" localSheetId="1">'Bordereau des Prix Cadres Lot 1'!#REF!</definedName>
    <definedName name="P_1_1.3.1.1">#REF!</definedName>
    <definedName name="P_1_1.3.1.2" localSheetId="1">'Bordereau des Prix Cadres Lot 1'!#REF!</definedName>
    <definedName name="P_1_1.3.1.2">#REF!</definedName>
    <definedName name="P_1_1.3.1.3" localSheetId="1">'Bordereau des Prix Cadres Lot 1'!#REF!</definedName>
    <definedName name="P_1_1.3.1.3">#REF!</definedName>
    <definedName name="P_1_1.3.1.4" localSheetId="1">'Bordereau des Prix Cadres Lot 1'!#REF!</definedName>
    <definedName name="P_1_1.3.1.4">#REF!</definedName>
    <definedName name="P_1_1.3.1.5" localSheetId="1">'Bordereau des Prix Cadres Lot 1'!#REF!</definedName>
    <definedName name="P_1_1.3.1.5">#REF!</definedName>
    <definedName name="P_1_1.3.1.6" localSheetId="1">'Bordereau des Prix Cadres Lot 1'!#REF!</definedName>
    <definedName name="P_1_1.3.1.6">#REF!</definedName>
    <definedName name="P_1_1.3.1.7" localSheetId="1">'Bordereau des Prix Cadres Lot 1'!#REF!</definedName>
    <definedName name="P_1_1.3.1.7">#REF!</definedName>
    <definedName name="P_1_1.3.1.8" localSheetId="1">'Bordereau des Prix Cadres Lot 1'!#REF!</definedName>
    <definedName name="P_1_1.3.1.8">#REF!</definedName>
    <definedName name="P_1_1.3.10" localSheetId="1">'Bordereau des Prix Cadres Lot 1'!#REF!</definedName>
    <definedName name="P_1_1.3.10">#REF!</definedName>
    <definedName name="P_1_1.3.11" localSheetId="1">'Bordereau des Prix Cadres Lot 1'!#REF!</definedName>
    <definedName name="P_1_1.3.11">#REF!</definedName>
    <definedName name="P_1_1.3.2.1" localSheetId="1">'Bordereau des Prix Cadres Lot 1'!#REF!</definedName>
    <definedName name="P_1_1.3.2.1">#REF!</definedName>
    <definedName name="P_1_1.3.2.2" localSheetId="1">'Bordereau des Prix Cadres Lot 1'!#REF!</definedName>
    <definedName name="P_1_1.3.2.2">#REF!</definedName>
    <definedName name="P_1_1.3.2.3" localSheetId="1">'Bordereau des Prix Cadres Lot 1'!#REF!</definedName>
    <definedName name="P_1_1.3.2.3">#REF!</definedName>
    <definedName name="P_1_1.3.2.4" localSheetId="1">'Bordereau des Prix Cadres Lot 1'!#REF!</definedName>
    <definedName name="P_1_1.3.2.4">#REF!</definedName>
    <definedName name="P_1_1.3.3.1" localSheetId="1">'Bordereau des Prix Cadres Lot 1'!#REF!</definedName>
    <definedName name="P_1_1.3.3.1">#REF!</definedName>
    <definedName name="P_1_1.3.3.2" localSheetId="1">'Bordereau des Prix Cadres Lot 1'!#REF!</definedName>
    <definedName name="P_1_1.3.3.2">#REF!</definedName>
    <definedName name="P_1_1.3.3.3" localSheetId="1">'Bordereau des Prix Cadres Lot 1'!#REF!</definedName>
    <definedName name="P_1_1.3.3.3">#REF!</definedName>
    <definedName name="P_1_1.3.3.4" localSheetId="1">'Bordereau des Prix Cadres Lot 1'!#REF!</definedName>
    <definedName name="P_1_1.3.3.4">#REF!</definedName>
    <definedName name="P_1_1.3.4" localSheetId="1">'Bordereau des Prix Cadres Lot 1'!$112:$112</definedName>
    <definedName name="P_1_1.3.4">#REF!</definedName>
    <definedName name="P_1_1.3.5" localSheetId="1">'Bordereau des Prix Cadres Lot 1'!#REF!</definedName>
    <definedName name="P_1_1.3.5">#REF!</definedName>
    <definedName name="P_1_1.3.6" localSheetId="1">'Bordereau des Prix Cadres Lot 1'!#REF!</definedName>
    <definedName name="P_1_1.3.6">#REF!</definedName>
    <definedName name="P_1_1.3.7" localSheetId="1">'Bordereau des Prix Cadres Lot 1'!#REF!</definedName>
    <definedName name="P_1_1.3.7">#REF!</definedName>
    <definedName name="P_1_1.3.8" localSheetId="1">'Bordereau des Prix Cadres Lot 1'!#REF!</definedName>
    <definedName name="P_1_1.3.8">#REF!</definedName>
    <definedName name="P_1_1.3.9" localSheetId="1">'Bordereau des Prix Cadres Lot 1'!#REF!</definedName>
    <definedName name="P_1_1.3.9">#REF!</definedName>
    <definedName name="P_1_1.4.1" localSheetId="1">'Bordereau des Prix Cadres Lot 1'!$214:$214</definedName>
    <definedName name="P_1_1.4.1">#REF!</definedName>
    <definedName name="P_1_1.4.2" localSheetId="1">'Bordereau des Prix Cadres Lot 1'!$216:$216</definedName>
    <definedName name="P_1_1.4.2">#REF!</definedName>
    <definedName name="P_1_1.4.3" localSheetId="1">'Bordereau des Prix Cadres Lot 1'!$218:$218</definedName>
    <definedName name="P_1_1.4.3">#REF!</definedName>
    <definedName name="P_1_1.5" localSheetId="1">'Bordereau des Prix Cadres Lot 1'!$220:$220</definedName>
    <definedName name="P_1_1.5">#REF!</definedName>
    <definedName name="P_1_1.6" localSheetId="1">'Bordereau des Prix Cadres Lot 1'!$237:$237</definedName>
    <definedName name="P_1_1.6">#REF!</definedName>
    <definedName name="P_1_1.7.1" localSheetId="1">'Bordereau des Prix Cadres Lot 1'!#REF!</definedName>
    <definedName name="P_1_1.7.1">#REF!</definedName>
    <definedName name="P_1_1.7.2" localSheetId="1">'Bordereau des Prix Cadres Lot 1'!#REF!</definedName>
    <definedName name="P_1_1.7.2">#REF!</definedName>
    <definedName name="P_1_1.7.3" localSheetId="1">'Bordereau des Prix Cadres Lot 1'!#REF!</definedName>
    <definedName name="P_1_1.7.3">#REF!</definedName>
    <definedName name="P_1_10.1.1" localSheetId="1">'Bordereau des Prix Cadres Lot 1'!$2307:$2307</definedName>
    <definedName name="P_1_10.1.1">#REF!</definedName>
    <definedName name="P_1_10.1.10" localSheetId="1">'Bordereau des Prix Cadres Lot 1'!$2388:$2388</definedName>
    <definedName name="P_1_10.1.10">#REF!</definedName>
    <definedName name="P_1_10.1.11" localSheetId="1">'Bordereau des Prix Cadres Lot 1'!$2392:$2392</definedName>
    <definedName name="P_1_10.1.11">#REF!</definedName>
    <definedName name="P_1_10.1.2" localSheetId="1">'Bordereau des Prix Cadres Lot 1'!$2321:$2321</definedName>
    <definedName name="P_1_10.1.2">#REF!</definedName>
    <definedName name="P_1_10.1.3" localSheetId="1">'Bordereau des Prix Cadres Lot 1'!$2324:$2324</definedName>
    <definedName name="P_1_10.1.3">#REF!</definedName>
    <definedName name="P_1_10.1.4" localSheetId="1">'Bordereau des Prix Cadres Lot 1'!#REF!</definedName>
    <definedName name="P_1_10.1.4">#REF!</definedName>
    <definedName name="P_1_10.1.5" localSheetId="1">'Bordereau des Prix Cadres Lot 1'!$2342:$2342</definedName>
    <definedName name="P_1_10.1.5">#REF!</definedName>
    <definedName name="P_1_10.1.6" localSheetId="1">'Bordereau des Prix Cadres Lot 1'!$2345:$2345</definedName>
    <definedName name="P_1_10.1.6">#REF!</definedName>
    <definedName name="P_1_10.1.7" localSheetId="1">'Bordereau des Prix Cadres Lot 1'!$2353:$2353</definedName>
    <definedName name="P_1_10.1.7">#REF!</definedName>
    <definedName name="P_1_10.1.8" localSheetId="1">'Bordereau des Prix Cadres Lot 1'!$2366:$2366</definedName>
    <definedName name="P_1_10.1.8">#REF!</definedName>
    <definedName name="P_1_10.1.9" localSheetId="1">'Bordereau des Prix Cadres Lot 1'!$2373:$2373</definedName>
    <definedName name="P_1_10.1.9">#REF!</definedName>
    <definedName name="P_1_10.2.1" localSheetId="1">'Bordereau des Prix Cadres Lot 1'!#REF!</definedName>
    <definedName name="P_1_10.2.1">#REF!</definedName>
    <definedName name="P_1_10.2.10.1" localSheetId="1">'Bordereau des Prix Cadres Lot 1'!#REF!</definedName>
    <definedName name="P_1_10.2.10.1">#REF!</definedName>
    <definedName name="P_1_10.2.10.2" localSheetId="1">'Bordereau des Prix Cadres Lot 1'!#REF!</definedName>
    <definedName name="P_1_10.2.10.2">#REF!</definedName>
    <definedName name="P_1_10.2.11.1" localSheetId="1">'Bordereau des Prix Cadres Lot 1'!#REF!</definedName>
    <definedName name="P_1_10.2.11.1">#REF!</definedName>
    <definedName name="P_1_10.2.11.2" localSheetId="1">'Bordereau des Prix Cadres Lot 1'!#REF!</definedName>
    <definedName name="P_1_10.2.11.2">#REF!</definedName>
    <definedName name="P_1_10.2.12.1" localSheetId="1">'Bordereau des Prix Cadres Lot 1'!#REF!</definedName>
    <definedName name="P_1_10.2.12.1">#REF!</definedName>
    <definedName name="P_1_10.2.12.2" localSheetId="1">'Bordereau des Prix Cadres Lot 1'!#REF!</definedName>
    <definedName name="P_1_10.2.12.2">#REF!</definedName>
    <definedName name="P_1_10.2.13.1.1" localSheetId="1">'Bordereau des Prix Cadres Lot 1'!#REF!</definedName>
    <definedName name="P_1_10.2.13.1.1">#REF!</definedName>
    <definedName name="P_1_10.2.13.1.2" localSheetId="1">'Bordereau des Prix Cadres Lot 1'!#REF!</definedName>
    <definedName name="P_1_10.2.13.1.2">#REF!</definedName>
    <definedName name="P_1_10.2.13.1.3" localSheetId="1">'Bordereau des Prix Cadres Lot 1'!#REF!</definedName>
    <definedName name="P_1_10.2.13.1.3">#REF!</definedName>
    <definedName name="P_1_10.2.13.1.4" localSheetId="1">'Bordereau des Prix Cadres Lot 1'!#REF!</definedName>
    <definedName name="P_1_10.2.13.1.4">#REF!</definedName>
    <definedName name="P_1_10.2.13.1.5" localSheetId="1">'Bordereau des Prix Cadres Lot 1'!#REF!</definedName>
    <definedName name="P_1_10.2.13.1.5">#REF!</definedName>
    <definedName name="P_1_10.2.13.1.6" localSheetId="1">'Bordereau des Prix Cadres Lot 1'!#REF!</definedName>
    <definedName name="P_1_10.2.13.1.6">#REF!</definedName>
    <definedName name="P_1_10.2.13.2.1" localSheetId="1">'Bordereau des Prix Cadres Lot 1'!#REF!</definedName>
    <definedName name="P_1_10.2.13.2.1">#REF!</definedName>
    <definedName name="P_1_10.2.13.2.2" localSheetId="1">'Bordereau des Prix Cadres Lot 1'!#REF!</definedName>
    <definedName name="P_1_10.2.13.2.2">#REF!</definedName>
    <definedName name="P_1_10.2.13.2.3" localSheetId="1">'Bordereau des Prix Cadres Lot 1'!#REF!</definedName>
    <definedName name="P_1_10.2.13.2.3">#REF!</definedName>
    <definedName name="P_1_10.2.13.2.4" localSheetId="1">'Bordereau des Prix Cadres Lot 1'!#REF!</definedName>
    <definedName name="P_1_10.2.13.2.4">#REF!</definedName>
    <definedName name="P_1_10.2.13.2.5" localSheetId="1">'Bordereau des Prix Cadres Lot 1'!#REF!</definedName>
    <definedName name="P_1_10.2.13.2.5">#REF!</definedName>
    <definedName name="P_1_10.2.13.2.6" localSheetId="1">'Bordereau des Prix Cadres Lot 1'!#REF!</definedName>
    <definedName name="P_1_10.2.13.2.6">#REF!</definedName>
    <definedName name="P_1_10.2.13.3.1" localSheetId="1">'Bordereau des Prix Cadres Lot 1'!#REF!</definedName>
    <definedName name="P_1_10.2.13.3.1">#REF!</definedName>
    <definedName name="P_1_10.2.13.3.2" localSheetId="1">'Bordereau des Prix Cadres Lot 1'!#REF!</definedName>
    <definedName name="P_1_10.2.13.3.2">#REF!</definedName>
    <definedName name="P_1_10.2.13.3.3" localSheetId="1">'Bordereau des Prix Cadres Lot 1'!#REF!</definedName>
    <definedName name="P_1_10.2.13.3.3">#REF!</definedName>
    <definedName name="P_1_10.2.13.3.4" localSheetId="1">'Bordereau des Prix Cadres Lot 1'!#REF!</definedName>
    <definedName name="P_1_10.2.13.3.4">#REF!</definedName>
    <definedName name="P_1_10.2.13.3.5" localSheetId="1">'Bordereau des Prix Cadres Lot 1'!#REF!</definedName>
    <definedName name="P_1_10.2.13.3.5">#REF!</definedName>
    <definedName name="P_1_10.2.13.3.6" localSheetId="1">'Bordereau des Prix Cadres Lot 1'!#REF!</definedName>
    <definedName name="P_1_10.2.13.3.6">#REF!</definedName>
    <definedName name="P_1_10.2.13.4.1" localSheetId="1">'Bordereau des Prix Cadres Lot 1'!#REF!</definedName>
    <definedName name="P_1_10.2.13.4.1">#REF!</definedName>
    <definedName name="P_1_10.2.13.4.2" localSheetId="1">'Bordereau des Prix Cadres Lot 1'!#REF!</definedName>
    <definedName name="P_1_10.2.13.4.2">#REF!</definedName>
    <definedName name="P_1_10.2.13.4.3" localSheetId="1">'Bordereau des Prix Cadres Lot 1'!#REF!</definedName>
    <definedName name="P_1_10.2.13.4.3">#REF!</definedName>
    <definedName name="P_1_10.2.13.4.4" localSheetId="1">'Bordereau des Prix Cadres Lot 1'!#REF!</definedName>
    <definedName name="P_1_10.2.13.4.4">#REF!</definedName>
    <definedName name="P_1_10.2.13.4.5" localSheetId="1">'Bordereau des Prix Cadres Lot 1'!#REF!</definedName>
    <definedName name="P_1_10.2.13.4.5">#REF!</definedName>
    <definedName name="P_1_10.2.14.1.1" localSheetId="1">'Bordereau des Prix Cadres Lot 1'!#REF!</definedName>
    <definedName name="P_1_10.2.14.1.1">#REF!</definedName>
    <definedName name="P_1_10.2.14.1.2" localSheetId="1">'Bordereau des Prix Cadres Lot 1'!#REF!</definedName>
    <definedName name="P_1_10.2.14.1.2">#REF!</definedName>
    <definedName name="P_1_10.2.14.1.3" localSheetId="1">'Bordereau des Prix Cadres Lot 1'!#REF!</definedName>
    <definedName name="P_1_10.2.14.1.3">#REF!</definedName>
    <definedName name="P_1_10.2.14.1.4" localSheetId="1">'Bordereau des Prix Cadres Lot 1'!#REF!</definedName>
    <definedName name="P_1_10.2.14.1.4">#REF!</definedName>
    <definedName name="P_1_10.2.14.1.5" localSheetId="1">'Bordereau des Prix Cadres Lot 1'!#REF!</definedName>
    <definedName name="P_1_10.2.14.1.5">#REF!</definedName>
    <definedName name="P_1_10.2.14.1.6" localSheetId="1">'Bordereau des Prix Cadres Lot 1'!#REF!</definedName>
    <definedName name="P_1_10.2.14.1.6">#REF!</definedName>
    <definedName name="P_1_10.2.14.2.1" localSheetId="1">'Bordereau des Prix Cadres Lot 1'!#REF!</definedName>
    <definedName name="P_1_10.2.14.2.1">#REF!</definedName>
    <definedName name="P_1_10.2.14.2.2" localSheetId="1">'Bordereau des Prix Cadres Lot 1'!#REF!</definedName>
    <definedName name="P_1_10.2.14.2.2">#REF!</definedName>
    <definedName name="P_1_10.2.14.2.3" localSheetId="1">'Bordereau des Prix Cadres Lot 1'!#REF!</definedName>
    <definedName name="P_1_10.2.14.2.3">#REF!</definedName>
    <definedName name="P_1_10.2.14.2.4" localSheetId="1">'Bordereau des Prix Cadres Lot 1'!#REF!</definedName>
    <definedName name="P_1_10.2.14.2.4">#REF!</definedName>
    <definedName name="P_1_10.2.14.2.5" localSheetId="1">'Bordereau des Prix Cadres Lot 1'!#REF!</definedName>
    <definedName name="P_1_10.2.14.2.5">#REF!</definedName>
    <definedName name="P_1_10.2.14.2.6" localSheetId="1">'Bordereau des Prix Cadres Lot 1'!#REF!</definedName>
    <definedName name="P_1_10.2.14.2.6">#REF!</definedName>
    <definedName name="P_1_10.2.14.3.1" localSheetId="1">'Bordereau des Prix Cadres Lot 1'!#REF!</definedName>
    <definedName name="P_1_10.2.14.3.1">#REF!</definedName>
    <definedName name="P_1_10.2.14.3.2" localSheetId="1">'Bordereau des Prix Cadres Lot 1'!#REF!</definedName>
    <definedName name="P_1_10.2.14.3.2">#REF!</definedName>
    <definedName name="P_1_10.2.14.3.3" localSheetId="1">'Bordereau des Prix Cadres Lot 1'!#REF!</definedName>
    <definedName name="P_1_10.2.14.3.3">#REF!</definedName>
    <definedName name="P_1_10.2.14.3.4" localSheetId="1">'Bordereau des Prix Cadres Lot 1'!#REF!</definedName>
    <definedName name="P_1_10.2.14.3.4">#REF!</definedName>
    <definedName name="P_1_10.2.14.3.5" localSheetId="1">'Bordereau des Prix Cadres Lot 1'!#REF!</definedName>
    <definedName name="P_1_10.2.14.3.5">#REF!</definedName>
    <definedName name="P_1_10.2.14.3.6" localSheetId="1">'Bordereau des Prix Cadres Lot 1'!#REF!</definedName>
    <definedName name="P_1_10.2.14.3.6">#REF!</definedName>
    <definedName name="P_1_10.2.14.4.1" localSheetId="1">'Bordereau des Prix Cadres Lot 1'!#REF!</definedName>
    <definedName name="P_1_10.2.14.4.1">#REF!</definedName>
    <definedName name="P_1_10.2.14.4.2" localSheetId="1">'Bordereau des Prix Cadres Lot 1'!#REF!</definedName>
    <definedName name="P_1_10.2.14.4.2">#REF!</definedName>
    <definedName name="P_1_10.2.14.4.3" localSheetId="1">'Bordereau des Prix Cadres Lot 1'!#REF!</definedName>
    <definedName name="P_1_10.2.14.4.3">#REF!</definedName>
    <definedName name="P_1_10.2.14.4.4" localSheetId="1">'Bordereau des Prix Cadres Lot 1'!#REF!</definedName>
    <definedName name="P_1_10.2.14.4.4">#REF!</definedName>
    <definedName name="P_1_10.2.14.4.5" localSheetId="1">'Bordereau des Prix Cadres Lot 1'!#REF!</definedName>
    <definedName name="P_1_10.2.14.4.5">#REF!</definedName>
    <definedName name="P_1_10.2.14.4.6" localSheetId="1">'Bordereau des Prix Cadres Lot 1'!#REF!</definedName>
    <definedName name="P_1_10.2.14.4.6">#REF!</definedName>
    <definedName name="P_1_10.2.15.1" localSheetId="1">'Bordereau des Prix Cadres Lot 1'!#REF!</definedName>
    <definedName name="P_1_10.2.15.1">#REF!</definedName>
    <definedName name="P_1_10.2.15.2" localSheetId="1">'Bordereau des Prix Cadres Lot 1'!#REF!</definedName>
    <definedName name="P_1_10.2.15.2">#REF!</definedName>
    <definedName name="P_1_10.2.15.3" localSheetId="1">'Bordereau des Prix Cadres Lot 1'!#REF!</definedName>
    <definedName name="P_1_10.2.15.3">#REF!</definedName>
    <definedName name="P_1_10.2.15.4" localSheetId="1">'Bordereau des Prix Cadres Lot 1'!#REF!</definedName>
    <definedName name="P_1_10.2.15.4">#REF!</definedName>
    <definedName name="P_1_10.2.2" localSheetId="1">'Bordereau des Prix Cadres Lot 1'!#REF!</definedName>
    <definedName name="P_1_10.2.2">#REF!</definedName>
    <definedName name="P_1_10.2.3" localSheetId="1">'Bordereau des Prix Cadres Lot 1'!#REF!</definedName>
    <definedName name="P_1_10.2.3">#REF!</definedName>
    <definedName name="P_1_10.2.4.1" localSheetId="1">'Bordereau des Prix Cadres Lot 1'!#REF!</definedName>
    <definedName name="P_1_10.2.4.1">#REF!</definedName>
    <definedName name="P_1_10.2.4.2" localSheetId="1">'Bordereau des Prix Cadres Lot 1'!#REF!</definedName>
    <definedName name="P_1_10.2.4.2">#REF!</definedName>
    <definedName name="P_1_10.2.4.3" localSheetId="1">'Bordereau des Prix Cadres Lot 1'!#REF!</definedName>
    <definedName name="P_1_10.2.4.3">#REF!</definedName>
    <definedName name="P_1_10.2.4.4" localSheetId="1">'Bordereau des Prix Cadres Lot 1'!#REF!</definedName>
    <definedName name="P_1_10.2.4.4">#REF!</definedName>
    <definedName name="P_1_10.2.4.5" localSheetId="1">'Bordereau des Prix Cadres Lot 1'!#REF!</definedName>
    <definedName name="P_1_10.2.4.5">#REF!</definedName>
    <definedName name="P_1_10.2.4.6" localSheetId="1">'Bordereau des Prix Cadres Lot 1'!#REF!</definedName>
    <definedName name="P_1_10.2.4.6">#REF!</definedName>
    <definedName name="P_1_10.2.5.1" localSheetId="1">'Bordereau des Prix Cadres Lot 1'!#REF!</definedName>
    <definedName name="P_1_10.2.5.1">#REF!</definedName>
    <definedName name="P_1_10.2.5.2" localSheetId="1">'Bordereau des Prix Cadres Lot 1'!#REF!</definedName>
    <definedName name="P_1_10.2.5.2">#REF!</definedName>
    <definedName name="P_1_10.2.5.3" localSheetId="1">'Bordereau des Prix Cadres Lot 1'!#REF!</definedName>
    <definedName name="P_1_10.2.5.3">#REF!</definedName>
    <definedName name="P_1_10.2.5.4" localSheetId="1">'Bordereau des Prix Cadres Lot 1'!#REF!</definedName>
    <definedName name="P_1_10.2.5.4">#REF!</definedName>
    <definedName name="P_1_10.2.5.5" localSheetId="1">'Bordereau des Prix Cadres Lot 1'!#REF!</definedName>
    <definedName name="P_1_10.2.5.5">#REF!</definedName>
    <definedName name="P_1_10.2.5.6" localSheetId="1">'Bordereau des Prix Cadres Lot 1'!#REF!</definedName>
    <definedName name="P_1_10.2.5.6">#REF!</definedName>
    <definedName name="P_1_10.2.6.1" localSheetId="1">'Bordereau des Prix Cadres Lot 1'!#REF!</definedName>
    <definedName name="P_1_10.2.6.1">#REF!</definedName>
    <definedName name="P_1_10.2.6.2" localSheetId="1">'Bordereau des Prix Cadres Lot 1'!#REF!</definedName>
    <definedName name="P_1_10.2.6.2">#REF!</definedName>
    <definedName name="P_1_10.2.6.3" localSheetId="1">'Bordereau des Prix Cadres Lot 1'!#REF!</definedName>
    <definedName name="P_1_10.2.6.3">#REF!</definedName>
    <definedName name="P_1_10.2.7.1" localSheetId="1">'Bordereau des Prix Cadres Lot 1'!#REF!</definedName>
    <definedName name="P_1_10.2.7.1">#REF!</definedName>
    <definedName name="P_1_10.2.7.2" localSheetId="1">'Bordereau des Prix Cadres Lot 1'!#REF!</definedName>
    <definedName name="P_1_10.2.7.2">#REF!</definedName>
    <definedName name="P_1_10.2.7.3" localSheetId="1">'Bordereau des Prix Cadres Lot 1'!#REF!</definedName>
    <definedName name="P_1_10.2.7.3">#REF!</definedName>
    <definedName name="P_1_10.2.7.4" localSheetId="1">'Bordereau des Prix Cadres Lot 1'!#REF!</definedName>
    <definedName name="P_1_10.2.7.4">#REF!</definedName>
    <definedName name="P_1_10.2.7.5" localSheetId="1">'Bordereau des Prix Cadres Lot 1'!#REF!</definedName>
    <definedName name="P_1_10.2.7.5">#REF!</definedName>
    <definedName name="P_1_10.2.7.6" localSheetId="1">'Bordereau des Prix Cadres Lot 1'!#REF!</definedName>
    <definedName name="P_1_10.2.7.6">#REF!</definedName>
    <definedName name="P_1_10.2.8.1" localSheetId="1">'Bordereau des Prix Cadres Lot 1'!#REF!</definedName>
    <definedName name="P_1_10.2.8.1">#REF!</definedName>
    <definedName name="P_1_10.2.8.2" localSheetId="1">'Bordereau des Prix Cadres Lot 1'!#REF!</definedName>
    <definedName name="P_1_10.2.8.2">#REF!</definedName>
    <definedName name="P_1_10.2.8.3" localSheetId="1">'Bordereau des Prix Cadres Lot 1'!#REF!</definedName>
    <definedName name="P_1_10.2.8.3">#REF!</definedName>
    <definedName name="P_1_10.2.8.4" localSheetId="1">'Bordereau des Prix Cadres Lot 1'!#REF!</definedName>
    <definedName name="P_1_10.2.8.4">#REF!</definedName>
    <definedName name="P_1_10.2.8.5" localSheetId="1">'Bordereau des Prix Cadres Lot 1'!#REF!</definedName>
    <definedName name="P_1_10.2.8.5">#REF!</definedName>
    <definedName name="P_1_10.2.8.6" localSheetId="1">'Bordereau des Prix Cadres Lot 1'!#REF!</definedName>
    <definedName name="P_1_10.2.8.6">#REF!</definedName>
    <definedName name="P_1_10.2.9.1" localSheetId="1">'Bordereau des Prix Cadres Lot 1'!#REF!</definedName>
    <definedName name="P_1_10.2.9.1">#REF!</definedName>
    <definedName name="P_1_10.2.9.2" localSheetId="1">'Bordereau des Prix Cadres Lot 1'!#REF!</definedName>
    <definedName name="P_1_10.2.9.2">#REF!</definedName>
    <definedName name="P_1_10.3.1" localSheetId="1">'Bordereau des Prix Cadres Lot 1'!$2406:$2406</definedName>
    <definedName name="P_1_10.3.1">#REF!</definedName>
    <definedName name="P_1_10.3.10" localSheetId="1">'Bordereau des Prix Cadres Lot 1'!$2422:$2422</definedName>
    <definedName name="P_1_10.3.10">#REF!</definedName>
    <definedName name="P_1_10.3.11" localSheetId="1">'Bordereau des Prix Cadres Lot 1'!$2424:$2424</definedName>
    <definedName name="P_1_10.3.11">#REF!</definedName>
    <definedName name="P_1_10.3.12" localSheetId="1">'Bordereau des Prix Cadres Lot 1'!$2426:$2426</definedName>
    <definedName name="P_1_10.3.12">#REF!</definedName>
    <definedName name="P_1_10.3.13" localSheetId="1">'Bordereau des Prix Cadres Lot 1'!$2428:$2428</definedName>
    <definedName name="P_1_10.3.13">#REF!</definedName>
    <definedName name="P_1_10.3.14" localSheetId="1">'Bordereau des Prix Cadres Lot 1'!$2430:$2430</definedName>
    <definedName name="P_1_10.3.14">#REF!</definedName>
    <definedName name="P_1_10.3.15" localSheetId="1">'Bordereau des Prix Cadres Lot 1'!$2432:$2432</definedName>
    <definedName name="P_1_10.3.15">#REF!</definedName>
    <definedName name="P_1_10.3.16" localSheetId="1">'Bordereau des Prix Cadres Lot 1'!#REF!</definedName>
    <definedName name="P_1_10.3.16">#REF!</definedName>
    <definedName name="P_1_10.3.17" localSheetId="1">'Bordereau des Prix Cadres Lot 1'!#REF!</definedName>
    <definedName name="P_1_10.3.17">#REF!</definedName>
    <definedName name="P_1_10.3.18" localSheetId="1">'Bordereau des Prix Cadres Lot 1'!#REF!</definedName>
    <definedName name="P_1_10.3.18">#REF!</definedName>
    <definedName name="P_1_10.3.19" localSheetId="1">'Bordereau des Prix Cadres Lot 1'!#REF!</definedName>
    <definedName name="P_1_10.3.19">#REF!</definedName>
    <definedName name="P_1_10.3.2" localSheetId="1">'Bordereau des Prix Cadres Lot 1'!#REF!</definedName>
    <definedName name="P_1_10.3.2">#REF!</definedName>
    <definedName name="P_1_10.3.20" localSheetId="1">'Bordereau des Prix Cadres Lot 1'!#REF!</definedName>
    <definedName name="P_1_10.3.20">#REF!</definedName>
    <definedName name="P_1_10.3.21" localSheetId="1">'Bordereau des Prix Cadres Lot 1'!#REF!</definedName>
    <definedName name="P_1_10.3.21">#REF!</definedName>
    <definedName name="P_1_10.3.3" localSheetId="1">'Bordereau des Prix Cadres Lot 1'!#REF!</definedName>
    <definedName name="P_1_10.3.3">#REF!</definedName>
    <definedName name="P_1_10.3.4" localSheetId="1">'Bordereau des Prix Cadres Lot 1'!#REF!</definedName>
    <definedName name="P_1_10.3.4">#REF!</definedName>
    <definedName name="P_1_10.3.5" localSheetId="1">'Bordereau des Prix Cadres Lot 1'!#REF!</definedName>
    <definedName name="P_1_10.3.5">#REF!</definedName>
    <definedName name="P_1_10.3.6" localSheetId="1">'Bordereau des Prix Cadres Lot 1'!#REF!</definedName>
    <definedName name="P_1_10.3.6">#REF!</definedName>
    <definedName name="P_1_10.3.7" localSheetId="1">'Bordereau des Prix Cadres Lot 1'!#REF!</definedName>
    <definedName name="P_1_10.3.7">#REF!</definedName>
    <definedName name="P_1_10.3.8" localSheetId="1">'Bordereau des Prix Cadres Lot 1'!$2413:$2413</definedName>
    <definedName name="P_1_10.3.8">#REF!</definedName>
    <definedName name="P_1_10.3.9" localSheetId="1">'Bordereau des Prix Cadres Lot 1'!$2420:$2420</definedName>
    <definedName name="P_1_10.3.9">#REF!</definedName>
    <definedName name="P_1_10.4.1" localSheetId="1">'Bordereau des Prix Cadres Lot 1'!#REF!</definedName>
    <definedName name="P_1_10.4.1">#REF!</definedName>
    <definedName name="P_1_10.4.10" localSheetId="1">'Bordereau des Prix Cadres Lot 1'!$2492:$2492</definedName>
    <definedName name="P_1_10.4.10">#REF!</definedName>
    <definedName name="P_1_10.4.11" localSheetId="1">'Bordereau des Prix Cadres Lot 1'!$2494:$2494</definedName>
    <definedName name="P_1_10.4.11">#REF!</definedName>
    <definedName name="P_1_10.4.12" localSheetId="1">'Bordereau des Prix Cadres Lot 1'!$2496:$2496</definedName>
    <definedName name="P_1_10.4.12">#REF!</definedName>
    <definedName name="P_1_10.4.13" localSheetId="1">'Bordereau des Prix Cadres Lot 1'!#REF!</definedName>
    <definedName name="P_1_10.4.13">#REF!</definedName>
    <definedName name="P_1_10.4.14" localSheetId="1">'Bordereau des Prix Cadres Lot 1'!#REF!</definedName>
    <definedName name="P_1_10.4.14">#REF!</definedName>
    <definedName name="P_1_10.4.15" localSheetId="1">'Bordereau des Prix Cadres Lot 1'!$2499:$2499</definedName>
    <definedName name="P_1_10.4.15">#REF!</definedName>
    <definedName name="P_1_10.4.2" localSheetId="1">'Bordereau des Prix Cadres Lot 1'!$2436:$2436</definedName>
    <definedName name="P_1_10.4.2">#REF!</definedName>
    <definedName name="P_1_10.4.3" localSheetId="1">'Bordereau des Prix Cadres Lot 1'!$2442:$2442</definedName>
    <definedName name="P_1_10.4.3">#REF!</definedName>
    <definedName name="P_1_10.4.4" localSheetId="1">'Bordereau des Prix Cadres Lot 1'!#REF!</definedName>
    <definedName name="P_1_10.4.4">#REF!</definedName>
    <definedName name="P_1_10.4.5" localSheetId="1">'Bordereau des Prix Cadres Lot 1'!#REF!</definedName>
    <definedName name="P_1_10.4.5">#REF!</definedName>
    <definedName name="P_1_10.4.6" localSheetId="1">'Bordereau des Prix Cadres Lot 1'!#REF!</definedName>
    <definedName name="P_1_10.4.6">#REF!</definedName>
    <definedName name="P_1_10.4.7" localSheetId="1">'Bordereau des Prix Cadres Lot 1'!$2482:$2482</definedName>
    <definedName name="P_1_10.4.7">#REF!</definedName>
    <definedName name="P_1_10.4.8" localSheetId="1">'Bordereau des Prix Cadres Lot 1'!$2488:$2488</definedName>
    <definedName name="P_1_10.4.8">#REF!</definedName>
    <definedName name="P_1_10.4.9" localSheetId="1">'Bordereau des Prix Cadres Lot 1'!$2490:$2490</definedName>
    <definedName name="P_1_10.4.9">#REF!</definedName>
    <definedName name="P_1_11.1.1.1" localSheetId="1">'Bordereau des Prix Cadres Lot 1'!$2521:$2521</definedName>
    <definedName name="P_1_11.1.1.1">#REF!</definedName>
    <definedName name="P_1_11.1.1.2" localSheetId="1">'Bordereau des Prix Cadres Lot 1'!$2523:$2523</definedName>
    <definedName name="P_1_11.1.1.2">#REF!</definedName>
    <definedName name="P_1_11.1.1.3" localSheetId="1">'Bordereau des Prix Cadres Lot 1'!$2525:$2525</definedName>
    <definedName name="P_1_11.1.1.3">#REF!</definedName>
    <definedName name="P_1_11.1.1.4" localSheetId="1">'Bordereau des Prix Cadres Lot 1'!$2527:$2527</definedName>
    <definedName name="P_1_11.1.1.4">#REF!</definedName>
    <definedName name="P_1_11.1.2.1" localSheetId="1">'Bordereau des Prix Cadres Lot 1'!$2531:$2531</definedName>
    <definedName name="P_1_11.1.2.1">#REF!</definedName>
    <definedName name="P_1_11.1.2.2" localSheetId="1">'Bordereau des Prix Cadres Lot 1'!$2533:$2533</definedName>
    <definedName name="P_1_11.1.2.2">#REF!</definedName>
    <definedName name="P_1_11.1.2.3" localSheetId="1">'Bordereau des Prix Cadres Lot 1'!$2535:$2535</definedName>
    <definedName name="P_1_11.1.2.3">#REF!</definedName>
    <definedName name="P_1_11.1.2.4" localSheetId="1">'Bordereau des Prix Cadres Lot 1'!$2537:$2537</definedName>
    <definedName name="P_1_11.1.2.4">#REF!</definedName>
    <definedName name="P_1_11.1.3.1" localSheetId="1">'Bordereau des Prix Cadres Lot 1'!$2541:$2541</definedName>
    <definedName name="P_1_11.1.3.1">#REF!</definedName>
    <definedName name="P_1_11.1.3.2" localSheetId="1">'Bordereau des Prix Cadres Lot 1'!$2543:$2543</definedName>
    <definedName name="P_1_11.1.3.2">#REF!</definedName>
    <definedName name="P_1_11.1.3.3" localSheetId="1">'Bordereau des Prix Cadres Lot 1'!$2545:$2545</definedName>
    <definedName name="P_1_11.1.3.3">#REF!</definedName>
    <definedName name="P_1_11.1.3.4" localSheetId="1">'Bordereau des Prix Cadres Lot 1'!$2547:$2547</definedName>
    <definedName name="P_1_11.1.3.4">#REF!</definedName>
    <definedName name="P_1_11.2.1" localSheetId="1">'Bordereau des Prix Cadres Lot 1'!$2551:$2551</definedName>
    <definedName name="P_1_11.2.1">#REF!</definedName>
    <definedName name="P_1_11.2.2" localSheetId="1">'Bordereau des Prix Cadres Lot 1'!$2553:$2553</definedName>
    <definedName name="P_1_11.2.2">#REF!</definedName>
    <definedName name="P_1_11.2.3" localSheetId="1">'Bordereau des Prix Cadres Lot 1'!$2555:$2555</definedName>
    <definedName name="P_1_11.2.3">#REF!</definedName>
    <definedName name="P_1_11.2.4" localSheetId="1">'Bordereau des Prix Cadres Lot 1'!$2557:$2557</definedName>
    <definedName name="P_1_11.2.4">#REF!</definedName>
    <definedName name="P_1_11.2.5" localSheetId="1">'Bordereau des Prix Cadres Lot 1'!$2559:$2559</definedName>
    <definedName name="P_1_11.2.5">#REF!</definedName>
    <definedName name="P_1_11.3.1" localSheetId="1">'Bordereau des Prix Cadres Lot 1'!$2569:$2569</definedName>
    <definedName name="P_1_11.3.1">#REF!</definedName>
    <definedName name="P_1_11.3.2" localSheetId="1">'Bordereau des Prix Cadres Lot 1'!$2571:$2571</definedName>
    <definedName name="P_1_11.3.2">#REF!</definedName>
    <definedName name="P_1_11.3.3" localSheetId="1">'Bordereau des Prix Cadres Lot 1'!$2573:$2573</definedName>
    <definedName name="P_1_11.3.3">#REF!</definedName>
    <definedName name="P_1_11.3.4" localSheetId="1">'Bordereau des Prix Cadres Lot 1'!$2575:$2575</definedName>
    <definedName name="P_1_11.3.4">#REF!</definedName>
    <definedName name="P_1_11.3.5" localSheetId="1">'Bordereau des Prix Cadres Lot 1'!$2577:$2577</definedName>
    <definedName name="P_1_11.3.5">#REF!</definedName>
    <definedName name="P_1_11.3.6" localSheetId="1">'Bordereau des Prix Cadres Lot 1'!$2591:$2591</definedName>
    <definedName name="P_1_11.3.6">#REF!</definedName>
    <definedName name="P_1_11.4.1" localSheetId="1">'Bordereau des Prix Cadres Lot 1'!#REF!</definedName>
    <definedName name="P_1_11.4.1">#REF!</definedName>
    <definedName name="P_1_11.4.2.1" localSheetId="1">'Bordereau des Prix Cadres Lot 1'!#REF!</definedName>
    <definedName name="P_1_11.4.2.1">#REF!</definedName>
    <definedName name="P_1_11.4.2.2" localSheetId="1">'Bordereau des Prix Cadres Lot 1'!#REF!</definedName>
    <definedName name="P_1_11.4.2.2">#REF!</definedName>
    <definedName name="P_1_11.4.2.3" localSheetId="1">'Bordereau des Prix Cadres Lot 1'!#REF!</definedName>
    <definedName name="P_1_11.4.2.3">#REF!</definedName>
    <definedName name="P_1_11.4.2.4" localSheetId="1">'Bordereau des Prix Cadres Lot 1'!#REF!</definedName>
    <definedName name="P_1_11.4.2.4">#REF!</definedName>
    <definedName name="P_1_11.4.2.5" localSheetId="1">'Bordereau des Prix Cadres Lot 1'!#REF!</definedName>
    <definedName name="P_1_11.4.2.5">#REF!</definedName>
    <definedName name="P_1_11.4.3.1" localSheetId="1">'Bordereau des Prix Cadres Lot 1'!#REF!</definedName>
    <definedName name="P_1_11.4.3.1">#REF!</definedName>
    <definedName name="P_1_11.4.3.2" localSheetId="1">'Bordereau des Prix Cadres Lot 1'!#REF!</definedName>
    <definedName name="P_1_11.4.3.2">#REF!</definedName>
    <definedName name="P_1_11.4.3.3" localSheetId="1">'Bordereau des Prix Cadres Lot 1'!#REF!</definedName>
    <definedName name="P_1_11.4.3.3">#REF!</definedName>
    <definedName name="P_1_11.4.3.4" localSheetId="1">'Bordereau des Prix Cadres Lot 1'!#REF!</definedName>
    <definedName name="P_1_11.4.3.4">#REF!</definedName>
    <definedName name="P_1_11.4.3.5" localSheetId="1">'Bordereau des Prix Cadres Lot 1'!#REF!</definedName>
    <definedName name="P_1_11.4.3.5">#REF!</definedName>
    <definedName name="P_1_11.4.4.1" localSheetId="1">'Bordereau des Prix Cadres Lot 1'!#REF!</definedName>
    <definedName name="P_1_11.4.4.1">#REF!</definedName>
    <definedName name="P_1_11.4.4.2" localSheetId="1">'Bordereau des Prix Cadres Lot 1'!#REF!</definedName>
    <definedName name="P_1_11.4.4.2">#REF!</definedName>
    <definedName name="P_1_11.4.4.3" localSheetId="1">'Bordereau des Prix Cadres Lot 1'!#REF!</definedName>
    <definedName name="P_1_11.4.4.3">#REF!</definedName>
    <definedName name="P_1_11.4.4.4" localSheetId="1">'Bordereau des Prix Cadres Lot 1'!#REF!</definedName>
    <definedName name="P_1_11.4.4.4">#REF!</definedName>
    <definedName name="P_1_11.4.4.5" localSheetId="1">'Bordereau des Prix Cadres Lot 1'!#REF!</definedName>
    <definedName name="P_1_11.4.4.5">#REF!</definedName>
    <definedName name="P_1_11.5.1" localSheetId="1">'Bordereau des Prix Cadres Lot 1'!$2639:$2639</definedName>
    <definedName name="P_1_11.5.1">#REF!</definedName>
    <definedName name="P_1_11.5.2" localSheetId="1">'Bordereau des Prix Cadres Lot 1'!$2641:$2641</definedName>
    <definedName name="P_1_11.5.2">#REF!</definedName>
    <definedName name="P_1_11.5.3" localSheetId="1">'Bordereau des Prix Cadres Lot 1'!$2643:$2643</definedName>
    <definedName name="P_1_11.5.3">#REF!</definedName>
    <definedName name="P_1_11.5.4" localSheetId="1">'Bordereau des Prix Cadres Lot 1'!$2645:$2645</definedName>
    <definedName name="P_1_11.5.4">#REF!</definedName>
    <definedName name="P_1_11.5.5" localSheetId="1">'Bordereau des Prix Cadres Lot 1'!$2647:$2647</definedName>
    <definedName name="P_1_11.5.5">#REF!</definedName>
    <definedName name="P_1_11.5.6" localSheetId="1">'Bordereau des Prix Cadres Lot 1'!$2649:$2649</definedName>
    <definedName name="P_1_11.5.6">#REF!</definedName>
    <definedName name="P_1_11.5.7" localSheetId="1">'Bordereau des Prix Cadres Lot 1'!$2651:$2651</definedName>
    <definedName name="P_1_11.5.7">#REF!</definedName>
    <definedName name="P_1_11.6.1.1" localSheetId="1">'Bordereau des Prix Cadres Lot 1'!$2682:$2682</definedName>
    <definedName name="P_1_11.6.1.1">#REF!</definedName>
    <definedName name="P_1_11.6.1.10" localSheetId="1">'Bordereau des Prix Cadres Lot 1'!$2700:$2700</definedName>
    <definedName name="P_1_11.6.1.10">#REF!</definedName>
    <definedName name="P_1_11.6.1.11" localSheetId="1">'Bordereau des Prix Cadres Lot 1'!$2702:$2702</definedName>
    <definedName name="P_1_11.6.1.11">#REF!</definedName>
    <definedName name="P_1_11.6.1.12" localSheetId="1">'Bordereau des Prix Cadres Lot 1'!$2704:$2704</definedName>
    <definedName name="P_1_11.6.1.12">#REF!</definedName>
    <definedName name="P_1_11.6.1.2" localSheetId="1">'Bordereau des Prix Cadres Lot 1'!$2684:$2684</definedName>
    <definedName name="P_1_11.6.1.2">#REF!</definedName>
    <definedName name="P_1_11.6.1.3" localSheetId="1">'Bordereau des Prix Cadres Lot 1'!$2686:$2686</definedName>
    <definedName name="P_1_11.6.1.3">#REF!</definedName>
    <definedName name="P_1_11.6.1.4" localSheetId="1">'Bordereau des Prix Cadres Lot 1'!$2688:$2688</definedName>
    <definedName name="P_1_11.6.1.4">#REF!</definedName>
    <definedName name="P_1_11.6.1.5" localSheetId="1">'Bordereau des Prix Cadres Lot 1'!$2690:$2690</definedName>
    <definedName name="P_1_11.6.1.5">#REF!</definedName>
    <definedName name="P_1_11.6.1.6" localSheetId="1">'Bordereau des Prix Cadres Lot 1'!$2692:$2692</definedName>
    <definedName name="P_1_11.6.1.6">#REF!</definedName>
    <definedName name="P_1_11.6.1.7" localSheetId="1">'Bordereau des Prix Cadres Lot 1'!$2694:$2694</definedName>
    <definedName name="P_1_11.6.1.7">#REF!</definedName>
    <definedName name="P_1_11.6.1.8" localSheetId="1">'Bordereau des Prix Cadres Lot 1'!$2696:$2696</definedName>
    <definedName name="P_1_11.6.1.8">#REF!</definedName>
    <definedName name="P_1_11.6.1.9" localSheetId="1">'Bordereau des Prix Cadres Lot 1'!$2698:$2698</definedName>
    <definedName name="P_1_11.6.1.9">#REF!</definedName>
    <definedName name="P_1_11.6.2.1" localSheetId="1">'Bordereau des Prix Cadres Lot 1'!$2707:$2707</definedName>
    <definedName name="P_1_11.6.2.1">#REF!</definedName>
    <definedName name="P_1_11.6.2.10" localSheetId="1">'Bordereau des Prix Cadres Lot 1'!$2725:$2725</definedName>
    <definedName name="P_1_11.6.2.10">#REF!</definedName>
    <definedName name="P_1_11.6.2.11" localSheetId="1">'Bordereau des Prix Cadres Lot 1'!$2727:$2727</definedName>
    <definedName name="P_1_11.6.2.11">#REF!</definedName>
    <definedName name="P_1_11.6.2.12" localSheetId="1">'Bordereau des Prix Cadres Lot 1'!$2729:$2729</definedName>
    <definedName name="P_1_11.6.2.12">#REF!</definedName>
    <definedName name="P_1_11.6.2.2" localSheetId="1">'Bordereau des Prix Cadres Lot 1'!$2709:$2709</definedName>
    <definedName name="P_1_11.6.2.2">#REF!</definedName>
    <definedName name="P_1_11.6.2.3" localSheetId="1">'Bordereau des Prix Cadres Lot 1'!$2711:$2711</definedName>
    <definedName name="P_1_11.6.2.3">#REF!</definedName>
    <definedName name="P_1_11.6.2.4" localSheetId="1">'Bordereau des Prix Cadres Lot 1'!$2713:$2713</definedName>
    <definedName name="P_1_11.6.2.4">#REF!</definedName>
    <definedName name="P_1_11.6.2.5" localSheetId="1">'Bordereau des Prix Cadres Lot 1'!$2715:$2715</definedName>
    <definedName name="P_1_11.6.2.5">#REF!</definedName>
    <definedName name="P_1_11.6.2.6" localSheetId="1">'Bordereau des Prix Cadres Lot 1'!$2717:$2717</definedName>
    <definedName name="P_1_11.6.2.6">#REF!</definedName>
    <definedName name="P_1_11.6.2.7" localSheetId="1">'Bordereau des Prix Cadres Lot 1'!$2719:$2719</definedName>
    <definedName name="P_1_11.6.2.7">#REF!</definedName>
    <definedName name="P_1_11.6.2.8" localSheetId="1">'Bordereau des Prix Cadres Lot 1'!$2721:$2721</definedName>
    <definedName name="P_1_11.6.2.8">#REF!</definedName>
    <definedName name="P_1_11.6.2.9" localSheetId="1">'Bordereau des Prix Cadres Lot 1'!$2723:$2723</definedName>
    <definedName name="P_1_11.6.2.9">#REF!</definedName>
    <definedName name="P_1_11.7.1" localSheetId="1">'Bordereau des Prix Cadres Lot 1'!$2850:$2850</definedName>
    <definedName name="P_1_11.7.1">#REF!</definedName>
    <definedName name="P_1_11.7.2" localSheetId="1">'Bordereau des Prix Cadres Lot 1'!$2853:$2853</definedName>
    <definedName name="P_1_11.7.2">#REF!</definedName>
    <definedName name="P_1_11.7.3" localSheetId="1">'Bordereau des Prix Cadres Lot 1'!$2858:$2858</definedName>
    <definedName name="P_1_11.7.3">#REF!</definedName>
    <definedName name="P_1_11.8.1" localSheetId="1">'Bordereau des Prix Cadres Lot 1'!$2868:$2868</definedName>
    <definedName name="P_1_11.8.1">#REF!</definedName>
    <definedName name="P_1_11.8.2" localSheetId="1">'Bordereau des Prix Cadres Lot 1'!$2871:$2871</definedName>
    <definedName name="P_1_11.8.2">#REF!</definedName>
    <definedName name="P_1_11.8.3" localSheetId="1">'Bordereau des Prix Cadres Lot 1'!$2876:$2876</definedName>
    <definedName name="P_1_11.8.3">#REF!</definedName>
    <definedName name="P_1_11.8.4" localSheetId="1">'Bordereau des Prix Cadres Lot 1'!#REF!</definedName>
    <definedName name="P_1_11.8.4">#REF!</definedName>
    <definedName name="P_1_11.8.5" localSheetId="1">'Bordereau des Prix Cadres Lot 1'!#REF!</definedName>
    <definedName name="P_1_11.8.5">#REF!</definedName>
    <definedName name="P_1_12.1.1" localSheetId="1">'Bordereau des Prix Cadres Lot 1'!#REF!</definedName>
    <definedName name="P_1_12.1.1">#REF!</definedName>
    <definedName name="P_1_12.1.2" localSheetId="1">'Bordereau des Prix Cadres Lot 1'!#REF!</definedName>
    <definedName name="P_1_12.1.2">#REF!</definedName>
    <definedName name="P_1_12.1.3" localSheetId="1">'Bordereau des Prix Cadres Lot 1'!#REF!</definedName>
    <definedName name="P_1_12.1.3">#REF!</definedName>
    <definedName name="P_1_12.1.4" localSheetId="1">'Bordereau des Prix Cadres Lot 1'!#REF!</definedName>
    <definedName name="P_1_12.1.4">#REF!</definedName>
    <definedName name="P_1_12.10.1" localSheetId="1">'Bordereau des Prix Cadres Lot 1'!$3928:$3928</definedName>
    <definedName name="P_1_12.10.1">#REF!</definedName>
    <definedName name="P_1_12.10.2" localSheetId="1">'Bordereau des Prix Cadres Lot 1'!$3930:$3930</definedName>
    <definedName name="P_1_12.10.2">#REF!</definedName>
    <definedName name="P_1_12.10.3" localSheetId="1">'Bordereau des Prix Cadres Lot 1'!$3932:$3932</definedName>
    <definedName name="P_1_12.10.3">#REF!</definedName>
    <definedName name="P_1_12.10.4" localSheetId="1">'Bordereau des Prix Cadres Lot 1'!#REF!</definedName>
    <definedName name="P_1_12.10.4">#REF!</definedName>
    <definedName name="P_1_12.10.5" localSheetId="1">'Bordereau des Prix Cadres Lot 1'!$3934:$3934</definedName>
    <definedName name="P_1_12.10.5">#REF!</definedName>
    <definedName name="P_1_12.11.1" localSheetId="1">'Bordereau des Prix Cadres Lot 1'!#REF!</definedName>
    <definedName name="P_1_12.11.1">#REF!</definedName>
    <definedName name="P_1_12.11.2" localSheetId="1">'Bordereau des Prix Cadres Lot 1'!#REF!</definedName>
    <definedName name="P_1_12.11.2">#REF!</definedName>
    <definedName name="P_1_12.11.3" localSheetId="1">'Bordereau des Prix Cadres Lot 1'!#REF!</definedName>
    <definedName name="P_1_12.11.3">#REF!</definedName>
    <definedName name="P_1_12.11.4" localSheetId="1">'Bordereau des Prix Cadres Lot 1'!#REF!</definedName>
    <definedName name="P_1_12.11.4">#REF!</definedName>
    <definedName name="P_1_12.2.1.1" localSheetId="1">'Bordereau des Prix Cadres Lot 1'!$3472:$3472</definedName>
    <definedName name="P_1_12.2.1.1">#REF!</definedName>
    <definedName name="P_1_12.2.1.2" localSheetId="1">'Bordereau des Prix Cadres Lot 1'!$3477:$3477</definedName>
    <definedName name="P_1_12.2.1.2">#REF!</definedName>
    <definedName name="P_1_12.2.1.3" localSheetId="1">'Bordereau des Prix Cadres Lot 1'!$3482:$3482</definedName>
    <definedName name="P_1_12.2.1.3">#REF!</definedName>
    <definedName name="P_1_12.2.1.4" localSheetId="1">'Bordereau des Prix Cadres Lot 1'!#REF!</definedName>
    <definedName name="P_1_12.2.1.4">#REF!</definedName>
    <definedName name="P_1_12.2.1.5" localSheetId="1">'Bordereau des Prix Cadres Lot 1'!#REF!</definedName>
    <definedName name="P_1_12.2.1.5">#REF!</definedName>
    <definedName name="P_1_12.2.1.6" localSheetId="1">'Bordereau des Prix Cadres Lot 1'!#REF!</definedName>
    <definedName name="P_1_12.2.1.6">#REF!</definedName>
    <definedName name="P_1_12.2.1.7" localSheetId="1">'Bordereau des Prix Cadres Lot 1'!#REF!</definedName>
    <definedName name="P_1_12.2.1.7">#REF!</definedName>
    <definedName name="P_1_12.2.1.8" localSheetId="1">'Bordereau des Prix Cadres Lot 1'!#REF!</definedName>
    <definedName name="P_1_12.2.1.8">#REF!</definedName>
    <definedName name="P_1_12.2.1.9" localSheetId="1">'Bordereau des Prix Cadres Lot 1'!#REF!</definedName>
    <definedName name="P_1_12.2.1.9">#REF!</definedName>
    <definedName name="P_1_12.2.2.1" localSheetId="1">'Bordereau des Prix Cadres Lot 1'!#REF!</definedName>
    <definedName name="P_1_12.2.2.1">#REF!</definedName>
    <definedName name="P_1_12.2.2.2" localSheetId="1">'Bordereau des Prix Cadres Lot 1'!#REF!</definedName>
    <definedName name="P_1_12.2.2.2">#REF!</definedName>
    <definedName name="P_1_12.2.2.3" localSheetId="1">'Bordereau des Prix Cadres Lot 1'!#REF!</definedName>
    <definedName name="P_1_12.2.2.3">#REF!</definedName>
    <definedName name="P_1_12.2.2.4" localSheetId="1">'Bordereau des Prix Cadres Lot 1'!#REF!</definedName>
    <definedName name="P_1_12.2.2.4">#REF!</definedName>
    <definedName name="P_1_12.2.2.5" localSheetId="1">'Bordereau des Prix Cadres Lot 1'!#REF!</definedName>
    <definedName name="P_1_12.2.2.5">#REF!</definedName>
    <definedName name="P_1_12.2.3" localSheetId="1">'Bordereau des Prix Cadres Lot 1'!$3484:$3484</definedName>
    <definedName name="P_1_12.2.3">#REF!</definedName>
    <definedName name="P_1_12.2.4" localSheetId="1">'Bordereau des Prix Cadres Lot 1'!#REF!</definedName>
    <definedName name="P_1_12.2.4">#REF!</definedName>
    <definedName name="P_1_12.3.1" localSheetId="1">'Bordereau des Prix Cadres Lot 1'!#REF!</definedName>
    <definedName name="P_1_12.3.1">#REF!</definedName>
    <definedName name="P_1_12.3.2" localSheetId="1">'Bordereau des Prix Cadres Lot 1'!#REF!</definedName>
    <definedName name="P_1_12.3.2">#REF!</definedName>
    <definedName name="P_1_12.3.3" localSheetId="1">'Bordereau des Prix Cadres Lot 1'!#REF!</definedName>
    <definedName name="P_1_12.3.3">#REF!</definedName>
    <definedName name="P_1_12.3.4" localSheetId="1">'Bordereau des Prix Cadres Lot 1'!#REF!</definedName>
    <definedName name="P_1_12.3.4">#REF!</definedName>
    <definedName name="P_1_12.4.1" localSheetId="1">'Bordereau des Prix Cadres Lot 1'!#REF!</definedName>
    <definedName name="P_1_12.4.1">#REF!</definedName>
    <definedName name="P_1_12.4.2" localSheetId="1">'Bordereau des Prix Cadres Lot 1'!#REF!</definedName>
    <definedName name="P_1_12.4.2">#REF!</definedName>
    <definedName name="P_1_12.4.3" localSheetId="1">'Bordereau des Prix Cadres Lot 1'!$3500:$3500</definedName>
    <definedName name="P_1_12.4.3">#REF!</definedName>
    <definedName name="P_1_12.4.4" localSheetId="1">'Bordereau des Prix Cadres Lot 1'!#REF!</definedName>
    <definedName name="P_1_12.4.4">#REF!</definedName>
    <definedName name="P_1_12.4.5" localSheetId="1">'Bordereau des Prix Cadres Lot 1'!#REF!</definedName>
    <definedName name="P_1_12.4.5">#REF!</definedName>
    <definedName name="P_1_12.4.6" localSheetId="1">'Bordereau des Prix Cadres Lot 1'!#REF!</definedName>
    <definedName name="P_1_12.4.6">#REF!</definedName>
    <definedName name="P_1_12.4.7" localSheetId="1">'Bordereau des Prix Cadres Lot 1'!#REF!</definedName>
    <definedName name="P_1_12.4.7">#REF!</definedName>
    <definedName name="P_1_12.4.8" localSheetId="1">'Bordereau des Prix Cadres Lot 1'!#REF!</definedName>
    <definedName name="P_1_12.4.8">#REF!</definedName>
    <definedName name="P_1_12.5.1" localSheetId="1">'Bordereau des Prix Cadres Lot 1'!$3560:$3560</definedName>
    <definedName name="P_1_12.5.1">#REF!</definedName>
    <definedName name="P_1_12.5.2" localSheetId="1">'Bordereau des Prix Cadres Lot 1'!$3562:$3562</definedName>
    <definedName name="P_1_12.5.2">#REF!</definedName>
    <definedName name="P_1_12.5.3" localSheetId="1">'Bordereau des Prix Cadres Lot 1'!$3564:$3564</definedName>
    <definedName name="P_1_12.5.3">#REF!</definedName>
    <definedName name="P_1_12.5.4" localSheetId="1">'Bordereau des Prix Cadres Lot 1'!$3566:$3566</definedName>
    <definedName name="P_1_12.5.4">#REF!</definedName>
    <definedName name="P_1_12.5.5" localSheetId="1">'Bordereau des Prix Cadres Lot 1'!$3568:$3568</definedName>
    <definedName name="P_1_12.5.5">#REF!</definedName>
    <definedName name="P_1_12.5.6" localSheetId="1">'Bordereau des Prix Cadres Lot 1'!$3570:$3570</definedName>
    <definedName name="P_1_12.5.6">#REF!</definedName>
    <definedName name="P_1_12.6.1" localSheetId="1">'Bordereau des Prix Cadres Lot 1'!$3573:$3573</definedName>
    <definedName name="P_1_12.6.1">#REF!</definedName>
    <definedName name="P_1_12.6.2" localSheetId="1">'Bordereau des Prix Cadres Lot 1'!#REF!</definedName>
    <definedName name="P_1_12.6.2">#REF!</definedName>
    <definedName name="P_1_12.6.3.1" localSheetId="1">'Bordereau des Prix Cadres Lot 1'!#REF!</definedName>
    <definedName name="P_1_12.6.3.1">#REF!</definedName>
    <definedName name="P_1_12.6.3.2" localSheetId="1">'Bordereau des Prix Cadres Lot 1'!#REF!</definedName>
    <definedName name="P_1_12.6.3.2">#REF!</definedName>
    <definedName name="P_1_12.6.3.3" localSheetId="1">'Bordereau des Prix Cadres Lot 1'!#REF!</definedName>
    <definedName name="P_1_12.6.3.3">#REF!</definedName>
    <definedName name="P_1_12.6.3.4" localSheetId="1">'Bordereau des Prix Cadres Lot 1'!#REF!</definedName>
    <definedName name="P_1_12.6.3.4">#REF!</definedName>
    <definedName name="P_1_12.6.3.5" localSheetId="1">'Bordereau des Prix Cadres Lot 1'!#REF!</definedName>
    <definedName name="P_1_12.6.3.5">#REF!</definedName>
    <definedName name="P_1_12.6.3.6" localSheetId="1">'Bordereau des Prix Cadres Lot 1'!#REF!</definedName>
    <definedName name="P_1_12.6.3.6">#REF!</definedName>
    <definedName name="P_1_12.6.3.7" localSheetId="1">'Bordereau des Prix Cadres Lot 1'!#REF!</definedName>
    <definedName name="P_1_12.6.3.7">#REF!</definedName>
    <definedName name="P_1_12.7.1" localSheetId="1">'Bordereau des Prix Cadres Lot 1'!#REF!</definedName>
    <definedName name="P_1_12.7.1">#REF!</definedName>
    <definedName name="P_1_12.7.10" localSheetId="1">'Bordereau des Prix Cadres Lot 1'!#REF!</definedName>
    <definedName name="P_1_12.7.10">#REF!</definedName>
    <definedName name="P_1_12.7.2" localSheetId="1">'Bordereau des Prix Cadres Lot 1'!#REF!</definedName>
    <definedName name="P_1_12.7.2">#REF!</definedName>
    <definedName name="P_1_12.7.3" localSheetId="1">'Bordereau des Prix Cadres Lot 1'!#REF!</definedName>
    <definedName name="P_1_12.7.3">#REF!</definedName>
    <definedName name="P_1_12.7.4" localSheetId="1">'Bordereau des Prix Cadres Lot 1'!#REF!</definedName>
    <definedName name="P_1_12.7.4">#REF!</definedName>
    <definedName name="P_1_12.7.5" localSheetId="1">'Bordereau des Prix Cadres Lot 1'!#REF!</definedName>
    <definedName name="P_1_12.7.5">#REF!</definedName>
    <definedName name="P_1_12.7.6" localSheetId="1">'Bordereau des Prix Cadres Lot 1'!#REF!</definedName>
    <definedName name="P_1_12.7.6">#REF!</definedName>
    <definedName name="P_1_12.7.7" localSheetId="1">'Bordereau des Prix Cadres Lot 1'!#REF!</definedName>
    <definedName name="P_1_12.7.7">#REF!</definedName>
    <definedName name="P_1_12.7.8" localSheetId="1">'Bordereau des Prix Cadres Lot 1'!#REF!</definedName>
    <definedName name="P_1_12.7.8">#REF!</definedName>
    <definedName name="P_1_12.7.9" localSheetId="1">'Bordereau des Prix Cadres Lot 1'!#REF!</definedName>
    <definedName name="P_1_12.7.9">#REF!</definedName>
    <definedName name="P_1_12.8.1" localSheetId="1">'Bordereau des Prix Cadres Lot 1'!#REF!</definedName>
    <definedName name="P_1_12.8.1">#REF!</definedName>
    <definedName name="P_1_12.8.2" localSheetId="1">'Bordereau des Prix Cadres Lot 1'!#REF!</definedName>
    <definedName name="P_1_12.8.2">#REF!</definedName>
    <definedName name="P_1_12.8.3" localSheetId="1">'Bordereau des Prix Cadres Lot 1'!#REF!</definedName>
    <definedName name="P_1_12.8.3">#REF!</definedName>
    <definedName name="P_1_12.8.4" localSheetId="1">'Bordereau des Prix Cadres Lot 1'!#REF!</definedName>
    <definedName name="P_1_12.8.4">#REF!</definedName>
    <definedName name="P_1_12.9.1.1" localSheetId="1">'Bordereau des Prix Cadres Lot 1'!$3765:$3765</definedName>
    <definedName name="P_1_12.9.1.1">#REF!</definedName>
    <definedName name="P_1_12.9.1.2" localSheetId="1">'Bordereau des Prix Cadres Lot 1'!#REF!</definedName>
    <definedName name="P_1_12.9.1.2">#REF!</definedName>
    <definedName name="P_1_12.9.1.3" localSheetId="1">'Bordereau des Prix Cadres Lot 1'!#REF!</definedName>
    <definedName name="P_1_12.9.1.3">#REF!</definedName>
    <definedName name="P_1_12.9.1.4" localSheetId="1">'Bordereau des Prix Cadres Lot 1'!#REF!</definedName>
    <definedName name="P_1_12.9.1.4">#REF!</definedName>
    <definedName name="P_1_12.9.1.5" localSheetId="1">'Bordereau des Prix Cadres Lot 1'!#REF!</definedName>
    <definedName name="P_1_12.9.1.5">#REF!</definedName>
    <definedName name="P_1_12.9.2.1" localSheetId="1">'Bordereau des Prix Cadres Lot 1'!$3802:$3802</definedName>
    <definedName name="P_1_12.9.2.1">#REF!</definedName>
    <definedName name="P_1_12.9.2.2" localSheetId="1">'Bordereau des Prix Cadres Lot 1'!$3804:$3804</definedName>
    <definedName name="P_1_12.9.2.2">#REF!</definedName>
    <definedName name="P_1_12.9.2.3" localSheetId="1">'Bordereau des Prix Cadres Lot 1'!#REF!</definedName>
    <definedName name="P_1_12.9.2.3">#REF!</definedName>
    <definedName name="P_1_12.9.2.4" localSheetId="1">'Bordereau des Prix Cadres Lot 1'!#REF!</definedName>
    <definedName name="P_1_12.9.2.4">#REF!</definedName>
    <definedName name="P_1_12.9.2.5" localSheetId="1">'Bordereau des Prix Cadres Lot 1'!#REF!</definedName>
    <definedName name="P_1_12.9.2.5">#REF!</definedName>
    <definedName name="P_1_12.9.2.6" localSheetId="1">'Bordereau des Prix Cadres Lot 1'!$3806:$3806</definedName>
    <definedName name="P_1_12.9.2.6">#REF!</definedName>
    <definedName name="P_1_12.9.2.7" localSheetId="1">'Bordereau des Prix Cadres Lot 1'!#REF!</definedName>
    <definedName name="P_1_12.9.2.7">#REF!</definedName>
    <definedName name="P_1_12.9.2.8" localSheetId="1">'Bordereau des Prix Cadres Lot 1'!#REF!</definedName>
    <definedName name="P_1_12.9.2.8">#REF!</definedName>
    <definedName name="P_1_12.9.3.1" localSheetId="1">'Bordereau des Prix Cadres Lot 1'!$3823:$3823</definedName>
    <definedName name="P_1_12.9.3.1">#REF!</definedName>
    <definedName name="P_1_12.9.3.2" localSheetId="1">'Bordereau des Prix Cadres Lot 1'!$3825:$3825</definedName>
    <definedName name="P_1_12.9.3.2">#REF!</definedName>
    <definedName name="P_1_12.9.3.3" localSheetId="1">'Bordereau des Prix Cadres Lot 1'!$3827:$3827</definedName>
    <definedName name="P_1_12.9.3.3">#REF!</definedName>
    <definedName name="P_1_12.9.4.1" localSheetId="1">'Bordereau des Prix Cadres Lot 1'!#REF!</definedName>
    <definedName name="P_1_12.9.4.1">#REF!</definedName>
    <definedName name="P_1_12.9.4.10" localSheetId="1">'Bordereau des Prix Cadres Lot 1'!$3841:$3841</definedName>
    <definedName name="P_1_12.9.4.10">#REF!</definedName>
    <definedName name="P_1_12.9.4.11" localSheetId="1">'Bordereau des Prix Cadres Lot 1'!#REF!</definedName>
    <definedName name="P_1_12.9.4.11">#REF!</definedName>
    <definedName name="P_1_12.9.4.12" localSheetId="1">'Bordereau des Prix Cadres Lot 1'!#REF!</definedName>
    <definedName name="P_1_12.9.4.12">#REF!</definedName>
    <definedName name="P_1_12.9.4.13" localSheetId="1">'Bordereau des Prix Cadres Lot 1'!#REF!</definedName>
    <definedName name="P_1_12.9.4.13">#REF!</definedName>
    <definedName name="P_1_12.9.4.14" localSheetId="1">'Bordereau des Prix Cadres Lot 1'!#REF!</definedName>
    <definedName name="P_1_12.9.4.14">#REF!</definedName>
    <definedName name="P_1_12.9.4.15" localSheetId="1">'Bordereau des Prix Cadres Lot 1'!#REF!</definedName>
    <definedName name="P_1_12.9.4.15">#REF!</definedName>
    <definedName name="P_1_12.9.4.16" localSheetId="1">'Bordereau des Prix Cadres Lot 1'!#REF!</definedName>
    <definedName name="P_1_12.9.4.16">#REF!</definedName>
    <definedName name="P_1_12.9.4.17" localSheetId="1">'Bordereau des Prix Cadres Lot 1'!#REF!</definedName>
    <definedName name="P_1_12.9.4.17">#REF!</definedName>
    <definedName name="P_1_12.9.4.18" localSheetId="1">'Bordereau des Prix Cadres Lot 1'!#REF!</definedName>
    <definedName name="P_1_12.9.4.18">#REF!</definedName>
    <definedName name="P_1_12.9.4.19" localSheetId="1">'Bordereau des Prix Cadres Lot 1'!#REF!</definedName>
    <definedName name="P_1_12.9.4.19">#REF!</definedName>
    <definedName name="P_1_12.9.4.2" localSheetId="1">'Bordereau des Prix Cadres Lot 1'!#REF!</definedName>
    <definedName name="P_1_12.9.4.2">#REF!</definedName>
    <definedName name="P_1_12.9.4.20" localSheetId="1">'Bordereau des Prix Cadres Lot 1'!#REF!</definedName>
    <definedName name="P_1_12.9.4.20">#REF!</definedName>
    <definedName name="P_1_12.9.4.21" localSheetId="1">'Bordereau des Prix Cadres Lot 1'!$3843:$3843</definedName>
    <definedName name="P_1_12.9.4.21">#REF!</definedName>
    <definedName name="P_1_12.9.4.22" localSheetId="1">'Bordereau des Prix Cadres Lot 1'!$3861:$3861</definedName>
    <definedName name="P_1_12.9.4.22">#REF!</definedName>
    <definedName name="P_1_12.9.4.23" localSheetId="1">'Bordereau des Prix Cadres Lot 1'!#REF!</definedName>
    <definedName name="P_1_12.9.4.23">#REF!</definedName>
    <definedName name="P_1_12.9.4.24" localSheetId="1">'Bordereau des Prix Cadres Lot 1'!#REF!</definedName>
    <definedName name="P_1_12.9.4.24">#REF!</definedName>
    <definedName name="P_1_12.9.4.25" localSheetId="1">'Bordereau des Prix Cadres Lot 1'!#REF!</definedName>
    <definedName name="P_1_12.9.4.25">#REF!</definedName>
    <definedName name="P_1_12.9.4.26" localSheetId="1">'Bordereau des Prix Cadres Lot 1'!#REF!</definedName>
    <definedName name="P_1_12.9.4.26">#REF!</definedName>
    <definedName name="P_1_12.9.4.27" localSheetId="1">'Bordereau des Prix Cadres Lot 1'!#REF!</definedName>
    <definedName name="P_1_12.9.4.27">#REF!</definedName>
    <definedName name="P_1_12.9.4.28" localSheetId="1">'Bordereau des Prix Cadres Lot 1'!#REF!</definedName>
    <definedName name="P_1_12.9.4.28">#REF!</definedName>
    <definedName name="P_1_12.9.4.29.1" localSheetId="1">'Bordereau des Prix Cadres Lot 1'!$3873:$3873</definedName>
    <definedName name="P_1_12.9.4.29.1">#REF!</definedName>
    <definedName name="P_1_12.9.4.29.2" localSheetId="1">'Bordereau des Prix Cadres Lot 1'!$3875:$3875</definedName>
    <definedName name="P_1_12.9.4.29.2">#REF!</definedName>
    <definedName name="P_1_12.9.4.29.3" localSheetId="1">'Bordereau des Prix Cadres Lot 1'!$3877:$3877</definedName>
    <definedName name="P_1_12.9.4.29.3">#REF!</definedName>
    <definedName name="P_1_12.9.4.29.4" localSheetId="1">'Bordereau des Prix Cadres Lot 1'!$3879:$3879</definedName>
    <definedName name="P_1_12.9.4.29.4">#REF!</definedName>
    <definedName name="P_1_12.9.4.3" localSheetId="1">'Bordereau des Prix Cadres Lot 1'!#REF!</definedName>
    <definedName name="P_1_12.9.4.3">#REF!</definedName>
    <definedName name="P_1_12.9.4.30.1" localSheetId="1">'Bordereau des Prix Cadres Lot 1'!$3887:$3887</definedName>
    <definedName name="P_1_12.9.4.30.1">#REF!</definedName>
    <definedName name="P_1_12.9.4.30.10" localSheetId="1">'Bordereau des Prix Cadres Lot 1'!#REF!</definedName>
    <definedName name="P_1_12.9.4.30.10">#REF!</definedName>
    <definedName name="P_1_12.9.4.30.2" localSheetId="1">'Bordereau des Prix Cadres Lot 1'!$3889:$3889</definedName>
    <definedName name="P_1_12.9.4.30.2">#REF!</definedName>
    <definedName name="P_1_12.9.4.30.3" localSheetId="1">'Bordereau des Prix Cadres Lot 1'!$3891:$3891</definedName>
    <definedName name="P_1_12.9.4.30.3">#REF!</definedName>
    <definedName name="P_1_12.9.4.30.4" localSheetId="1">'Bordereau des Prix Cadres Lot 1'!$3893:$3893</definedName>
    <definedName name="P_1_12.9.4.30.4">#REF!</definedName>
    <definedName name="P_1_12.9.4.30.5" localSheetId="1">'Bordereau des Prix Cadres Lot 1'!$3895:$3895</definedName>
    <definedName name="P_1_12.9.4.30.5">#REF!</definedName>
    <definedName name="P_1_12.9.4.30.6" localSheetId="1">'Bordereau des Prix Cadres Lot 1'!$3897:$3897</definedName>
    <definedName name="P_1_12.9.4.30.6">#REF!</definedName>
    <definedName name="P_1_12.9.4.30.7" localSheetId="1">'Bordereau des Prix Cadres Lot 1'!$3899:$3899</definedName>
    <definedName name="P_1_12.9.4.30.7">#REF!</definedName>
    <definedName name="P_1_12.9.4.30.8" localSheetId="1">'Bordereau des Prix Cadres Lot 1'!#REF!</definedName>
    <definedName name="P_1_12.9.4.30.8">#REF!</definedName>
    <definedName name="P_1_12.9.4.30.9" localSheetId="1">'Bordereau des Prix Cadres Lot 1'!#REF!</definedName>
    <definedName name="P_1_12.9.4.30.9">#REF!</definedName>
    <definedName name="P_1_12.9.4.4" localSheetId="1">'Bordereau des Prix Cadres Lot 1'!#REF!</definedName>
    <definedName name="P_1_12.9.4.4">#REF!</definedName>
    <definedName name="P_1_12.9.4.5" localSheetId="1">'Bordereau des Prix Cadres Lot 1'!#REF!</definedName>
    <definedName name="P_1_12.9.4.5">#REF!</definedName>
    <definedName name="P_1_12.9.4.6" localSheetId="1">'Bordereau des Prix Cadres Lot 1'!#REF!</definedName>
    <definedName name="P_1_12.9.4.6">#REF!</definedName>
    <definedName name="P_1_12.9.4.7" localSheetId="1">'Bordereau des Prix Cadres Lot 1'!$3835:$3835</definedName>
    <definedName name="P_1_12.9.4.7">#REF!</definedName>
    <definedName name="P_1_12.9.4.8" localSheetId="1">'Bordereau des Prix Cadres Lot 1'!$3837:$3837</definedName>
    <definedName name="P_1_12.9.4.8">#REF!</definedName>
    <definedName name="P_1_12.9.4.9" localSheetId="1">'Bordereau des Prix Cadres Lot 1'!$3839:$3839</definedName>
    <definedName name="P_1_12.9.4.9">#REF!</definedName>
    <definedName name="P_1_12.9.5.1.1" localSheetId="1">'Bordereau des Prix Cadres Lot 1'!#REF!</definedName>
    <definedName name="P_1_12.9.5.1.1">#REF!</definedName>
    <definedName name="P_1_12.9.5.1.2" localSheetId="1">'Bordereau des Prix Cadres Lot 1'!#REF!</definedName>
    <definedName name="P_1_12.9.5.1.2">#REF!</definedName>
    <definedName name="P_1_12.9.5.1.3" localSheetId="1">'Bordereau des Prix Cadres Lot 1'!#REF!</definedName>
    <definedName name="P_1_12.9.5.1.3">#REF!</definedName>
    <definedName name="P_1_12.9.5.1.4" localSheetId="1">'Bordereau des Prix Cadres Lot 1'!#REF!</definedName>
    <definedName name="P_1_12.9.5.1.4">#REF!</definedName>
    <definedName name="P_1_12.9.5.1.5" localSheetId="1">'Bordereau des Prix Cadres Lot 1'!#REF!</definedName>
    <definedName name="P_1_12.9.5.1.5">#REF!</definedName>
    <definedName name="P_1_12.9.5.1.6" localSheetId="1">'Bordereau des Prix Cadres Lot 1'!#REF!</definedName>
    <definedName name="P_1_12.9.5.1.6">#REF!</definedName>
    <definedName name="P_1_12.9.5.1.7" localSheetId="1">'Bordereau des Prix Cadres Lot 1'!#REF!</definedName>
    <definedName name="P_1_12.9.5.1.7">#REF!</definedName>
    <definedName name="P_1_12.9.5.2.1" localSheetId="1">'Bordereau des Prix Cadres Lot 1'!#REF!</definedName>
    <definedName name="P_1_12.9.5.2.1">#REF!</definedName>
    <definedName name="P_1_12.9.5.2.2" localSheetId="1">'Bordereau des Prix Cadres Lot 1'!#REF!</definedName>
    <definedName name="P_1_12.9.5.2.2">#REF!</definedName>
    <definedName name="P_1_12.9.5.2.3" localSheetId="1">'Bordereau des Prix Cadres Lot 1'!#REF!</definedName>
    <definedName name="P_1_12.9.5.2.3">#REF!</definedName>
    <definedName name="P_1_12.9.5.2.4" localSheetId="1">'Bordereau des Prix Cadres Lot 1'!#REF!</definedName>
    <definedName name="P_1_12.9.5.2.4">#REF!</definedName>
    <definedName name="P_1_12.9.5.2.5" localSheetId="1">'Bordereau des Prix Cadres Lot 1'!#REF!</definedName>
    <definedName name="P_1_12.9.5.2.5">#REF!</definedName>
    <definedName name="P_1_12.9.5.2.6" localSheetId="1">'Bordereau des Prix Cadres Lot 1'!#REF!</definedName>
    <definedName name="P_1_12.9.5.2.6">#REF!</definedName>
    <definedName name="P_1_12.9.5.3.1" localSheetId="1">'Bordereau des Prix Cadres Lot 1'!#REF!</definedName>
    <definedName name="P_1_12.9.5.3.1">#REF!</definedName>
    <definedName name="P_1_12.9.5.3.2" localSheetId="1">'Bordereau des Prix Cadres Lot 1'!#REF!</definedName>
    <definedName name="P_1_12.9.5.3.2">#REF!</definedName>
    <definedName name="P_1_12.9.5.3.3" localSheetId="1">'Bordereau des Prix Cadres Lot 1'!#REF!</definedName>
    <definedName name="P_1_12.9.5.3.3">#REF!</definedName>
    <definedName name="P_1_12.9.6.1" localSheetId="1">'Bordereau des Prix Cadres Lot 1'!#REF!</definedName>
    <definedName name="P_1_12.9.6.1">#REF!</definedName>
    <definedName name="P_1_12.9.6.2" localSheetId="1">'Bordereau des Prix Cadres Lot 1'!#REF!</definedName>
    <definedName name="P_1_12.9.6.2">#REF!</definedName>
    <definedName name="P_1_12.9.6.3" localSheetId="1">'Bordereau des Prix Cadres Lot 1'!#REF!</definedName>
    <definedName name="P_1_12.9.6.3">#REF!</definedName>
    <definedName name="P_1_12.9.6.4" localSheetId="1">'Bordereau des Prix Cadres Lot 1'!#REF!</definedName>
    <definedName name="P_1_12.9.6.4">#REF!</definedName>
    <definedName name="P_1_12.9.7.1" localSheetId="1">'Bordereau des Prix Cadres Lot 1'!#REF!</definedName>
    <definedName name="P_1_12.9.7.1">#REF!</definedName>
    <definedName name="P_1_12.9.7.2" localSheetId="1">'Bordereau des Prix Cadres Lot 1'!#REF!</definedName>
    <definedName name="P_1_12.9.7.2">#REF!</definedName>
    <definedName name="P_1_12.9.7.3" localSheetId="1">'Bordereau des Prix Cadres Lot 1'!#REF!</definedName>
    <definedName name="P_1_12.9.7.3">#REF!</definedName>
    <definedName name="P_1_12.9.7.4" localSheetId="1">'Bordereau des Prix Cadres Lot 1'!#REF!</definedName>
    <definedName name="P_1_12.9.7.4">#REF!</definedName>
    <definedName name="P_1_13.1.1" localSheetId="1">'Bordereau des Prix Cadres Lot 1'!$3312:$3312</definedName>
    <definedName name="P_1_13.1.1">#REF!</definedName>
    <definedName name="P_1_13.1.10" localSheetId="1">'Bordereau des Prix Cadres Lot 1'!#REF!</definedName>
    <definedName name="P_1_13.1.10">#REF!</definedName>
    <definedName name="P_1_13.1.11" localSheetId="1">'Bordereau des Prix Cadres Lot 1'!#REF!</definedName>
    <definedName name="P_1_13.1.11">#REF!</definedName>
    <definedName name="P_1_13.1.12" localSheetId="1">'Bordereau des Prix Cadres Lot 1'!#REF!</definedName>
    <definedName name="P_1_13.1.12">#REF!</definedName>
    <definedName name="P_1_13.1.13" localSheetId="1">'Bordereau des Prix Cadres Lot 1'!#REF!</definedName>
    <definedName name="P_1_13.1.13">#REF!</definedName>
    <definedName name="P_1_13.1.2" localSheetId="1">'Bordereau des Prix Cadres Lot 1'!$3324:$3324</definedName>
    <definedName name="P_1_13.1.2">#REF!</definedName>
    <definedName name="P_1_13.1.3" localSheetId="1">'Bordereau des Prix Cadres Lot 1'!$3326:$3326</definedName>
    <definedName name="P_1_13.1.3">#REF!</definedName>
    <definedName name="P_1_13.1.4" localSheetId="1">'Bordereau des Prix Cadres Lot 1'!#REF!</definedName>
    <definedName name="P_1_13.1.4">#REF!</definedName>
    <definedName name="P_1_13.1.5" localSheetId="1">'Bordereau des Prix Cadres Lot 1'!#REF!</definedName>
    <definedName name="P_1_13.1.5">#REF!</definedName>
    <definedName name="P_1_13.1.6" localSheetId="1">'Bordereau des Prix Cadres Lot 1'!#REF!</definedName>
    <definedName name="P_1_13.1.6">#REF!</definedName>
    <definedName name="P_1_13.1.7" localSheetId="1">'Bordereau des Prix Cadres Lot 1'!#REF!</definedName>
    <definedName name="P_1_13.1.7">#REF!</definedName>
    <definedName name="P_1_13.1.8" localSheetId="1">'Bordereau des Prix Cadres Lot 1'!#REF!</definedName>
    <definedName name="P_1_13.1.8">#REF!</definedName>
    <definedName name="P_1_13.1.9" localSheetId="1">'Bordereau des Prix Cadres Lot 1'!#REF!</definedName>
    <definedName name="P_1_13.1.9">#REF!</definedName>
    <definedName name="P_1_13.2.1" localSheetId="1">'Bordereau des Prix Cadres Lot 1'!$3368:$3368</definedName>
    <definedName name="P_1_13.2.1">#REF!</definedName>
    <definedName name="P_1_13.2.10" localSheetId="1">'Bordereau des Prix Cadres Lot 1'!#REF!</definedName>
    <definedName name="P_1_13.2.10">#REF!</definedName>
    <definedName name="P_1_13.2.2" localSheetId="1">'Bordereau des Prix Cadres Lot 1'!$3370:$3370</definedName>
    <definedName name="P_1_13.2.2">#REF!</definedName>
    <definedName name="P_1_13.2.3" localSheetId="1">'Bordereau des Prix Cadres Lot 1'!$3372:$3372</definedName>
    <definedName name="P_1_13.2.3">#REF!</definedName>
    <definedName name="P_1_13.2.4" localSheetId="1">'Bordereau des Prix Cadres Lot 1'!#REF!</definedName>
    <definedName name="P_1_13.2.4">#REF!</definedName>
    <definedName name="P_1_13.2.5" localSheetId="1">'Bordereau des Prix Cadres Lot 1'!#REF!</definedName>
    <definedName name="P_1_13.2.5">#REF!</definedName>
    <definedName name="P_1_13.2.6" localSheetId="1">'Bordereau des Prix Cadres Lot 1'!#REF!</definedName>
    <definedName name="P_1_13.2.6">#REF!</definedName>
    <definedName name="P_1_13.2.7" localSheetId="1">'Bordereau des Prix Cadres Lot 1'!$3403:$3403</definedName>
    <definedName name="P_1_13.2.7">#REF!</definedName>
    <definedName name="P_1_13.2.8" localSheetId="1">'Bordereau des Prix Cadres Lot 1'!$3405:$3405</definedName>
    <definedName name="P_1_13.2.8">#REF!</definedName>
    <definedName name="P_1_13.2.9" localSheetId="1">'Bordereau des Prix Cadres Lot 1'!$3407:$3407</definedName>
    <definedName name="P_1_13.2.9">#REF!</definedName>
    <definedName name="P_1_13.3.1" localSheetId="1">'Bordereau des Prix Cadres Lot 1'!$3420:$3420</definedName>
    <definedName name="P_1_13.3.1">#REF!</definedName>
    <definedName name="P_1_13.3.10" localSheetId="1">'Bordereau des Prix Cadres Lot 1'!$3428:$3428</definedName>
    <definedName name="P_1_13.3.10">#REF!</definedName>
    <definedName name="P_1_13.3.2" localSheetId="1">'Bordereau des Prix Cadres Lot 1'!#REF!</definedName>
    <definedName name="P_1_13.3.2">#REF!</definedName>
    <definedName name="P_1_13.3.3" localSheetId="1">'Bordereau des Prix Cadres Lot 1'!#REF!</definedName>
    <definedName name="P_1_13.3.3">#REF!</definedName>
    <definedName name="P_1_13.3.4" localSheetId="1">'Bordereau des Prix Cadres Lot 1'!$3422:$3422</definedName>
    <definedName name="P_1_13.3.4">#REF!</definedName>
    <definedName name="P_1_13.3.5" localSheetId="1">'Bordereau des Prix Cadres Lot 1'!$3424:$3424</definedName>
    <definedName name="P_1_13.3.5">#REF!</definedName>
    <definedName name="P_1_13.3.6" localSheetId="1">'Bordereau des Prix Cadres Lot 1'!$3426:$3426</definedName>
    <definedName name="P_1_13.3.6">#REF!</definedName>
    <definedName name="P_1_13.3.7" localSheetId="1">'Bordereau des Prix Cadres Lot 1'!#REF!</definedName>
    <definedName name="P_1_13.3.7">#REF!</definedName>
    <definedName name="P_1_13.3.8" localSheetId="1">'Bordereau des Prix Cadres Lot 1'!#REF!</definedName>
    <definedName name="P_1_13.3.8">#REF!</definedName>
    <definedName name="P_1_13.3.9" localSheetId="1">'Bordereau des Prix Cadres Lot 1'!#REF!</definedName>
    <definedName name="P_1_13.3.9">#REF!</definedName>
    <definedName name="P_1_13.4.1" localSheetId="1">'Bordereau des Prix Cadres Lot 1'!#REF!</definedName>
    <definedName name="P_1_13.4.1">#REF!</definedName>
    <definedName name="P_1_13.4.2" localSheetId="1">'Bordereau des Prix Cadres Lot 1'!#REF!</definedName>
    <definedName name="P_1_13.4.2">#REF!</definedName>
    <definedName name="P_1_13.4.3" localSheetId="1">'Bordereau des Prix Cadres Lot 1'!#REF!</definedName>
    <definedName name="P_1_13.4.3">#REF!</definedName>
    <definedName name="P_1_13.5.1" localSheetId="1">'Bordereau des Prix Cadres Lot 1'!#REF!</definedName>
    <definedName name="P_1_13.5.1">#REF!</definedName>
    <definedName name="P_1_13.5.2" localSheetId="1">'Bordereau des Prix Cadres Lot 1'!#REF!</definedName>
    <definedName name="P_1_13.5.2">#REF!</definedName>
    <definedName name="P_1_13.5.3" localSheetId="1">'Bordereau des Prix Cadres Lot 1'!#REF!</definedName>
    <definedName name="P_1_13.5.3">#REF!</definedName>
    <definedName name="P_1_13.5.4" localSheetId="1">'Bordereau des Prix Cadres Lot 1'!#REF!</definedName>
    <definedName name="P_1_13.5.4">#REF!</definedName>
    <definedName name="P_1_13.6.1" localSheetId="1">'Bordereau des Prix Cadres Lot 1'!#REF!</definedName>
    <definedName name="P_1_13.6.1">#REF!</definedName>
    <definedName name="P_1_13.6.10" localSheetId="1">'Bordereau des Prix Cadres Lot 1'!#REF!</definedName>
    <definedName name="P_1_13.6.10">#REF!</definedName>
    <definedName name="P_1_13.6.11" localSheetId="1">'Bordereau des Prix Cadres Lot 1'!#REF!</definedName>
    <definedName name="P_1_13.6.11">#REF!</definedName>
    <definedName name="P_1_13.6.12" localSheetId="1">'Bordereau des Prix Cadres Lot 1'!#REF!</definedName>
    <definedName name="P_1_13.6.12">#REF!</definedName>
    <definedName name="P_1_13.6.13" localSheetId="1">'Bordereau des Prix Cadres Lot 1'!#REF!</definedName>
    <definedName name="P_1_13.6.13">#REF!</definedName>
    <definedName name="P_1_13.6.14" localSheetId="1">'Bordereau des Prix Cadres Lot 1'!#REF!</definedName>
    <definedName name="P_1_13.6.14">#REF!</definedName>
    <definedName name="P_1_13.6.15" localSheetId="1">'Bordereau des Prix Cadres Lot 1'!#REF!</definedName>
    <definedName name="P_1_13.6.15">#REF!</definedName>
    <definedName name="P_1_13.6.16" localSheetId="1">'Bordereau des Prix Cadres Lot 1'!#REF!</definedName>
    <definedName name="P_1_13.6.16">#REF!</definedName>
    <definedName name="P_1_13.6.17" localSheetId="1">'Bordereau des Prix Cadres Lot 1'!#REF!</definedName>
    <definedName name="P_1_13.6.17">#REF!</definedName>
    <definedName name="P_1_13.6.18" localSheetId="1">'Bordereau des Prix Cadres Lot 1'!#REF!</definedName>
    <definedName name="P_1_13.6.18">#REF!</definedName>
    <definedName name="P_1_13.6.19" localSheetId="1">'Bordereau des Prix Cadres Lot 1'!#REF!</definedName>
    <definedName name="P_1_13.6.19">#REF!</definedName>
    <definedName name="P_1_13.6.2" localSheetId="1">'Bordereau des Prix Cadres Lot 1'!#REF!</definedName>
    <definedName name="P_1_13.6.2">#REF!</definedName>
    <definedName name="P_1_13.6.20" localSheetId="1">'Bordereau des Prix Cadres Lot 1'!#REF!</definedName>
    <definedName name="P_1_13.6.20">#REF!</definedName>
    <definedName name="P_1_13.6.3" localSheetId="1">'Bordereau des Prix Cadres Lot 1'!#REF!</definedName>
    <definedName name="P_1_13.6.3">#REF!</definedName>
    <definedName name="P_1_13.6.4" localSheetId="1">'Bordereau des Prix Cadres Lot 1'!#REF!</definedName>
    <definedName name="P_1_13.6.4">#REF!</definedName>
    <definedName name="P_1_13.6.5" localSheetId="1">'Bordereau des Prix Cadres Lot 1'!#REF!</definedName>
    <definedName name="P_1_13.6.5">#REF!</definedName>
    <definedName name="P_1_13.6.6" localSheetId="1">'Bordereau des Prix Cadres Lot 1'!#REF!</definedName>
    <definedName name="P_1_13.6.6">#REF!</definedName>
    <definedName name="P_1_13.6.7" localSheetId="1">'Bordereau des Prix Cadres Lot 1'!#REF!</definedName>
    <definedName name="P_1_13.6.7">#REF!</definedName>
    <definedName name="P_1_13.6.8" localSheetId="1">'Bordereau des Prix Cadres Lot 1'!#REF!</definedName>
    <definedName name="P_1_13.6.8">#REF!</definedName>
    <definedName name="P_1_13.6.9" localSheetId="1">'Bordereau des Prix Cadres Lot 1'!#REF!</definedName>
    <definedName name="P_1_13.6.9">#REF!</definedName>
    <definedName name="P_1_13.7.1" localSheetId="1">'Bordereau des Prix Cadres Lot 1'!#REF!</definedName>
    <definedName name="P_1_13.7.1">#REF!</definedName>
    <definedName name="P_1_13.7.10" localSheetId="1">'Bordereau des Prix Cadres Lot 1'!#REF!</definedName>
    <definedName name="P_1_13.7.10">#REF!</definedName>
    <definedName name="P_1_13.7.11" localSheetId="1">'Bordereau des Prix Cadres Lot 1'!#REF!</definedName>
    <definedName name="P_1_13.7.11">#REF!</definedName>
    <definedName name="P_1_13.7.12" localSheetId="1">'Bordereau des Prix Cadres Lot 1'!#REF!</definedName>
    <definedName name="P_1_13.7.12">#REF!</definedName>
    <definedName name="P_1_13.7.13" localSheetId="1">'Bordereau des Prix Cadres Lot 1'!#REF!</definedName>
    <definedName name="P_1_13.7.13">#REF!</definedName>
    <definedName name="P_1_13.7.14" localSheetId="1">'Bordereau des Prix Cadres Lot 1'!#REF!</definedName>
    <definedName name="P_1_13.7.14">#REF!</definedName>
    <definedName name="P_1_13.7.2" localSheetId="1">'Bordereau des Prix Cadres Lot 1'!#REF!</definedName>
    <definedName name="P_1_13.7.2">#REF!</definedName>
    <definedName name="P_1_13.7.3" localSheetId="1">'Bordereau des Prix Cadres Lot 1'!#REF!</definedName>
    <definedName name="P_1_13.7.3">#REF!</definedName>
    <definedName name="P_1_13.7.4" localSheetId="1">'Bordereau des Prix Cadres Lot 1'!#REF!</definedName>
    <definedName name="P_1_13.7.4">#REF!</definedName>
    <definedName name="P_1_13.7.5" localSheetId="1">'Bordereau des Prix Cadres Lot 1'!#REF!</definedName>
    <definedName name="P_1_13.7.5">#REF!</definedName>
    <definedName name="P_1_13.7.6" localSheetId="1">'Bordereau des Prix Cadres Lot 1'!#REF!</definedName>
    <definedName name="P_1_13.7.6">#REF!</definedName>
    <definedName name="P_1_13.7.7" localSheetId="1">'Bordereau des Prix Cadres Lot 1'!#REF!</definedName>
    <definedName name="P_1_13.7.7">#REF!</definedName>
    <definedName name="P_1_13.7.8" localSheetId="1">'Bordereau des Prix Cadres Lot 1'!#REF!</definedName>
    <definedName name="P_1_13.7.8">#REF!</definedName>
    <definedName name="P_1_13.7.9" localSheetId="1">'Bordereau des Prix Cadres Lot 1'!#REF!</definedName>
    <definedName name="P_1_13.7.9">#REF!</definedName>
    <definedName name="P_1_13.8.1" localSheetId="1">'Bordereau des Prix Cadres Lot 1'!#REF!</definedName>
    <definedName name="P_1_13.8.1">#REF!</definedName>
    <definedName name="P_1_13.8.10" localSheetId="1">'Bordereau des Prix Cadres Lot 1'!#REF!</definedName>
    <definedName name="P_1_13.8.10">#REF!</definedName>
    <definedName name="P_1_13.8.11" localSheetId="1">'Bordereau des Prix Cadres Lot 1'!#REF!</definedName>
    <definedName name="P_1_13.8.11">#REF!</definedName>
    <definedName name="P_1_13.8.12" localSheetId="1">'Bordereau des Prix Cadres Lot 1'!#REF!</definedName>
    <definedName name="P_1_13.8.12">#REF!</definedName>
    <definedName name="P_1_13.8.13" localSheetId="1">'Bordereau des Prix Cadres Lot 1'!#REF!</definedName>
    <definedName name="P_1_13.8.13">#REF!</definedName>
    <definedName name="P_1_13.8.14" localSheetId="1">'Bordereau des Prix Cadres Lot 1'!#REF!</definedName>
    <definedName name="P_1_13.8.14">#REF!</definedName>
    <definedName name="P_1_13.8.15" localSheetId="1">'Bordereau des Prix Cadres Lot 1'!#REF!</definedName>
    <definedName name="P_1_13.8.15">#REF!</definedName>
    <definedName name="P_1_13.8.16" localSheetId="1">'Bordereau des Prix Cadres Lot 1'!#REF!</definedName>
    <definedName name="P_1_13.8.16">#REF!</definedName>
    <definedName name="P_1_13.8.17" localSheetId="1">'Bordereau des Prix Cadres Lot 1'!#REF!</definedName>
    <definedName name="P_1_13.8.17">#REF!</definedName>
    <definedName name="P_1_13.8.18" localSheetId="1">'Bordereau des Prix Cadres Lot 1'!#REF!</definedName>
    <definedName name="P_1_13.8.18">#REF!</definedName>
    <definedName name="P_1_13.8.19" localSheetId="1">'Bordereau des Prix Cadres Lot 1'!#REF!</definedName>
    <definedName name="P_1_13.8.19">#REF!</definedName>
    <definedName name="P_1_13.8.2" localSheetId="1">'Bordereau des Prix Cadres Lot 1'!#REF!</definedName>
    <definedName name="P_1_13.8.2">#REF!</definedName>
    <definedName name="P_1_13.8.20" localSheetId="1">'Bordereau des Prix Cadres Lot 1'!#REF!</definedName>
    <definedName name="P_1_13.8.20">#REF!</definedName>
    <definedName name="P_1_13.8.21" localSheetId="1">'Bordereau des Prix Cadres Lot 1'!#REF!</definedName>
    <definedName name="P_1_13.8.21">#REF!</definedName>
    <definedName name="P_1_13.8.22" localSheetId="1">'Bordereau des Prix Cadres Lot 1'!#REF!</definedName>
    <definedName name="P_1_13.8.22">#REF!</definedName>
    <definedName name="P_1_13.8.23" localSheetId="1">'Bordereau des Prix Cadres Lot 1'!#REF!</definedName>
    <definedName name="P_1_13.8.23">#REF!</definedName>
    <definedName name="P_1_13.8.24" localSheetId="1">'Bordereau des Prix Cadres Lot 1'!#REF!</definedName>
    <definedName name="P_1_13.8.24">#REF!</definedName>
    <definedName name="P_1_13.8.25" localSheetId="1">'Bordereau des Prix Cadres Lot 1'!#REF!</definedName>
    <definedName name="P_1_13.8.25">#REF!</definedName>
    <definedName name="P_1_13.8.26" localSheetId="1">'Bordereau des Prix Cadres Lot 1'!#REF!</definedName>
    <definedName name="P_1_13.8.26">#REF!</definedName>
    <definedName name="P_1_13.8.27" localSheetId="1">'Bordereau des Prix Cadres Lot 1'!#REF!</definedName>
    <definedName name="P_1_13.8.27">#REF!</definedName>
    <definedName name="P_1_13.8.28" localSheetId="1">'Bordereau des Prix Cadres Lot 1'!#REF!</definedName>
    <definedName name="P_1_13.8.28">#REF!</definedName>
    <definedName name="P_1_13.8.29" localSheetId="1">'Bordereau des Prix Cadres Lot 1'!#REF!</definedName>
    <definedName name="P_1_13.8.29">#REF!</definedName>
    <definedName name="P_1_13.8.3" localSheetId="1">'Bordereau des Prix Cadres Lot 1'!#REF!</definedName>
    <definedName name="P_1_13.8.3">#REF!</definedName>
    <definedName name="P_1_13.8.30" localSheetId="1">'Bordereau des Prix Cadres Lot 1'!#REF!</definedName>
    <definedName name="P_1_13.8.30">#REF!</definedName>
    <definedName name="P_1_13.8.31" localSheetId="1">'Bordereau des Prix Cadres Lot 1'!#REF!</definedName>
    <definedName name="P_1_13.8.31">#REF!</definedName>
    <definedName name="P_1_13.8.4" localSheetId="1">'Bordereau des Prix Cadres Lot 1'!#REF!</definedName>
    <definedName name="P_1_13.8.4">#REF!</definedName>
    <definedName name="P_1_13.8.5" localSheetId="1">'Bordereau des Prix Cadres Lot 1'!#REF!</definedName>
    <definedName name="P_1_13.8.5">#REF!</definedName>
    <definedName name="P_1_13.8.6" localSheetId="1">'Bordereau des Prix Cadres Lot 1'!#REF!</definedName>
    <definedName name="P_1_13.8.6">#REF!</definedName>
    <definedName name="P_1_13.8.7" localSheetId="1">'Bordereau des Prix Cadres Lot 1'!#REF!</definedName>
    <definedName name="P_1_13.8.7">#REF!</definedName>
    <definedName name="P_1_13.8.8" localSheetId="1">'Bordereau des Prix Cadres Lot 1'!#REF!</definedName>
    <definedName name="P_1_13.8.8">#REF!</definedName>
    <definedName name="P_1_13.8.9" localSheetId="1">'Bordereau des Prix Cadres Lot 1'!#REF!</definedName>
    <definedName name="P_1_13.8.9">#REF!</definedName>
    <definedName name="P_1_2.1.1" localSheetId="1">'Bordereau des Prix Cadres Lot 1'!#REF!</definedName>
    <definedName name="P_1_2.1.1">#REF!</definedName>
    <definedName name="P_1_2.1.2" localSheetId="1">'Bordereau des Prix Cadres Lot 1'!#REF!</definedName>
    <definedName name="P_1_2.1.2">#REF!</definedName>
    <definedName name="P_1_2.1.3" localSheetId="1">'Bordereau des Prix Cadres Lot 1'!#REF!</definedName>
    <definedName name="P_1_2.1.3">#REF!</definedName>
    <definedName name="P_1_2.1.4" localSheetId="1">'Bordereau des Prix Cadres Lot 1'!#REF!</definedName>
    <definedName name="P_1_2.1.4">#REF!</definedName>
    <definedName name="P_1_2.1.5" localSheetId="1">'Bordereau des Prix Cadres Lot 1'!#REF!</definedName>
    <definedName name="P_1_2.1.5">#REF!</definedName>
    <definedName name="P_1_2.2.1" localSheetId="1">'Bordereau des Prix Cadres Lot 1'!#REF!</definedName>
    <definedName name="P_1_2.2.1">#REF!</definedName>
    <definedName name="P_1_2.2.2" localSheetId="1">'Bordereau des Prix Cadres Lot 1'!#REF!</definedName>
    <definedName name="P_1_2.2.2">#REF!</definedName>
    <definedName name="P_1_2.2.3" localSheetId="1">'Bordereau des Prix Cadres Lot 1'!#REF!</definedName>
    <definedName name="P_1_2.2.3">#REF!</definedName>
    <definedName name="P_1_2.2.4" localSheetId="1">'Bordereau des Prix Cadres Lot 1'!#REF!</definedName>
    <definedName name="P_1_2.2.4">#REF!</definedName>
    <definedName name="P_1_2.2.5" localSheetId="1">'Bordereau des Prix Cadres Lot 1'!#REF!</definedName>
    <definedName name="P_1_2.2.5">#REF!</definedName>
    <definedName name="P_1_2.2.6" localSheetId="1">'Bordereau des Prix Cadres Lot 1'!#REF!</definedName>
    <definedName name="P_1_2.2.6">#REF!</definedName>
    <definedName name="P_1_2.2.7" localSheetId="1">'Bordereau des Prix Cadres Lot 1'!#REF!</definedName>
    <definedName name="P_1_2.2.7">#REF!</definedName>
    <definedName name="P_1_2.2.8" localSheetId="1">'Bordereau des Prix Cadres Lot 1'!#REF!</definedName>
    <definedName name="P_1_2.2.8">#REF!</definedName>
    <definedName name="P_1_2.3.1" localSheetId="1">'Bordereau des Prix Cadres Lot 1'!#REF!</definedName>
    <definedName name="P_1_2.3.1">#REF!</definedName>
    <definedName name="P_1_2.3.2" localSheetId="1">'Bordereau des Prix Cadres Lot 1'!#REF!</definedName>
    <definedName name="P_1_2.3.2">#REF!</definedName>
    <definedName name="P_1_2.3.3" localSheetId="1">'Bordereau des Prix Cadres Lot 1'!#REF!</definedName>
    <definedName name="P_1_2.3.3">#REF!</definedName>
    <definedName name="P_1_2.3.4" localSheetId="1">'Bordereau des Prix Cadres Lot 1'!#REF!</definedName>
    <definedName name="P_1_2.3.4">#REF!</definedName>
    <definedName name="P_1_2.3.5" localSheetId="1">'Bordereau des Prix Cadres Lot 1'!#REF!</definedName>
    <definedName name="P_1_2.3.5">#REF!</definedName>
    <definedName name="P_1_2.4.1" localSheetId="1">'Bordereau des Prix Cadres Lot 1'!$4898:$4898</definedName>
    <definedName name="P_1_2.4.1">#REF!</definedName>
    <definedName name="P_1_2.4.2" localSheetId="1">'Bordereau des Prix Cadres Lot 1'!$4906:$4906</definedName>
    <definedName name="P_1_2.4.2">#REF!</definedName>
    <definedName name="P_1_2.4.3" localSheetId="1">'Bordereau des Prix Cadres Lot 1'!$4914:$4914</definedName>
    <definedName name="P_1_2.4.3">#REF!</definedName>
    <definedName name="P_1_2.4.4" localSheetId="1">'Bordereau des Prix Cadres Lot 1'!$4922:$4922</definedName>
    <definedName name="P_1_2.4.4">#REF!</definedName>
    <definedName name="P_1_2.4.5" localSheetId="1">'Bordereau des Prix Cadres Lot 1'!$4928:$4928</definedName>
    <definedName name="P_1_2.4.5">#REF!</definedName>
    <definedName name="P_1_2.4.6" localSheetId="1">'Bordereau des Prix Cadres Lot 1'!$4935:$4935</definedName>
    <definedName name="P_1_2.4.6">#REF!</definedName>
    <definedName name="P_1_2.4.7" localSheetId="1">'Bordereau des Prix Cadres Lot 1'!#REF!</definedName>
    <definedName name="P_1_2.4.7">#REF!</definedName>
    <definedName name="P_1_2.5.1" localSheetId="1">'Bordereau des Prix Cadres Lot 1'!$4784:$4784</definedName>
    <definedName name="P_1_2.5.1">#REF!</definedName>
    <definedName name="P_1_2.5.2" localSheetId="1">'Bordereau des Prix Cadres Lot 1'!$4786:$4786</definedName>
    <definedName name="P_1_2.5.2">#REF!</definedName>
    <definedName name="P_1_2.5.3" localSheetId="1">'Bordereau des Prix Cadres Lot 1'!$4788:$4788</definedName>
    <definedName name="P_1_2.5.3">#REF!</definedName>
    <definedName name="P_1_2.5.4" localSheetId="1">'Bordereau des Prix Cadres Lot 1'!$4790:$4790</definedName>
    <definedName name="P_1_2.5.4">#REF!</definedName>
    <definedName name="P_1_2.5.5" localSheetId="1">'Bordereau des Prix Cadres Lot 1'!$4792:$4792</definedName>
    <definedName name="P_1_2.5.5">#REF!</definedName>
    <definedName name="P_1_2.6.1" localSheetId="1">'Bordereau des Prix Cadres Lot 1'!$4800:$4800</definedName>
    <definedName name="P_1_2.6.1">#REF!</definedName>
    <definedName name="P_1_2.6.2" localSheetId="1">'Bordereau des Prix Cadres Lot 1'!$4802:$4802</definedName>
    <definedName name="P_1_2.6.2">#REF!</definedName>
    <definedName name="P_1_2.6.3" localSheetId="1">'Bordereau des Prix Cadres Lot 1'!$4804:$4804</definedName>
    <definedName name="P_1_2.6.3">#REF!</definedName>
    <definedName name="P_1_2.6.4" localSheetId="1">'Bordereau des Prix Cadres Lot 1'!$4806:$4806</definedName>
    <definedName name="P_1_2.6.4">#REF!</definedName>
    <definedName name="P_1_3.1.1" localSheetId="1">'Bordereau des Prix Cadres Lot 1'!#REF!</definedName>
    <definedName name="P_1_3.1.1">#REF!</definedName>
    <definedName name="P_1_3.1.2" localSheetId="1">'Bordereau des Prix Cadres Lot 1'!#REF!</definedName>
    <definedName name="P_1_3.1.2">#REF!</definedName>
    <definedName name="P_1_3.1.3" localSheetId="1">'Bordereau des Prix Cadres Lot 1'!#REF!</definedName>
    <definedName name="P_1_3.1.3">#REF!</definedName>
    <definedName name="P_1_3.1.5" localSheetId="1">'Bordereau des Prix Cadres Lot 1'!#REF!</definedName>
    <definedName name="P_1_3.1.5">#REF!</definedName>
    <definedName name="P_1_3.1.6" localSheetId="1">'Bordereau des Prix Cadres Lot 1'!#REF!</definedName>
    <definedName name="P_1_3.1.6">#REF!</definedName>
    <definedName name="P_1_3.2.1" localSheetId="1">'Bordereau des Prix Cadres Lot 1'!#REF!</definedName>
    <definedName name="P_1_3.2.1">#REF!</definedName>
    <definedName name="P_1_3.2.2" localSheetId="1">'Bordereau des Prix Cadres Lot 1'!#REF!</definedName>
    <definedName name="P_1_3.2.2">#REF!</definedName>
    <definedName name="P_1_3.2.3" localSheetId="1">'Bordereau des Prix Cadres Lot 1'!#REF!</definedName>
    <definedName name="P_1_3.2.3">#REF!</definedName>
    <definedName name="P_1_3.3.1" localSheetId="1">'Bordereau des Prix Cadres Lot 1'!#REF!</definedName>
    <definedName name="P_1_3.3.1">#REF!</definedName>
    <definedName name="P_1_3.3.2" localSheetId="1">'Bordereau des Prix Cadres Lot 1'!#REF!</definedName>
    <definedName name="P_1_3.3.2">#REF!</definedName>
    <definedName name="P_1_3.3.3" localSheetId="1">'Bordereau des Prix Cadres Lot 1'!#REF!</definedName>
    <definedName name="P_1_3.3.3">#REF!</definedName>
    <definedName name="P_1_3.4" localSheetId="1">'Bordereau des Prix Cadres Lot 1'!#REF!</definedName>
    <definedName name="P_1_3.4">#REF!</definedName>
    <definedName name="P_1_3.4.1" localSheetId="1">'Bordereau des Prix Cadres Lot 1'!#REF!</definedName>
    <definedName name="P_1_3.4.1">#REF!</definedName>
    <definedName name="P_1_3.4.2" localSheetId="1">'Bordereau des Prix Cadres Lot 1'!#REF!</definedName>
    <definedName name="P_1_3.4.2">#REF!</definedName>
    <definedName name="P_1_3.4.3" localSheetId="1">'Bordereau des Prix Cadres Lot 1'!#REF!</definedName>
    <definedName name="P_1_3.4.3">#REF!</definedName>
    <definedName name="P_1_3.5.1" localSheetId="1">'Bordereau des Prix Cadres Lot 1'!#REF!</definedName>
    <definedName name="P_1_3.5.1">#REF!</definedName>
    <definedName name="P_1_3.5.2" localSheetId="1">'Bordereau des Prix Cadres Lot 1'!#REF!</definedName>
    <definedName name="P_1_3.5.2">#REF!</definedName>
    <definedName name="P_1_3.7" localSheetId="1">'Bordereau des Prix Cadres Lot 1'!#REF!</definedName>
    <definedName name="P_1_3.7">#REF!</definedName>
    <definedName name="P_1_3.8" localSheetId="1">'Bordereau des Prix Cadres Lot 1'!#REF!</definedName>
    <definedName name="P_1_3.8">#REF!</definedName>
    <definedName name="P_1_4.1.1" localSheetId="1">'Bordereau des Prix Cadres Lot 1'!#REF!</definedName>
    <definedName name="P_1_4.1.1">#REF!</definedName>
    <definedName name="P_1_4.1.10" localSheetId="1">'Bordereau des Prix Cadres Lot 1'!#REF!</definedName>
    <definedName name="P_1_4.1.10">#REF!</definedName>
    <definedName name="P_1_4.1.11" localSheetId="1">'Bordereau des Prix Cadres Lot 1'!#REF!</definedName>
    <definedName name="P_1_4.1.11">#REF!</definedName>
    <definedName name="P_1_4.1.12" localSheetId="1">'Bordereau des Prix Cadres Lot 1'!#REF!</definedName>
    <definedName name="P_1_4.1.12">#REF!</definedName>
    <definedName name="P_1_4.1.13" localSheetId="1">'Bordereau des Prix Cadres Lot 1'!#REF!</definedName>
    <definedName name="P_1_4.1.13">#REF!</definedName>
    <definedName name="P_1_4.1.14" localSheetId="1">'Bordereau des Prix Cadres Lot 1'!#REF!</definedName>
    <definedName name="P_1_4.1.14">#REF!</definedName>
    <definedName name="P_1_4.1.2" localSheetId="1">'Bordereau des Prix Cadres Lot 1'!#REF!</definedName>
    <definedName name="P_1_4.1.2">#REF!</definedName>
    <definedName name="P_1_4.1.3" localSheetId="1">'Bordereau des Prix Cadres Lot 1'!#REF!</definedName>
    <definedName name="P_1_4.1.3">#REF!</definedName>
    <definedName name="P_1_4.1.4" localSheetId="1">'Bordereau des Prix Cadres Lot 1'!#REF!</definedName>
    <definedName name="P_1_4.1.4">#REF!</definedName>
    <definedName name="P_1_4.1.5" localSheetId="1">'Bordereau des Prix Cadres Lot 1'!#REF!</definedName>
    <definedName name="P_1_4.1.5">#REF!</definedName>
    <definedName name="P_1_4.1.6" localSheetId="1">'Bordereau des Prix Cadres Lot 1'!#REF!</definedName>
    <definedName name="P_1_4.1.6">#REF!</definedName>
    <definedName name="P_1_4.1.7" localSheetId="1">'Bordereau des Prix Cadres Lot 1'!#REF!</definedName>
    <definedName name="P_1_4.1.7">#REF!</definedName>
    <definedName name="P_1_4.1.8" localSheetId="1">'Bordereau des Prix Cadres Lot 1'!#REF!</definedName>
    <definedName name="P_1_4.1.8">#REF!</definedName>
    <definedName name="P_1_4.1.9" localSheetId="1">'Bordereau des Prix Cadres Lot 1'!#REF!</definedName>
    <definedName name="P_1_4.1.9">#REF!</definedName>
    <definedName name="P_1_4.2.1" localSheetId="1">'Bordereau des Prix Cadres Lot 1'!#REF!</definedName>
    <definedName name="P_1_4.2.1">#REF!</definedName>
    <definedName name="P_1_4.2.2" localSheetId="1">'Bordereau des Prix Cadres Lot 1'!#REF!</definedName>
    <definedName name="P_1_4.2.2">#REF!</definedName>
    <definedName name="P_1_4.2.3" localSheetId="1">'Bordereau des Prix Cadres Lot 1'!#REF!</definedName>
    <definedName name="P_1_4.2.3">#REF!</definedName>
    <definedName name="P_1_4.2.4" localSheetId="1">'Bordereau des Prix Cadres Lot 1'!#REF!</definedName>
    <definedName name="P_1_4.2.4">#REF!</definedName>
    <definedName name="P_1_4.2.5" localSheetId="1">'Bordereau des Prix Cadres Lot 1'!#REF!</definedName>
    <definedName name="P_1_4.2.5">#REF!</definedName>
    <definedName name="P_1_4.2.6.1" localSheetId="1">'Bordereau des Prix Cadres Lot 1'!#REF!</definedName>
    <definedName name="P_1_4.2.6.1">#REF!</definedName>
    <definedName name="P_1_4.2.6.2" localSheetId="1">'Bordereau des Prix Cadres Lot 1'!#REF!</definedName>
    <definedName name="P_1_4.2.6.2">#REF!</definedName>
    <definedName name="P_1_4.2.6.3" localSheetId="1">'Bordereau des Prix Cadres Lot 1'!#REF!</definedName>
    <definedName name="P_1_4.2.6.3">#REF!</definedName>
    <definedName name="P_1_4.2.7.1" localSheetId="1">'Bordereau des Prix Cadres Lot 1'!#REF!</definedName>
    <definedName name="P_1_4.2.7.1">#REF!</definedName>
    <definedName name="P_1_4.2.7.2" localSheetId="1">'Bordereau des Prix Cadres Lot 1'!#REF!</definedName>
    <definedName name="P_1_4.2.7.2">#REF!</definedName>
    <definedName name="P_1_4.2.7.3" localSheetId="1">'Bordereau des Prix Cadres Lot 1'!#REF!</definedName>
    <definedName name="P_1_4.2.7.3">#REF!</definedName>
    <definedName name="P_1_5.1.1" localSheetId="1">'Bordereau des Prix Cadres Lot 1'!#REF!</definedName>
    <definedName name="P_1_5.1.1">#REF!</definedName>
    <definedName name="P_1_5.1.10.1" localSheetId="1">'Bordereau des Prix Cadres Lot 1'!$1008:$1008</definedName>
    <definedName name="P_1_5.1.10.1">#REF!</definedName>
    <definedName name="P_1_5.1.10.2" localSheetId="1">'Bordereau des Prix Cadres Lot 1'!#REF!</definedName>
    <definedName name="P_1_5.1.10.2">#REF!</definedName>
    <definedName name="P_1_5.1.10.3" localSheetId="1">'Bordereau des Prix Cadres Lot 1'!#REF!</definedName>
    <definedName name="P_1_5.1.10.3">#REF!</definedName>
    <definedName name="P_1_5.1.11.1" localSheetId="1">'Bordereau des Prix Cadres Lot 1'!#REF!</definedName>
    <definedName name="P_1_5.1.11.1">#REF!</definedName>
    <definedName name="P_1_5.1.11.2" localSheetId="1">'Bordereau des Prix Cadres Lot 1'!#REF!</definedName>
    <definedName name="P_1_5.1.11.2">#REF!</definedName>
    <definedName name="P_1_5.1.11.3" localSheetId="1">'Bordereau des Prix Cadres Lot 1'!#REF!</definedName>
    <definedName name="P_1_5.1.11.3">#REF!</definedName>
    <definedName name="P_1_5.1.12" localSheetId="1">'Bordereau des Prix Cadres Lot 1'!#REF!</definedName>
    <definedName name="P_1_5.1.12">#REF!</definedName>
    <definedName name="P_1_5.1.13.1" localSheetId="1">'Bordereau des Prix Cadres Lot 1'!$1023:$1023</definedName>
    <definedName name="P_1_5.1.13.1">#REF!</definedName>
    <definedName name="P_1_5.1.13.2" localSheetId="1">'Bordereau des Prix Cadres Lot 1'!$1025:$1025</definedName>
    <definedName name="P_1_5.1.13.2">#REF!</definedName>
    <definedName name="P_1_5.1.2" localSheetId="1">'Bordereau des Prix Cadres Lot 1'!#REF!</definedName>
    <definedName name="P_1_5.1.2">#REF!</definedName>
    <definedName name="P_1_5.1.3" localSheetId="1">'Bordereau des Prix Cadres Lot 1'!#REF!</definedName>
    <definedName name="P_1_5.1.3">#REF!</definedName>
    <definedName name="P_1_5.1.4" localSheetId="1">'Bordereau des Prix Cadres Lot 1'!#REF!</definedName>
    <definedName name="P_1_5.1.4">#REF!</definedName>
    <definedName name="P_1_5.1.5" localSheetId="1">'Bordereau des Prix Cadres Lot 1'!#REF!</definedName>
    <definedName name="P_1_5.1.5">#REF!</definedName>
    <definedName name="P_1_5.1.6" localSheetId="1">'Bordereau des Prix Cadres Lot 1'!#REF!</definedName>
    <definedName name="P_1_5.1.6">#REF!</definedName>
    <definedName name="P_1_5.1.7" localSheetId="1">'Bordereau des Prix Cadres Lot 1'!#REF!</definedName>
    <definedName name="P_1_5.1.7">#REF!</definedName>
    <definedName name="P_1_5.1.8" localSheetId="1">'Bordereau des Prix Cadres Lot 1'!#REF!</definedName>
    <definedName name="P_1_5.1.8">#REF!</definedName>
    <definedName name="P_1_5.1.9.1" localSheetId="1">'Bordereau des Prix Cadres Lot 1'!#REF!</definedName>
    <definedName name="P_1_5.1.9.1">#REF!</definedName>
    <definedName name="P_1_5.1.9.10" localSheetId="1">'Bordereau des Prix Cadres Lot 1'!#REF!</definedName>
    <definedName name="P_1_5.1.9.10">#REF!</definedName>
    <definedName name="P_1_5.1.9.2" localSheetId="1">'Bordereau des Prix Cadres Lot 1'!#REF!</definedName>
    <definedName name="P_1_5.1.9.2">#REF!</definedName>
    <definedName name="P_1_5.1.9.3" localSheetId="1">'Bordereau des Prix Cadres Lot 1'!#REF!</definedName>
    <definedName name="P_1_5.1.9.3">#REF!</definedName>
    <definedName name="P_1_5.1.9.4" localSheetId="1">'Bordereau des Prix Cadres Lot 1'!#REF!</definedName>
    <definedName name="P_1_5.1.9.4">#REF!</definedName>
    <definedName name="P_1_5.1.9.5" localSheetId="1">'Bordereau des Prix Cadres Lot 1'!#REF!</definedName>
    <definedName name="P_1_5.1.9.5">#REF!</definedName>
    <definedName name="P_1_5.1.9.6" localSheetId="1">'Bordereau des Prix Cadres Lot 1'!#REF!</definedName>
    <definedName name="P_1_5.1.9.6">#REF!</definedName>
    <definedName name="P_1_5.1.9.7" localSheetId="1">'Bordereau des Prix Cadres Lot 1'!#REF!</definedName>
    <definedName name="P_1_5.1.9.7">#REF!</definedName>
    <definedName name="P_1_5.1.9.8" localSheetId="1">'Bordereau des Prix Cadres Lot 1'!#REF!</definedName>
    <definedName name="P_1_5.1.9.8">#REF!</definedName>
    <definedName name="P_1_5.1.9.9" localSheetId="1">'Bordereau des Prix Cadres Lot 1'!#REF!</definedName>
    <definedName name="P_1_5.1.9.9">#REF!</definedName>
    <definedName name="P_1_5.2.1.1" localSheetId="1">'Bordereau des Prix Cadres Lot 1'!$1048:$1048</definedName>
    <definedName name="P_1_5.2.1.1">#REF!</definedName>
    <definedName name="P_1_5.2.1.10" localSheetId="1">'Bordereau des Prix Cadres Lot 1'!#REF!</definedName>
    <definedName name="P_1_5.2.1.10">#REF!</definedName>
    <definedName name="P_1_5.2.1.11" localSheetId="1">'Bordereau des Prix Cadres Lot 1'!#REF!</definedName>
    <definedName name="P_1_5.2.1.11">#REF!</definedName>
    <definedName name="P_1_5.2.1.12" localSheetId="1">'Bordereau des Prix Cadres Lot 1'!#REF!</definedName>
    <definedName name="P_1_5.2.1.12">#REF!</definedName>
    <definedName name="P_1_5.2.1.13" localSheetId="1">'Bordereau des Prix Cadres Lot 1'!#REF!</definedName>
    <definedName name="P_1_5.2.1.13">#REF!</definedName>
    <definedName name="P_1_5.2.1.2" localSheetId="1">'Bordereau des Prix Cadres Lot 1'!$1054:$1054</definedName>
    <definedName name="P_1_5.2.1.2">#REF!</definedName>
    <definedName name="P_1_5.2.1.3" localSheetId="1">'Bordereau des Prix Cadres Lot 1'!#REF!</definedName>
    <definedName name="P_1_5.2.1.3">#REF!</definedName>
    <definedName name="P_1_5.2.1.4" localSheetId="1">'Bordereau des Prix Cadres Lot 1'!#REF!</definedName>
    <definedName name="P_1_5.2.1.4">#REF!</definedName>
    <definedName name="P_1_5.2.1.5" localSheetId="1">'Bordereau des Prix Cadres Lot 1'!#REF!</definedName>
    <definedName name="P_1_5.2.1.5">#REF!</definedName>
    <definedName name="P_1_5.2.1.6" localSheetId="1">'Bordereau des Prix Cadres Lot 1'!#REF!</definedName>
    <definedName name="P_1_5.2.1.6">#REF!</definedName>
    <definedName name="P_1_5.2.1.7" localSheetId="1">'Bordereau des Prix Cadres Lot 1'!#REF!</definedName>
    <definedName name="P_1_5.2.1.7">#REF!</definedName>
    <definedName name="P_1_5.2.1.8" localSheetId="1">'Bordereau des Prix Cadres Lot 1'!#REF!</definedName>
    <definedName name="P_1_5.2.1.8">#REF!</definedName>
    <definedName name="P_1_5.2.1.9" localSheetId="1">'Bordereau des Prix Cadres Lot 1'!#REF!</definedName>
    <definedName name="P_1_5.2.1.9">#REF!</definedName>
    <definedName name="P_1_5.2.2.1" localSheetId="1">'Bordereau des Prix Cadres Lot 1'!#REF!</definedName>
    <definedName name="P_1_5.2.2.1">#REF!</definedName>
    <definedName name="P_1_5.2.2.10" localSheetId="1">'Bordereau des Prix Cadres Lot 1'!$1221:$1221</definedName>
    <definedName name="P_1_5.2.2.10">#REF!</definedName>
    <definedName name="P_1_5.2.2.2" localSheetId="1">'Bordereau des Prix Cadres Lot 1'!#REF!</definedName>
    <definedName name="P_1_5.2.2.2">#REF!</definedName>
    <definedName name="P_1_5.2.2.3" localSheetId="1">'Bordereau des Prix Cadres Lot 1'!#REF!</definedName>
    <definedName name="P_1_5.2.2.3">#REF!</definedName>
    <definedName name="P_1_5.2.2.4" localSheetId="1">'Bordereau des Prix Cadres Lot 1'!#REF!</definedName>
    <definedName name="P_1_5.2.2.4">#REF!</definedName>
    <definedName name="P_1_5.2.2.5" localSheetId="1">'Bordereau des Prix Cadres Lot 1'!#REF!</definedName>
    <definedName name="P_1_5.2.2.5">#REF!</definedName>
    <definedName name="P_1_5.2.2.6" localSheetId="1">'Bordereau des Prix Cadres Lot 1'!#REF!</definedName>
    <definedName name="P_1_5.2.2.6">#REF!</definedName>
    <definedName name="P_1_5.2.2.7" localSheetId="1">'Bordereau des Prix Cadres Lot 1'!#REF!</definedName>
    <definedName name="P_1_5.2.2.7">#REF!</definedName>
    <definedName name="P_1_5.2.2.8" localSheetId="1">'Bordereau des Prix Cadres Lot 1'!$1196:$1196</definedName>
    <definedName name="P_1_5.2.2.8">#REF!</definedName>
    <definedName name="P_1_5.2.2.9" localSheetId="1">'Bordereau des Prix Cadres Lot 1'!$1207:$1207</definedName>
    <definedName name="P_1_5.2.2.9">#REF!</definedName>
    <definedName name="P_1_5.2.3.1" localSheetId="1">'Bordereau des Prix Cadres Lot 1'!$1232:$1232</definedName>
    <definedName name="P_1_5.2.3.1">#REF!</definedName>
    <definedName name="P_1_5.2.3.2" localSheetId="1">'Bordereau des Prix Cadres Lot 1'!$1234:$1234</definedName>
    <definedName name="P_1_5.2.3.2">#REF!</definedName>
    <definedName name="P_1_5.2.4.1" localSheetId="1">'Bordereau des Prix Cadres Lot 1'!$1244:$1244</definedName>
    <definedName name="P_1_5.2.4.1">#REF!</definedName>
    <definedName name="P_1_5.2.4.10" localSheetId="1">'Bordereau des Prix Cadres Lot 1'!$1262:$1262</definedName>
    <definedName name="P_1_5.2.4.10">#REF!</definedName>
    <definedName name="P_1_5.2.4.11" localSheetId="1">'Bordereau des Prix Cadres Lot 1'!$1264:$1264</definedName>
    <definedName name="P_1_5.2.4.11">#REF!</definedName>
    <definedName name="P_1_5.2.4.12" localSheetId="1">'Bordereau des Prix Cadres Lot 1'!$1266:$1266</definedName>
    <definedName name="P_1_5.2.4.12">#REF!</definedName>
    <definedName name="P_1_5.2.4.13" localSheetId="1">'Bordereau des Prix Cadres Lot 1'!$1268:$1268</definedName>
    <definedName name="P_1_5.2.4.13">#REF!</definedName>
    <definedName name="P_1_5.2.4.14" localSheetId="1">'Bordereau des Prix Cadres Lot 1'!$1288:$1288</definedName>
    <definedName name="P_1_5.2.4.14">#REF!</definedName>
    <definedName name="P_1_5.2.4.15" localSheetId="1">'Bordereau des Prix Cadres Lot 1'!$1290:$1290</definedName>
    <definedName name="P_1_5.2.4.15">#REF!</definedName>
    <definedName name="P_1_5.2.4.16" localSheetId="1">'Bordereau des Prix Cadres Lot 1'!$1292:$1292</definedName>
    <definedName name="P_1_5.2.4.16">#REF!</definedName>
    <definedName name="P_1_5.2.4.17" localSheetId="1">'Bordereau des Prix Cadres Lot 1'!$1294:$1294</definedName>
    <definedName name="P_1_5.2.4.17">#REF!</definedName>
    <definedName name="P_1_5.2.4.2" localSheetId="1">'Bordereau des Prix Cadres Lot 1'!$1246:$1246</definedName>
    <definedName name="P_1_5.2.4.2">#REF!</definedName>
    <definedName name="P_1_5.2.4.3" localSheetId="1">'Bordereau des Prix Cadres Lot 1'!$1248:$1248</definedName>
    <definedName name="P_1_5.2.4.3">#REF!</definedName>
    <definedName name="P_1_5.2.4.4" localSheetId="1">'Bordereau des Prix Cadres Lot 1'!$1250:$1250</definedName>
    <definedName name="P_1_5.2.4.4">#REF!</definedName>
    <definedName name="P_1_5.2.4.5" localSheetId="1">'Bordereau des Prix Cadres Lot 1'!$1252:$1252</definedName>
    <definedName name="P_1_5.2.4.5">#REF!</definedName>
    <definedName name="P_1_5.2.4.6" localSheetId="1">'Bordereau des Prix Cadres Lot 1'!$1254:$1254</definedName>
    <definedName name="P_1_5.2.4.6">#REF!</definedName>
    <definedName name="P_1_5.2.4.7" localSheetId="1">'Bordereau des Prix Cadres Lot 1'!$1256:$1256</definedName>
    <definedName name="P_1_5.2.4.7">#REF!</definedName>
    <definedName name="P_1_5.2.4.8" localSheetId="1">'Bordereau des Prix Cadres Lot 1'!$1258:$1258</definedName>
    <definedName name="P_1_5.2.4.8">#REF!</definedName>
    <definedName name="P_1_5.2.4.9" localSheetId="1">'Bordereau des Prix Cadres Lot 1'!$1260:$1260</definedName>
    <definedName name="P_1_5.2.4.9">#REF!</definedName>
    <definedName name="P_1_5.3.1" localSheetId="1">'Bordereau des Prix Cadres Lot 1'!$625:$625</definedName>
    <definedName name="P_1_5.3.1">#REF!</definedName>
    <definedName name="P_1_5.3.10" localSheetId="1">'Bordereau des Prix Cadres Lot 1'!$670:$670</definedName>
    <definedName name="P_1_5.3.10">#REF!</definedName>
    <definedName name="P_1_5.3.11" localSheetId="1">'Bordereau des Prix Cadres Lot 1'!$672:$672</definedName>
    <definedName name="P_1_5.3.11">#REF!</definedName>
    <definedName name="P_1_5.3.12" localSheetId="1">'Bordereau des Prix Cadres Lot 1'!$674:$674</definedName>
    <definedName name="P_1_5.3.12">#REF!</definedName>
    <definedName name="P_1_5.3.13" localSheetId="1">'Bordereau des Prix Cadres Lot 1'!$676:$676</definedName>
    <definedName name="P_1_5.3.13">#REF!</definedName>
    <definedName name="P_1_5.3.14" localSheetId="1">'Bordereau des Prix Cadres Lot 1'!$678:$678</definedName>
    <definedName name="P_1_5.3.14">#REF!</definedName>
    <definedName name="P_1_5.3.15" localSheetId="1">'Bordereau des Prix Cadres Lot 1'!$680:$680</definedName>
    <definedName name="P_1_5.3.15">#REF!</definedName>
    <definedName name="P_1_5.3.16" localSheetId="1">'Bordereau des Prix Cadres Lot 1'!$682:$682</definedName>
    <definedName name="P_1_5.3.16">#REF!</definedName>
    <definedName name="P_1_5.3.17" localSheetId="1">'Bordereau des Prix Cadres Lot 1'!$684:$684</definedName>
    <definedName name="P_1_5.3.17">#REF!</definedName>
    <definedName name="P_1_5.3.2" localSheetId="1">'Bordereau des Prix Cadres Lot 1'!$628:$628</definedName>
    <definedName name="P_1_5.3.2">#REF!</definedName>
    <definedName name="P_1_5.3.3" localSheetId="1">'Bordereau des Prix Cadres Lot 1'!$641:$641</definedName>
    <definedName name="P_1_5.3.3">#REF!</definedName>
    <definedName name="P_1_5.3.4" localSheetId="1">'Bordereau des Prix Cadres Lot 1'!$643:$643</definedName>
    <definedName name="P_1_5.3.4">#REF!</definedName>
    <definedName name="P_1_5.3.5" localSheetId="1">'Bordereau des Prix Cadres Lot 1'!$645:$645</definedName>
    <definedName name="P_1_5.3.5">#REF!</definedName>
    <definedName name="P_1_5.3.6" localSheetId="1">'Bordereau des Prix Cadres Lot 1'!$655:$655</definedName>
    <definedName name="P_1_5.3.6">#REF!</definedName>
    <definedName name="P_1_5.3.7" localSheetId="1">'Bordereau des Prix Cadres Lot 1'!$659:$659</definedName>
    <definedName name="P_1_5.3.7">#REF!</definedName>
    <definedName name="P_1_5.3.8" localSheetId="1">'Bordereau des Prix Cadres Lot 1'!#REF!</definedName>
    <definedName name="P_1_5.3.8">#REF!</definedName>
    <definedName name="P_1_5.3.9" localSheetId="1">'Bordereau des Prix Cadres Lot 1'!$668:$668</definedName>
    <definedName name="P_1_5.3.9">#REF!</definedName>
    <definedName name="P_1_6.1" localSheetId="1">'Bordereau des Prix Cadres Lot 1'!$1407:$1407</definedName>
    <definedName name="P_1_6.1">#REF!</definedName>
    <definedName name="P_1_6.10.1" localSheetId="1">'Bordereau des Prix Cadres Lot 1'!#REF!</definedName>
    <definedName name="P_1_6.10.1">#REF!</definedName>
    <definedName name="P_1_6.10.2" localSheetId="1">'Bordereau des Prix Cadres Lot 1'!#REF!</definedName>
    <definedName name="P_1_6.10.2">#REF!</definedName>
    <definedName name="P_1_6.10.3" localSheetId="1">'Bordereau des Prix Cadres Lot 1'!#REF!</definedName>
    <definedName name="P_1_6.10.3">#REF!</definedName>
    <definedName name="P_1_6.11" localSheetId="1">'Bordereau des Prix Cadres Lot 1'!#REF!</definedName>
    <definedName name="P_1_6.11">#REF!</definedName>
    <definedName name="P_1_6.12.1" localSheetId="1">'Bordereau des Prix Cadres Lot 1'!#REF!</definedName>
    <definedName name="P_1_6.12.1">#REF!</definedName>
    <definedName name="P_1_6.12.2" localSheetId="1">'Bordereau des Prix Cadres Lot 1'!#REF!</definedName>
    <definedName name="P_1_6.12.2">#REF!</definedName>
    <definedName name="P_1_6.13" localSheetId="1">'Bordereau des Prix Cadres Lot 1'!#REF!</definedName>
    <definedName name="P_1_6.13">#REF!</definedName>
    <definedName name="P_1_6.14" localSheetId="1">'Bordereau des Prix Cadres Lot 1'!#REF!</definedName>
    <definedName name="P_1_6.14">#REF!</definedName>
    <definedName name="P_1_6.15" localSheetId="1">'Bordereau des Prix Cadres Lot 1'!#REF!</definedName>
    <definedName name="P_1_6.15">#REF!</definedName>
    <definedName name="P_1_6.16" localSheetId="1">'Bordereau des Prix Cadres Lot 1'!#REF!</definedName>
    <definedName name="P_1_6.16">#REF!</definedName>
    <definedName name="P_1_6.17.1" localSheetId="1">'Bordereau des Prix Cadres Lot 1'!$1585:$1585</definedName>
    <definedName name="P_1_6.17.1">#REF!</definedName>
    <definedName name="P_1_6.17.2" localSheetId="1">'Bordereau des Prix Cadres Lot 1'!$1587:$1587</definedName>
    <definedName name="P_1_6.17.2">#REF!</definedName>
    <definedName name="P_1_6.17.3" localSheetId="1">'Bordereau des Prix Cadres Lot 1'!$1589:$1589</definedName>
    <definedName name="P_1_6.17.3">#REF!</definedName>
    <definedName name="P_1_6.17.4" localSheetId="1">'Bordereau des Prix Cadres Lot 1'!$1647:$1647</definedName>
    <definedName name="P_1_6.17.4">#REF!</definedName>
    <definedName name="P_1_6.17.5" localSheetId="1">'Bordereau des Prix Cadres Lot 1'!$1652:$1652</definedName>
    <definedName name="P_1_6.17.5">#REF!</definedName>
    <definedName name="P_1_6.2" localSheetId="1">'Bordereau des Prix Cadres Lot 1'!#REF!</definedName>
    <definedName name="P_1_6.2">#REF!</definedName>
    <definedName name="P_1_6.3" localSheetId="1">'Bordereau des Prix Cadres Lot 1'!#REF!</definedName>
    <definedName name="P_1_6.3">#REF!</definedName>
    <definedName name="P_1_6.4" localSheetId="1">'Bordereau des Prix Cadres Lot 1'!#REF!</definedName>
    <definedName name="P_1_6.4">#REF!</definedName>
    <definedName name="P_1_6.5.1" localSheetId="1">'Bordereau des Prix Cadres Lot 1'!#REF!</definedName>
    <definedName name="P_1_6.5.1">#REF!</definedName>
    <definedName name="P_1_6.5.2" localSheetId="1">'Bordereau des Prix Cadres Lot 1'!#REF!</definedName>
    <definedName name="P_1_6.5.2">#REF!</definedName>
    <definedName name="P_1_6.5.3" localSheetId="1">'Bordereau des Prix Cadres Lot 1'!#REF!</definedName>
    <definedName name="P_1_6.5.3">#REF!</definedName>
    <definedName name="P_1_6.6.1" localSheetId="1">'Bordereau des Prix Cadres Lot 1'!#REF!</definedName>
    <definedName name="P_1_6.6.1">#REF!</definedName>
    <definedName name="P_1_6.6.2" localSheetId="1">'Bordereau des Prix Cadres Lot 1'!#REF!</definedName>
    <definedName name="P_1_6.6.2">#REF!</definedName>
    <definedName name="P_1_6.6.3" localSheetId="1">'Bordereau des Prix Cadres Lot 1'!#REF!</definedName>
    <definedName name="P_1_6.6.3">#REF!</definedName>
    <definedName name="P_1_6.7.1" localSheetId="1">'Bordereau des Prix Cadres Lot 1'!#REF!</definedName>
    <definedName name="P_1_6.7.1">#REF!</definedName>
    <definedName name="P_1_6.7.2" localSheetId="1">'Bordereau des Prix Cadres Lot 1'!#REF!</definedName>
    <definedName name="P_1_6.7.2">#REF!</definedName>
    <definedName name="P_1_6.7.3" localSheetId="1">'Bordereau des Prix Cadres Lot 1'!#REF!</definedName>
    <definedName name="P_1_6.7.3">#REF!</definedName>
    <definedName name="P_1_6.8.1" localSheetId="1">'Bordereau des Prix Cadres Lot 1'!#REF!</definedName>
    <definedName name="P_1_6.8.1">#REF!</definedName>
    <definedName name="P_1_6.8.2" localSheetId="1">'Bordereau des Prix Cadres Lot 1'!#REF!</definedName>
    <definedName name="P_1_6.8.2">#REF!</definedName>
    <definedName name="P_1_6.8.3" localSheetId="1">'Bordereau des Prix Cadres Lot 1'!#REF!</definedName>
    <definedName name="P_1_6.8.3">#REF!</definedName>
    <definedName name="P_1_6.9.1" localSheetId="1">'Bordereau des Prix Cadres Lot 1'!#REF!</definedName>
    <definedName name="P_1_6.9.1">#REF!</definedName>
    <definedName name="P_1_6.9.2" localSheetId="1">'Bordereau des Prix Cadres Lot 1'!#REF!</definedName>
    <definedName name="P_1_6.9.2">#REF!</definedName>
    <definedName name="P_1_6.9.3" localSheetId="1">'Bordereau des Prix Cadres Lot 1'!#REF!</definedName>
    <definedName name="P_1_6.9.3">#REF!</definedName>
    <definedName name="P_1_7.1.1" localSheetId="1">'Bordereau des Prix Cadres Lot 1'!$4470:$4470</definedName>
    <definedName name="P_1_7.1.1">#REF!</definedName>
    <definedName name="P_1_7.1.2" localSheetId="1">'Bordereau des Prix Cadres Lot 1'!$4472:$4472</definedName>
    <definedName name="P_1_7.1.2">#REF!</definedName>
    <definedName name="P_1_7.1.3" localSheetId="1">'Bordereau des Prix Cadres Lot 1'!$4474:$4474</definedName>
    <definedName name="P_1_7.1.3">#REF!</definedName>
    <definedName name="P_1_7.1.4" localSheetId="1">'Bordereau des Prix Cadres Lot 1'!$4482:$4482</definedName>
    <definedName name="P_1_7.1.4">#REF!</definedName>
    <definedName name="P_1_7.1.5" localSheetId="1">'Bordereau des Prix Cadres Lot 1'!$4484:$4484</definedName>
    <definedName name="P_1_7.1.5">#REF!</definedName>
    <definedName name="P_1_7.1.6" localSheetId="1">'Bordereau des Prix Cadres Lot 1'!$4486:$4486</definedName>
    <definedName name="P_1_7.1.6">#REF!</definedName>
    <definedName name="P_1_7.1.7" localSheetId="1">'Bordereau des Prix Cadres Lot 1'!#REF!</definedName>
    <definedName name="P_1_7.1.7">#REF!</definedName>
    <definedName name="P_1_7.2.1" localSheetId="1">'Bordereau des Prix Cadres Lot 1'!$4592:$4592</definedName>
    <definedName name="P_1_7.2.1">#REF!</definedName>
    <definedName name="P_1_7.2.2" localSheetId="1">'Bordereau des Prix Cadres Lot 1'!$4594:$4594</definedName>
    <definedName name="P_1_7.2.2">#REF!</definedName>
    <definedName name="P_1_7.2.3" localSheetId="1">'Bordereau des Prix Cadres Lot 1'!$4596:$4596</definedName>
    <definedName name="P_1_7.2.3">#REF!</definedName>
    <definedName name="P_1_8.1" localSheetId="1">'Bordereau des Prix Cadres Lot 1'!#REF!</definedName>
    <definedName name="P_1_8.1">#REF!</definedName>
    <definedName name="P_1_8.10.1" localSheetId="1">'Bordereau des Prix Cadres Lot 1'!#REF!</definedName>
    <definedName name="P_1_8.10.1">#REF!</definedName>
    <definedName name="P_1_8.10.10" localSheetId="1">'Bordereau des Prix Cadres Lot 1'!#REF!</definedName>
    <definedName name="P_1_8.10.10">#REF!</definedName>
    <definedName name="P_1_8.10.11" localSheetId="1">'Bordereau des Prix Cadres Lot 1'!#REF!</definedName>
    <definedName name="P_1_8.10.11">#REF!</definedName>
    <definedName name="P_1_8.10.12" localSheetId="1">'Bordereau des Prix Cadres Lot 1'!#REF!</definedName>
    <definedName name="P_1_8.10.12">#REF!</definedName>
    <definedName name="P_1_8.10.2" localSheetId="1">'Bordereau des Prix Cadres Lot 1'!#REF!</definedName>
    <definedName name="P_1_8.10.2">#REF!</definedName>
    <definedName name="P_1_8.10.3" localSheetId="1">'Bordereau des Prix Cadres Lot 1'!#REF!</definedName>
    <definedName name="P_1_8.10.3">#REF!</definedName>
    <definedName name="P_1_8.10.4" localSheetId="1">'Bordereau des Prix Cadres Lot 1'!#REF!</definedName>
    <definedName name="P_1_8.10.4">#REF!</definedName>
    <definedName name="P_1_8.10.5" localSheetId="1">'Bordereau des Prix Cadres Lot 1'!#REF!</definedName>
    <definedName name="P_1_8.10.5">#REF!</definedName>
    <definedName name="P_1_8.10.6" localSheetId="1">'Bordereau des Prix Cadres Lot 1'!#REF!</definedName>
    <definedName name="P_1_8.10.6">#REF!</definedName>
    <definedName name="P_1_8.10.7" localSheetId="1">'Bordereau des Prix Cadres Lot 1'!#REF!</definedName>
    <definedName name="P_1_8.10.7">#REF!</definedName>
    <definedName name="P_1_8.10.8" localSheetId="1">'Bordereau des Prix Cadres Lot 1'!#REF!</definedName>
    <definedName name="P_1_8.10.8">#REF!</definedName>
    <definedName name="P_1_8.10.9" localSheetId="1">'Bordereau des Prix Cadres Lot 1'!#REF!</definedName>
    <definedName name="P_1_8.10.9">#REF!</definedName>
    <definedName name="P_1_8.11.1" localSheetId="1">'Bordereau des Prix Cadres Lot 1'!#REF!</definedName>
    <definedName name="P_1_8.11.1">#REF!</definedName>
    <definedName name="P_1_8.11.10" localSheetId="1">'Bordereau des Prix Cadres Lot 1'!#REF!</definedName>
    <definedName name="P_1_8.11.10">#REF!</definedName>
    <definedName name="P_1_8.11.11" localSheetId="1">'Bordereau des Prix Cadres Lot 1'!#REF!</definedName>
    <definedName name="P_1_8.11.11">#REF!</definedName>
    <definedName name="P_1_8.11.12" localSheetId="1">'Bordereau des Prix Cadres Lot 1'!#REF!</definedName>
    <definedName name="P_1_8.11.12">#REF!</definedName>
    <definedName name="P_1_8.11.2" localSheetId="1">'Bordereau des Prix Cadres Lot 1'!#REF!</definedName>
    <definedName name="P_1_8.11.2">#REF!</definedName>
    <definedName name="P_1_8.11.3" localSheetId="1">'Bordereau des Prix Cadres Lot 1'!#REF!</definedName>
    <definedName name="P_1_8.11.3">#REF!</definedName>
    <definedName name="P_1_8.11.4" localSheetId="1">'Bordereau des Prix Cadres Lot 1'!#REF!</definedName>
    <definedName name="P_1_8.11.4">#REF!</definedName>
    <definedName name="P_1_8.11.5" localSheetId="1">'Bordereau des Prix Cadres Lot 1'!#REF!</definedName>
    <definedName name="P_1_8.11.5">#REF!</definedName>
    <definedName name="P_1_8.11.6" localSheetId="1">'Bordereau des Prix Cadres Lot 1'!#REF!</definedName>
    <definedName name="P_1_8.11.6">#REF!</definedName>
    <definedName name="P_1_8.11.7" localSheetId="1">'Bordereau des Prix Cadres Lot 1'!#REF!</definedName>
    <definedName name="P_1_8.11.7">#REF!</definedName>
    <definedName name="P_1_8.11.8" localSheetId="1">'Bordereau des Prix Cadres Lot 1'!#REF!</definedName>
    <definedName name="P_1_8.11.8">#REF!</definedName>
    <definedName name="P_1_8.11.9" localSheetId="1">'Bordereau des Prix Cadres Lot 1'!#REF!</definedName>
    <definedName name="P_1_8.11.9">#REF!</definedName>
    <definedName name="P_1_8.12.1" localSheetId="1">'Bordereau des Prix Cadres Lot 1'!$2023:$2023</definedName>
    <definedName name="P_1_8.12.1">#REF!</definedName>
    <definedName name="P_1_8.12.2" localSheetId="1">'Bordereau des Prix Cadres Lot 1'!$2025:$2025</definedName>
    <definedName name="P_1_8.12.2">#REF!</definedName>
    <definedName name="P_1_8.12.3" localSheetId="1">'Bordereau des Prix Cadres Lot 1'!$2027:$2027</definedName>
    <definedName name="P_1_8.12.3">#REF!</definedName>
    <definedName name="P_1_8.12.4" localSheetId="1">'Bordereau des Prix Cadres Lot 1'!$2029:$2029</definedName>
    <definedName name="P_1_8.12.4">#REF!</definedName>
    <definedName name="P_1_8.13.1" localSheetId="1">'Bordereau des Prix Cadres Lot 1'!#REF!</definedName>
    <definedName name="P_1_8.13.1">#REF!</definedName>
    <definedName name="P_1_8.13.2" localSheetId="1">'Bordereau des Prix Cadres Lot 1'!#REF!</definedName>
    <definedName name="P_1_8.13.2">#REF!</definedName>
    <definedName name="P_1_8.13.3" localSheetId="1">'Bordereau des Prix Cadres Lot 1'!#REF!</definedName>
    <definedName name="P_1_8.13.3">#REF!</definedName>
    <definedName name="P_1_8.13.4" localSheetId="1">'Bordereau des Prix Cadres Lot 1'!#REF!</definedName>
    <definedName name="P_1_8.13.4">#REF!</definedName>
    <definedName name="P_1_8.14.1" localSheetId="1">'Bordereau des Prix Cadres Lot 1'!#REF!</definedName>
    <definedName name="P_1_8.14.1">#REF!</definedName>
    <definedName name="P_1_8.14.2" localSheetId="1">'Bordereau des Prix Cadres Lot 1'!#REF!</definedName>
    <definedName name="P_1_8.14.2">#REF!</definedName>
    <definedName name="P_1_8.14.3" localSheetId="1">'Bordereau des Prix Cadres Lot 1'!#REF!</definedName>
    <definedName name="P_1_8.14.3">#REF!</definedName>
    <definedName name="P_1_8.14.4" localSheetId="1">'Bordereau des Prix Cadres Lot 1'!#REF!</definedName>
    <definedName name="P_1_8.14.4">#REF!</definedName>
    <definedName name="P_1_8.15.1" localSheetId="1">'Bordereau des Prix Cadres Lot 1'!#REF!</definedName>
    <definedName name="P_1_8.15.1">#REF!</definedName>
    <definedName name="P_1_8.15.2" localSheetId="1">'Bordereau des Prix Cadres Lot 1'!#REF!</definedName>
    <definedName name="P_1_8.15.2">#REF!</definedName>
    <definedName name="P_1_8.15.3" localSheetId="1">'Bordereau des Prix Cadres Lot 1'!#REF!</definedName>
    <definedName name="P_1_8.15.3">#REF!</definedName>
    <definedName name="P_1_8.15.4" localSheetId="1">'Bordereau des Prix Cadres Lot 1'!#REF!</definedName>
    <definedName name="P_1_8.15.4">#REF!</definedName>
    <definedName name="P_1_8.15.5" localSheetId="1">'Bordereau des Prix Cadres Lot 1'!#REF!</definedName>
    <definedName name="P_1_8.15.5">#REF!</definedName>
    <definedName name="P_1_8.15.6" localSheetId="1">'Bordereau des Prix Cadres Lot 1'!#REF!</definedName>
    <definedName name="P_1_8.15.6">#REF!</definedName>
    <definedName name="P_1_8.15.7" localSheetId="1">'Bordereau des Prix Cadres Lot 1'!#REF!</definedName>
    <definedName name="P_1_8.15.7">#REF!</definedName>
    <definedName name="P_1_8.16.1" localSheetId="1">'Bordereau des Prix Cadres Lot 1'!#REF!</definedName>
    <definedName name="P_1_8.16.1">#REF!</definedName>
    <definedName name="P_1_8.16.2" localSheetId="1">'Bordereau des Prix Cadres Lot 1'!#REF!</definedName>
    <definedName name="P_1_8.16.2">#REF!</definedName>
    <definedName name="P_1_8.16.3" localSheetId="1">'Bordereau des Prix Cadres Lot 1'!#REF!</definedName>
    <definedName name="P_1_8.16.3">#REF!</definedName>
    <definedName name="P_1_8.16.4" localSheetId="1">'Bordereau des Prix Cadres Lot 1'!#REF!</definedName>
    <definedName name="P_1_8.16.4">#REF!</definedName>
    <definedName name="P_1_8.17.1" localSheetId="1">'Bordereau des Prix Cadres Lot 1'!$2040:$2040</definedName>
    <definedName name="P_1_8.17.1">#REF!</definedName>
    <definedName name="P_1_8.17.10" localSheetId="1">'Bordereau des Prix Cadres Lot 1'!$2058:$2058</definedName>
    <definedName name="P_1_8.17.10">#REF!</definedName>
    <definedName name="P_1_8.17.2" localSheetId="1">'Bordereau des Prix Cadres Lot 1'!$2042:$2042</definedName>
    <definedName name="P_1_8.17.2">#REF!</definedName>
    <definedName name="P_1_8.17.3" localSheetId="1">'Bordereau des Prix Cadres Lot 1'!$2044:$2044</definedName>
    <definedName name="P_1_8.17.3">#REF!</definedName>
    <definedName name="P_1_8.17.4" localSheetId="1">'Bordereau des Prix Cadres Lot 1'!$2046:$2046</definedName>
    <definedName name="P_1_8.17.4">#REF!</definedName>
    <definedName name="P_1_8.17.5" localSheetId="1">'Bordereau des Prix Cadres Lot 1'!$2048:$2048</definedName>
    <definedName name="P_1_8.17.5">#REF!</definedName>
    <definedName name="P_1_8.17.6" localSheetId="1">'Bordereau des Prix Cadres Lot 1'!$2050:$2050</definedName>
    <definedName name="P_1_8.17.6">#REF!</definedName>
    <definedName name="P_1_8.17.7" localSheetId="1">'Bordereau des Prix Cadres Lot 1'!$2052:$2052</definedName>
    <definedName name="P_1_8.17.7">#REF!</definedName>
    <definedName name="P_1_8.17.8" localSheetId="1">'Bordereau des Prix Cadres Lot 1'!$2054:$2054</definedName>
    <definedName name="P_1_8.17.8">#REF!</definedName>
    <definedName name="P_1_8.17.9" localSheetId="1">'Bordereau des Prix Cadres Lot 1'!$2056:$2056</definedName>
    <definedName name="P_1_8.17.9">#REF!</definedName>
    <definedName name="P_1_8.18.1" localSheetId="1">'Bordereau des Prix Cadres Lot 1'!$2106:$2106</definedName>
    <definedName name="P_1_8.18.1">#REF!</definedName>
    <definedName name="P_1_8.18.10" localSheetId="1">'Bordereau des Prix Cadres Lot 1'!$2124:$2124</definedName>
    <definedName name="P_1_8.18.10">#REF!</definedName>
    <definedName name="P_1_8.18.2" localSheetId="1">'Bordereau des Prix Cadres Lot 1'!$2108:$2108</definedName>
    <definedName name="P_1_8.18.2">#REF!</definedName>
    <definedName name="P_1_8.18.3" localSheetId="1">'Bordereau des Prix Cadres Lot 1'!$2110:$2110</definedName>
    <definedName name="P_1_8.18.3">#REF!</definedName>
    <definedName name="P_1_8.18.4" localSheetId="1">'Bordereau des Prix Cadres Lot 1'!$2112:$2112</definedName>
    <definedName name="P_1_8.18.4">#REF!</definedName>
    <definedName name="P_1_8.18.5" localSheetId="1">'Bordereau des Prix Cadres Lot 1'!$2114:$2114</definedName>
    <definedName name="P_1_8.18.5">#REF!</definedName>
    <definedName name="P_1_8.18.6" localSheetId="1">'Bordereau des Prix Cadres Lot 1'!$2116:$2116</definedName>
    <definedName name="P_1_8.18.6">#REF!</definedName>
    <definedName name="P_1_8.18.7" localSheetId="1">'Bordereau des Prix Cadres Lot 1'!$2118:$2118</definedName>
    <definedName name="P_1_8.18.7">#REF!</definedName>
    <definedName name="P_1_8.18.8" localSheetId="1">'Bordereau des Prix Cadres Lot 1'!$2120:$2120</definedName>
    <definedName name="P_1_8.18.8">#REF!</definedName>
    <definedName name="P_1_8.18.9" localSheetId="1">'Bordereau des Prix Cadres Lot 1'!$2122:$2122</definedName>
    <definedName name="P_1_8.18.9">#REF!</definedName>
    <definedName name="P_1_8.19.1" localSheetId="1">'Bordereau des Prix Cadres Lot 1'!$2135:$2135</definedName>
    <definedName name="P_1_8.19.1">#REF!</definedName>
    <definedName name="P_1_8.19.2" localSheetId="1">'Bordereau des Prix Cadres Lot 1'!$2137:$2137</definedName>
    <definedName name="P_1_8.19.2">#REF!</definedName>
    <definedName name="P_1_8.19.3" localSheetId="1">'Bordereau des Prix Cadres Lot 1'!$2139:$2139</definedName>
    <definedName name="P_1_8.19.3">#REF!</definedName>
    <definedName name="P_1_8.19.4" localSheetId="1">'Bordereau des Prix Cadres Lot 1'!$2141:$2141</definedName>
    <definedName name="P_1_8.19.4">#REF!</definedName>
    <definedName name="P_1_8.19.5" localSheetId="1">'Bordereau des Prix Cadres Lot 1'!$2143:$2143</definedName>
    <definedName name="P_1_8.19.5">#REF!</definedName>
    <definedName name="P_1_8.19.6" localSheetId="1">'Bordereau des Prix Cadres Lot 1'!$2145:$2145</definedName>
    <definedName name="P_1_8.19.6">#REF!</definedName>
    <definedName name="P_1_8.2.1" localSheetId="1">'Bordereau des Prix Cadres Lot 1'!#REF!</definedName>
    <definedName name="P_1_8.2.1">#REF!</definedName>
    <definedName name="P_1_8.2.2" localSheetId="1">'Bordereau des Prix Cadres Lot 1'!#REF!</definedName>
    <definedName name="P_1_8.2.2">#REF!</definedName>
    <definedName name="P_1_8.2.3" localSheetId="1">'Bordereau des Prix Cadres Lot 1'!#REF!</definedName>
    <definedName name="P_1_8.2.3">#REF!</definedName>
    <definedName name="P_1_8.2.4" localSheetId="1">'Bordereau des Prix Cadres Lot 1'!#REF!</definedName>
    <definedName name="P_1_8.2.4">#REF!</definedName>
    <definedName name="P_1_8.2.5" localSheetId="1">'Bordereau des Prix Cadres Lot 1'!#REF!</definedName>
    <definedName name="P_1_8.2.5">#REF!</definedName>
    <definedName name="P_1_8.2.6" localSheetId="1">'Bordereau des Prix Cadres Lot 1'!#REF!</definedName>
    <definedName name="P_1_8.2.6">#REF!</definedName>
    <definedName name="P_1_8.2.7" localSheetId="1">'Bordereau des Prix Cadres Lot 1'!#REF!</definedName>
    <definedName name="P_1_8.2.7">#REF!</definedName>
    <definedName name="P_1_8.20.1" localSheetId="1">'Bordereau des Prix Cadres Lot 1'!$2155:$2155</definedName>
    <definedName name="P_1_8.20.1">#REF!</definedName>
    <definedName name="P_1_8.20.2" localSheetId="1">'Bordereau des Prix Cadres Lot 1'!$2157:$2157</definedName>
    <definedName name="P_1_8.20.2">#REF!</definedName>
    <definedName name="P_1_8.20.3" localSheetId="1">'Bordereau des Prix Cadres Lot 1'!$2159:$2159</definedName>
    <definedName name="P_1_8.20.3">#REF!</definedName>
    <definedName name="P_1_8.20.4" localSheetId="1">'Bordereau des Prix Cadres Lot 1'!$2161:$2161</definedName>
    <definedName name="P_1_8.20.4">#REF!</definedName>
    <definedName name="P_1_8.20.5" localSheetId="1">'Bordereau des Prix Cadres Lot 1'!$2163:$2163</definedName>
    <definedName name="P_1_8.20.5">#REF!</definedName>
    <definedName name="P_1_8.20.6" localSheetId="1">'Bordereau des Prix Cadres Lot 1'!$2165:$2165</definedName>
    <definedName name="P_1_8.20.6">#REF!</definedName>
    <definedName name="P_1_8.21.1" localSheetId="1">'Bordereau des Prix Cadres Lot 1'!$2175:$2175</definedName>
    <definedName name="P_1_8.21.1">#REF!</definedName>
    <definedName name="P_1_8.21.2" localSheetId="1">'Bordereau des Prix Cadres Lot 1'!$2177:$2177</definedName>
    <definedName name="P_1_8.21.2">#REF!</definedName>
    <definedName name="P_1_8.21.3" localSheetId="1">'Bordereau des Prix Cadres Lot 1'!$2179:$2179</definedName>
    <definedName name="P_1_8.21.3">#REF!</definedName>
    <definedName name="P_1_8.21.4" localSheetId="1">'Bordereau des Prix Cadres Lot 1'!$2181:$2181</definedName>
    <definedName name="P_1_8.21.4">#REF!</definedName>
    <definedName name="P_1_8.22.1" localSheetId="1">'Bordereau des Prix Cadres Lot 1'!$2191:$2191</definedName>
    <definedName name="P_1_8.22.1">#REF!</definedName>
    <definedName name="P_1_8.22.2" localSheetId="1">'Bordereau des Prix Cadres Lot 1'!$2193:$2193</definedName>
    <definedName name="P_1_8.22.2">#REF!</definedName>
    <definedName name="P_1_8.22.3" localSheetId="1">'Bordereau des Prix Cadres Lot 1'!$2195:$2195</definedName>
    <definedName name="P_1_8.22.3">#REF!</definedName>
    <definedName name="P_1_8.22.4" localSheetId="1">'Bordereau des Prix Cadres Lot 1'!$2197:$2197</definedName>
    <definedName name="P_1_8.22.4">#REF!</definedName>
    <definedName name="P_1_8.22.5" localSheetId="1">'Bordereau des Prix Cadres Lot 1'!$2199:$2199</definedName>
    <definedName name="P_1_8.22.5">#REF!</definedName>
    <definedName name="P_1_8.23.1" localSheetId="1">'Bordereau des Prix Cadres Lot 1'!$2276:$2276</definedName>
    <definedName name="P_1_8.23.1">#REF!</definedName>
    <definedName name="P_1_8.23.2" localSheetId="1">'Bordereau des Prix Cadres Lot 1'!$2278:$2278</definedName>
    <definedName name="P_1_8.23.2">#REF!</definedName>
    <definedName name="P_1_8.23.3" localSheetId="1">'Bordereau des Prix Cadres Lot 1'!$2280:$2280</definedName>
    <definedName name="P_1_8.23.3">#REF!</definedName>
    <definedName name="P_1_8.23.4" localSheetId="1">'Bordereau des Prix Cadres Lot 1'!$2282:$2282</definedName>
    <definedName name="P_1_8.23.4">#REF!</definedName>
    <definedName name="P_1_8.24.1" localSheetId="1">'Bordereau des Prix Cadres Lot 1'!#REF!</definedName>
    <definedName name="P_1_8.24.1">#REF!</definedName>
    <definedName name="P_1_8.24.2" localSheetId="1">'Bordereau des Prix Cadres Lot 1'!#REF!</definedName>
    <definedName name="P_1_8.24.2">#REF!</definedName>
    <definedName name="P_1_8.24.3" localSheetId="1">'Bordereau des Prix Cadres Lot 1'!#REF!</definedName>
    <definedName name="P_1_8.24.3">#REF!</definedName>
    <definedName name="P_1_8.24.4" localSheetId="1">'Bordereau des Prix Cadres Lot 1'!#REF!</definedName>
    <definedName name="P_1_8.24.4">#REF!</definedName>
    <definedName name="P_1_8.25.1" localSheetId="1">'Bordereau des Prix Cadres Lot 1'!#REF!</definedName>
    <definedName name="P_1_8.25.1">#REF!</definedName>
    <definedName name="P_1_8.25.2" localSheetId="1">'Bordereau des Prix Cadres Lot 1'!#REF!</definedName>
    <definedName name="P_1_8.25.2">#REF!</definedName>
    <definedName name="P_1_8.25.3" localSheetId="1">'Bordereau des Prix Cadres Lot 1'!#REF!</definedName>
    <definedName name="P_1_8.25.3">#REF!</definedName>
    <definedName name="P_1_8.25.4" localSheetId="1">'Bordereau des Prix Cadres Lot 1'!#REF!</definedName>
    <definedName name="P_1_8.25.4">#REF!</definedName>
    <definedName name="P_1_8.26.1" localSheetId="1">'Bordereau des Prix Cadres Lot 1'!$2293:$2293</definedName>
    <definedName name="P_1_8.26.1">#REF!</definedName>
    <definedName name="P_1_8.26.2" localSheetId="1">'Bordereau des Prix Cadres Lot 1'!$2295:$2295</definedName>
    <definedName name="P_1_8.26.2">#REF!</definedName>
    <definedName name="P_1_8.26.3" localSheetId="1">'Bordereau des Prix Cadres Lot 1'!$2297:$2297</definedName>
    <definedName name="P_1_8.26.3">#REF!</definedName>
    <definedName name="P_1_8.26.4" localSheetId="1">'Bordereau des Prix Cadres Lot 1'!$2299:$2299</definedName>
    <definedName name="P_1_8.26.4">#REF!</definedName>
    <definedName name="P_1_8.26.5" localSheetId="1">'Bordereau des Prix Cadres Lot 1'!$2301:$2301</definedName>
    <definedName name="P_1_8.26.5">#REF!</definedName>
    <definedName name="P_1_8.26.6" localSheetId="1">'Bordereau des Prix Cadres Lot 1'!$2303:$2303</definedName>
    <definedName name="P_1_8.26.6">#REF!</definedName>
    <definedName name="P_1_8.27.1" localSheetId="1">'Bordereau des Prix Cadres Lot 1'!#REF!</definedName>
    <definedName name="P_1_8.27.1">#REF!</definedName>
    <definedName name="P_1_8.27.2" localSheetId="1">'Bordereau des Prix Cadres Lot 1'!#REF!</definedName>
    <definedName name="P_1_8.27.2">#REF!</definedName>
    <definedName name="P_1_8.27.3" localSheetId="1">'Bordereau des Prix Cadres Lot 1'!#REF!</definedName>
    <definedName name="P_1_8.27.3">#REF!</definedName>
    <definedName name="P_1_8.27.4" localSheetId="1">'Bordereau des Prix Cadres Lot 1'!#REF!</definedName>
    <definedName name="P_1_8.27.4">#REF!</definedName>
    <definedName name="P_1_8.27.5" localSheetId="1">'Bordereau des Prix Cadres Lot 1'!#REF!</definedName>
    <definedName name="P_1_8.27.5">#REF!</definedName>
    <definedName name="P_1_8.27.6" localSheetId="1">'Bordereau des Prix Cadres Lot 1'!#REF!</definedName>
    <definedName name="P_1_8.27.6">#REF!</definedName>
    <definedName name="P_1_8.27.7" localSheetId="1">'Bordereau des Prix Cadres Lot 1'!#REF!</definedName>
    <definedName name="P_1_8.27.7">#REF!</definedName>
    <definedName name="P_1_8.27.8" localSheetId="1">'Bordereau des Prix Cadres Lot 1'!#REF!</definedName>
    <definedName name="P_1_8.27.8">#REF!</definedName>
    <definedName name="P_1_8.28.1" localSheetId="1">'Bordereau des Prix Cadres Lot 1'!#REF!</definedName>
    <definedName name="P_1_8.28.1">#REF!</definedName>
    <definedName name="P_1_8.28.2" localSheetId="1">'Bordereau des Prix Cadres Lot 1'!#REF!</definedName>
    <definedName name="P_1_8.28.2">#REF!</definedName>
    <definedName name="P_1_8.28.3" localSheetId="1">'Bordereau des Prix Cadres Lot 1'!#REF!</definedName>
    <definedName name="P_1_8.28.3">#REF!</definedName>
    <definedName name="P_1_8.28.4" localSheetId="1">'Bordereau des Prix Cadres Lot 1'!#REF!</definedName>
    <definedName name="P_1_8.28.4">#REF!</definedName>
    <definedName name="P_1_8.28.5" localSheetId="1">'Bordereau des Prix Cadres Lot 1'!#REF!</definedName>
    <definedName name="P_1_8.28.5">#REF!</definedName>
    <definedName name="P_1_8.28.6" localSheetId="1">'Bordereau des Prix Cadres Lot 1'!#REF!</definedName>
    <definedName name="P_1_8.28.6">#REF!</definedName>
    <definedName name="P_1_8.28.7" localSheetId="1">'Bordereau des Prix Cadres Lot 1'!#REF!</definedName>
    <definedName name="P_1_8.28.7">#REF!</definedName>
    <definedName name="P_1_8.28.8" localSheetId="1">'Bordereau des Prix Cadres Lot 1'!#REF!</definedName>
    <definedName name="P_1_8.28.8">#REF!</definedName>
    <definedName name="P_1_8.29.1" localSheetId="1">'Bordereau des Prix Cadres Lot 1'!#REF!</definedName>
    <definedName name="P_1_8.29.1">#REF!</definedName>
    <definedName name="P_1_8.29.2" localSheetId="1">'Bordereau des Prix Cadres Lot 1'!#REF!</definedName>
    <definedName name="P_1_8.29.2">#REF!</definedName>
    <definedName name="P_1_8.29.3" localSheetId="1">'Bordereau des Prix Cadres Lot 1'!#REF!</definedName>
    <definedName name="P_1_8.29.3">#REF!</definedName>
    <definedName name="P_1_8.29.4" localSheetId="1">'Bordereau des Prix Cadres Lot 1'!#REF!</definedName>
    <definedName name="P_1_8.29.4">#REF!</definedName>
    <definedName name="P_1_8.29.5" localSheetId="1">'Bordereau des Prix Cadres Lot 1'!#REF!</definedName>
    <definedName name="P_1_8.29.5">#REF!</definedName>
    <definedName name="P_1_8.29.6" localSheetId="1">'Bordereau des Prix Cadres Lot 1'!#REF!</definedName>
    <definedName name="P_1_8.29.6">#REF!</definedName>
    <definedName name="P_1_8.3.1" localSheetId="1">'Bordereau des Prix Cadres Lot 1'!#REF!</definedName>
    <definedName name="P_1_8.3.1">#REF!</definedName>
    <definedName name="P_1_8.3.10" localSheetId="1">'Bordereau des Prix Cadres Lot 1'!$1853:$1853</definedName>
    <definedName name="P_1_8.3.10">#REF!</definedName>
    <definedName name="P_1_8.3.11" localSheetId="1">'Bordereau des Prix Cadres Lot 1'!$1855:$1855</definedName>
    <definedName name="P_1_8.3.11">#REF!</definedName>
    <definedName name="P_1_8.3.2" localSheetId="1">'Bordereau des Prix Cadres Lot 1'!#REF!</definedName>
    <definedName name="P_1_8.3.2">#REF!</definedName>
    <definedName name="P_1_8.3.3" localSheetId="1">'Bordereau des Prix Cadres Lot 1'!$1838:$1838</definedName>
    <definedName name="P_1_8.3.3">#REF!</definedName>
    <definedName name="P_1_8.3.4" localSheetId="1">'Bordereau des Prix Cadres Lot 1'!$1840:$1840</definedName>
    <definedName name="P_1_8.3.4">#REF!</definedName>
    <definedName name="P_1_8.3.5" localSheetId="1">'Bordereau des Prix Cadres Lot 1'!$1843:$1843</definedName>
    <definedName name="P_1_8.3.5">#REF!</definedName>
    <definedName name="P_1_8.3.6" localSheetId="1">'Bordereau des Prix Cadres Lot 1'!$1845:$1845</definedName>
    <definedName name="P_1_8.3.6">#REF!</definedName>
    <definedName name="P_1_8.3.7" localSheetId="1">'Bordereau des Prix Cadres Lot 1'!$1847:$1847</definedName>
    <definedName name="P_1_8.3.7">#REF!</definedName>
    <definedName name="P_1_8.3.8" localSheetId="1">'Bordereau des Prix Cadres Lot 1'!$1849:$1849</definedName>
    <definedName name="P_1_8.3.8">#REF!</definedName>
    <definedName name="P_1_8.3.9" localSheetId="1">'Bordereau des Prix Cadres Lot 1'!$1851:$1851</definedName>
    <definedName name="P_1_8.3.9">#REF!</definedName>
    <definedName name="P_1_8.30.1" localSheetId="1">'Bordereau des Prix Cadres Lot 1'!#REF!</definedName>
    <definedName name="P_1_8.30.1">#REF!</definedName>
    <definedName name="P_1_8.30.2" localSheetId="1">'Bordereau des Prix Cadres Lot 1'!#REF!</definedName>
    <definedName name="P_1_8.30.2">#REF!</definedName>
    <definedName name="P_1_8.30.3" localSheetId="1">'Bordereau des Prix Cadres Lot 1'!#REF!</definedName>
    <definedName name="P_1_8.30.3">#REF!</definedName>
    <definedName name="P_1_8.30.4" localSheetId="1">'Bordereau des Prix Cadres Lot 1'!#REF!</definedName>
    <definedName name="P_1_8.30.4">#REF!</definedName>
    <definedName name="P_1_8.31.1" localSheetId="1">'Bordereau des Prix Cadres Lot 1'!#REF!</definedName>
    <definedName name="P_1_8.31.1">#REF!</definedName>
    <definedName name="P_1_8.31.2" localSheetId="1">'Bordereau des Prix Cadres Lot 1'!#REF!</definedName>
    <definedName name="P_1_8.31.2">#REF!</definedName>
    <definedName name="P_1_8.31.3" localSheetId="1">'Bordereau des Prix Cadres Lot 1'!#REF!</definedName>
    <definedName name="P_1_8.31.3">#REF!</definedName>
    <definedName name="P_1_8.31.4" localSheetId="1">'Bordereau des Prix Cadres Lot 1'!#REF!</definedName>
    <definedName name="P_1_8.31.4">#REF!</definedName>
    <definedName name="P_1_8.31.5" localSheetId="1">'Bordereau des Prix Cadres Lot 1'!#REF!</definedName>
    <definedName name="P_1_8.31.5">#REF!</definedName>
    <definedName name="P_1_8.31.6" localSheetId="1">'Bordereau des Prix Cadres Lot 1'!#REF!</definedName>
    <definedName name="P_1_8.31.6">#REF!</definedName>
    <definedName name="P_1_8.31.7" localSheetId="1">'Bordereau des Prix Cadres Lot 1'!#REF!</definedName>
    <definedName name="P_1_8.31.7">#REF!</definedName>
    <definedName name="P_1_8.4.1" localSheetId="1">'Bordereau des Prix Cadres Lot 1'!#REF!</definedName>
    <definedName name="P_1_8.4.1">#REF!</definedName>
    <definedName name="P_1_8.4.10" localSheetId="1">'Bordereau des Prix Cadres Lot 1'!#REF!</definedName>
    <definedName name="P_1_8.4.10">#REF!</definedName>
    <definedName name="P_1_8.4.11" localSheetId="1">'Bordereau des Prix Cadres Lot 1'!#REF!</definedName>
    <definedName name="P_1_8.4.11">#REF!</definedName>
    <definedName name="P_1_8.4.2" localSheetId="1">'Bordereau des Prix Cadres Lot 1'!#REF!</definedName>
    <definedName name="P_1_8.4.2">#REF!</definedName>
    <definedName name="P_1_8.4.3" localSheetId="1">'Bordereau des Prix Cadres Lot 1'!#REF!</definedName>
    <definedName name="P_1_8.4.3">#REF!</definedName>
    <definedName name="P_1_8.4.4" localSheetId="1">'Bordereau des Prix Cadres Lot 1'!#REF!</definedName>
    <definedName name="P_1_8.4.4">#REF!</definedName>
    <definedName name="P_1_8.4.5" localSheetId="1">'Bordereau des Prix Cadres Lot 1'!#REF!</definedName>
    <definedName name="P_1_8.4.5">#REF!</definedName>
    <definedName name="P_1_8.4.6" localSheetId="1">'Bordereau des Prix Cadres Lot 1'!#REF!</definedName>
    <definedName name="P_1_8.4.6">#REF!</definedName>
    <definedName name="P_1_8.4.7" localSheetId="1">'Bordereau des Prix Cadres Lot 1'!#REF!</definedName>
    <definedName name="P_1_8.4.7">#REF!</definedName>
    <definedName name="P_1_8.4.8" localSheetId="1">'Bordereau des Prix Cadres Lot 1'!#REF!</definedName>
    <definedName name="P_1_8.4.8">#REF!</definedName>
    <definedName name="P_1_8.4.9" localSheetId="1">'Bordereau des Prix Cadres Lot 1'!#REF!</definedName>
    <definedName name="P_1_8.4.9">#REF!</definedName>
    <definedName name="P_1_8.5.1" localSheetId="1">'Bordereau des Prix Cadres Lot 1'!#REF!</definedName>
    <definedName name="P_1_8.5.1">#REF!</definedName>
    <definedName name="P_1_8.5.10" localSheetId="1">'Bordereau des Prix Cadres Lot 1'!#REF!</definedName>
    <definedName name="P_1_8.5.10">#REF!</definedName>
    <definedName name="P_1_8.5.11" localSheetId="1">'Bordereau des Prix Cadres Lot 1'!#REF!</definedName>
    <definedName name="P_1_8.5.11">#REF!</definedName>
    <definedName name="P_1_8.5.2" localSheetId="1">'Bordereau des Prix Cadres Lot 1'!#REF!</definedName>
    <definedName name="P_1_8.5.2">#REF!</definedName>
    <definedName name="P_1_8.5.3" localSheetId="1">'Bordereau des Prix Cadres Lot 1'!#REF!</definedName>
    <definedName name="P_1_8.5.3">#REF!</definedName>
    <definedName name="P_1_8.5.4" localSheetId="1">'Bordereau des Prix Cadres Lot 1'!#REF!</definedName>
    <definedName name="P_1_8.5.4">#REF!</definedName>
    <definedName name="P_1_8.5.5" localSheetId="1">'Bordereau des Prix Cadres Lot 1'!#REF!</definedName>
    <definedName name="P_1_8.5.5">#REF!</definedName>
    <definedName name="P_1_8.5.6" localSheetId="1">'Bordereau des Prix Cadres Lot 1'!#REF!</definedName>
    <definedName name="P_1_8.5.6">#REF!</definedName>
    <definedName name="P_1_8.5.7" localSheetId="1">'Bordereau des Prix Cadres Lot 1'!#REF!</definedName>
    <definedName name="P_1_8.5.7">#REF!</definedName>
    <definedName name="P_1_8.5.8" localSheetId="1">'Bordereau des Prix Cadres Lot 1'!#REF!</definedName>
    <definedName name="P_1_8.5.8">#REF!</definedName>
    <definedName name="P_1_8.5.9" localSheetId="1">'Bordereau des Prix Cadres Lot 1'!#REF!</definedName>
    <definedName name="P_1_8.5.9">#REF!</definedName>
    <definedName name="P_1_8.6.1" localSheetId="1">'Bordereau des Prix Cadres Lot 1'!$1866:$1866</definedName>
    <definedName name="P_1_8.6.1">#REF!</definedName>
    <definedName name="P_1_8.6.10" localSheetId="1">'Bordereau des Prix Cadres Lot 1'!$1882:$1882</definedName>
    <definedName name="P_1_8.6.10">#REF!</definedName>
    <definedName name="P_1_8.6.11" localSheetId="1">'Bordereau des Prix Cadres Lot 1'!$1884:$1884</definedName>
    <definedName name="P_1_8.6.11">#REF!</definedName>
    <definedName name="P_1_8.6.2" localSheetId="1">'Bordereau des Prix Cadres Lot 1'!$1868:$1868</definedName>
    <definedName name="P_1_8.6.2">#REF!</definedName>
    <definedName name="P_1_8.6.3" localSheetId="1">'Bordereau des Prix Cadres Lot 1'!$1870:$1870</definedName>
    <definedName name="P_1_8.6.3">#REF!</definedName>
    <definedName name="P_1_8.6.4" localSheetId="1">'Bordereau des Prix Cadres Lot 1'!$1872:$1872</definedName>
    <definedName name="P_1_8.6.4">#REF!</definedName>
    <definedName name="P_1_8.6.5" localSheetId="1">'Bordereau des Prix Cadres Lot 1'!$1874:$1874</definedName>
    <definedName name="P_1_8.6.5">#REF!</definedName>
    <definedName name="P_1_8.6.6" localSheetId="1">'Bordereau des Prix Cadres Lot 1'!$1876:$1876</definedName>
    <definedName name="P_1_8.6.6">#REF!</definedName>
    <definedName name="P_1_8.6.7" localSheetId="1">'Bordereau des Prix Cadres Lot 1'!$1878:$1878</definedName>
    <definedName name="P_1_8.6.7">#REF!</definedName>
    <definedName name="P_1_8.6.8" localSheetId="1">'Bordereau des Prix Cadres Lot 1'!$1880:$1880</definedName>
    <definedName name="P_1_8.6.8">#REF!</definedName>
    <definedName name="P_1_8.7.2" localSheetId="1">'Bordereau des Prix Cadres Lot 1'!#REF!</definedName>
    <definedName name="P_1_8.7.2">#REF!</definedName>
    <definedName name="P_1_8.8.1" localSheetId="1">'Bordereau des Prix Cadres Lot 1'!$1943:$1943</definedName>
    <definedName name="P_1_8.8.1">#REF!</definedName>
    <definedName name="P_1_8.8.2" localSheetId="1">'Bordereau des Prix Cadres Lot 1'!$1945:$1945</definedName>
    <definedName name="P_1_8.8.2">#REF!</definedName>
    <definedName name="P_1_8.8.3" localSheetId="1">'Bordereau des Prix Cadres Lot 1'!$1947:$1947</definedName>
    <definedName name="P_1_8.8.3">#REF!</definedName>
    <definedName name="P_1_8.8.4" localSheetId="1">'Bordereau des Prix Cadres Lot 1'!$1949:$1949</definedName>
    <definedName name="P_1_8.8.4">#REF!</definedName>
    <definedName name="P_1_8.8.5" localSheetId="1">'Bordereau des Prix Cadres Lot 1'!$1951:$1951</definedName>
    <definedName name="P_1_8.8.5">#REF!</definedName>
    <definedName name="P_1_8.8.6" localSheetId="1">'Bordereau des Prix Cadres Lot 1'!$1953:$1953</definedName>
    <definedName name="P_1_8.8.6">#REF!</definedName>
    <definedName name="P_1_8.8.7" localSheetId="1">'Bordereau des Prix Cadres Lot 1'!$1955:$1955</definedName>
    <definedName name="P_1_8.8.7">#REF!</definedName>
    <definedName name="P_1_8.9.1" localSheetId="1">'Bordereau des Prix Cadres Lot 1'!$1989:$1989</definedName>
    <definedName name="P_1_8.9.1">#REF!</definedName>
    <definedName name="P_1_8.9.10" localSheetId="1">'Bordereau des Prix Cadres Lot 1'!$2007:$2007</definedName>
    <definedName name="P_1_8.9.10">#REF!</definedName>
    <definedName name="P_1_8.9.11" localSheetId="1">'Bordereau des Prix Cadres Lot 1'!$2009:$2009</definedName>
    <definedName name="P_1_8.9.11">#REF!</definedName>
    <definedName name="P_1_8.9.12" localSheetId="1">'Bordereau des Prix Cadres Lot 1'!$2011:$2011</definedName>
    <definedName name="P_1_8.9.12">#REF!</definedName>
    <definedName name="P_1_8.9.2" localSheetId="1">'Bordereau des Prix Cadres Lot 1'!$1991:$1991</definedName>
    <definedName name="P_1_8.9.2">#REF!</definedName>
    <definedName name="P_1_8.9.3" localSheetId="1">'Bordereau des Prix Cadres Lot 1'!$1993:$1993</definedName>
    <definedName name="P_1_8.9.3">#REF!</definedName>
    <definedName name="P_1_8.9.4" localSheetId="1">'Bordereau des Prix Cadres Lot 1'!$1995:$1995</definedName>
    <definedName name="P_1_8.9.4">#REF!</definedName>
    <definedName name="P_1_8.9.5" localSheetId="1">'Bordereau des Prix Cadres Lot 1'!$1997:$1997</definedName>
    <definedName name="P_1_8.9.5">#REF!</definedName>
    <definedName name="P_1_8.9.6" localSheetId="1">'Bordereau des Prix Cadres Lot 1'!$1999:$1999</definedName>
    <definedName name="P_1_8.9.6">#REF!</definedName>
    <definedName name="P_1_8.9.7" localSheetId="1">'Bordereau des Prix Cadres Lot 1'!$2001:$2001</definedName>
    <definedName name="P_1_8.9.7">#REF!</definedName>
    <definedName name="P_1_8.9.8" localSheetId="1">'Bordereau des Prix Cadres Lot 1'!$2003:$2003</definedName>
    <definedName name="P_1_8.9.8">#REF!</definedName>
    <definedName name="P_1_8.9.9" localSheetId="1">'Bordereau des Prix Cadres Lot 1'!$2005:$2005</definedName>
    <definedName name="P_1_8.9.9">#REF!</definedName>
    <definedName name="P_1_87.1" localSheetId="1">'Bordereau des Prix Cadres Lot 1'!#REF!</definedName>
    <definedName name="P_1_87.1">#REF!</definedName>
    <definedName name="P_1_9.1" localSheetId="1">'Bordereau des Prix Cadres Lot 1'!$1695:$1695</definedName>
    <definedName name="P_1_9.1">#REF!</definedName>
    <definedName name="P_1_9.2" localSheetId="1">'Bordereau des Prix Cadres Lot 1'!$1705:$1705</definedName>
    <definedName name="P_1_9.2">#REF!</definedName>
    <definedName name="P_1_9.3.1" localSheetId="1">'Bordereau des Prix Cadres Lot 1'!$1718:$1718</definedName>
    <definedName name="P_1_9.3.1">#REF!</definedName>
    <definedName name="P_1_9.3.2" localSheetId="1">'Bordereau des Prix Cadres Lot 1'!#REF!</definedName>
    <definedName name="P_1_9.3.2">#REF!</definedName>
    <definedName name="P_1_9.3.3" localSheetId="1">'Bordereau des Prix Cadres Lot 1'!#REF!</definedName>
    <definedName name="P_1_9.3.3">#REF!</definedName>
    <definedName name="P_1_9.3.4" localSheetId="1">'Bordereau des Prix Cadres Lot 1'!$1724:$1724</definedName>
    <definedName name="P_1_9.3.4">#REF!</definedName>
    <definedName name="P_1_9.4.1" localSheetId="1">'Bordereau des Prix Cadres Lot 1'!#REF!</definedName>
    <definedName name="P_1_9.4.1">#REF!</definedName>
    <definedName name="P_1_9.4.2" localSheetId="1">'Bordereau des Prix Cadres Lot 1'!#REF!</definedName>
    <definedName name="P_1_9.4.2">#REF!</definedName>
    <definedName name="P_1_9.4.3" localSheetId="1">'Bordereau des Prix Cadres Lot 1'!#REF!</definedName>
    <definedName name="P_1_9.4.3">#REF!</definedName>
    <definedName name="P_1_9.4.4" localSheetId="1">'Bordereau des Prix Cadres Lot 1'!#REF!</definedName>
    <definedName name="P_1_9.4.4">#REF!</definedName>
    <definedName name="P_1_9.5.1" localSheetId="1">'Bordereau des Prix Cadres Lot 1'!#REF!</definedName>
    <definedName name="P_1_9.5.1">#REF!</definedName>
    <definedName name="P_1_9.5.2" localSheetId="1">'Bordereau des Prix Cadres Lot 1'!$1765:$1765</definedName>
    <definedName name="P_1_9.5.2">#REF!</definedName>
    <definedName name="P_1_9.5.3" localSheetId="1">'Bordereau des Prix Cadres Lot 1'!$1767:$1767</definedName>
    <definedName name="P_1_9.5.3">#REF!</definedName>
    <definedName name="P_1_9.5.4" localSheetId="1">'Bordereau des Prix Cadres Lot 1'!$1771:$1771</definedName>
    <definedName name="P_1_9.5.4">#REF!</definedName>
    <definedName name="P_1_9.5.5" localSheetId="1">'Bordereau des Prix Cadres Lot 1'!$1776:$1776</definedName>
    <definedName name="P_1_9.5.5">#REF!</definedName>
    <definedName name="P_1_9.5.6" localSheetId="1">'Bordereau des Prix Cadres Lot 1'!$1778:$1778</definedName>
    <definedName name="P_1_9.5.6">#REF!</definedName>
    <definedName name="P_1_9.5.7" localSheetId="1">'Bordereau des Prix Cadres Lot 1'!#REF!</definedName>
    <definedName name="P_1_9.5.7">#REF!</definedName>
    <definedName name="P_1_9.5.8" localSheetId="1">'Bordereau des Prix Cadres Lot 1'!$1780:$1780</definedName>
    <definedName name="P_1_9.5.8">#REF!</definedName>
    <definedName name="PU" localSheetId="1">'Bordereau des Prix Cadres Lot 1'!#REF!</definedName>
    <definedName name="PU">#REF!</definedName>
    <definedName name="Qté" localSheetId="1">'Bordereau des Prix Cadres Lot 1'!#REF!</definedName>
    <definedName name="Qté">#REF!</definedName>
    <definedName name="Réseaux_divers">'[1]Cahier de Prix'!$B$691:$B$813</definedName>
    <definedName name="T_0_1" localSheetId="1">'Bordereau des Prix Cadres Lot 1'!#REF!</definedName>
    <definedName name="Title" localSheetId="1">'Bordereau des Prix Cadres Lot 1'!#REF!</definedName>
    <definedName name="TVA">0.196</definedName>
    <definedName name="Type" localSheetId="1">'Bordereau des Prix Cadres Lot 1'!#REF!</definedName>
    <definedName name="Unit" localSheetId="1">'Bordereau des Prix Cadres Lot 1'!#REF!</definedName>
    <definedName name="_xlnm.Print_Area" localSheetId="1">'Bordereau des Prix Cadres Lot 1'!$A$1:$D$5688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526" i="23" l="1"/>
  <c r="B2" i="4"/>
  <c r="C2" i="4"/>
  <c r="D2" i="4"/>
  <c r="B3" i="4"/>
  <c r="C3" i="4"/>
  <c r="D3" i="4"/>
  <c r="B4" i="4"/>
  <c r="C4" i="4"/>
  <c r="D4" i="4"/>
  <c r="B5" i="4"/>
  <c r="C5" i="4"/>
  <c r="D5" i="4"/>
  <c r="B6" i="4"/>
  <c r="C6" i="4"/>
  <c r="D6" i="4"/>
  <c r="B7" i="4"/>
  <c r="C7" i="4"/>
  <c r="D7" i="4"/>
  <c r="B8" i="4"/>
  <c r="C8" i="4"/>
  <c r="D8" i="4"/>
  <c r="B9" i="4"/>
  <c r="C9" i="4"/>
  <c r="D9" i="4"/>
  <c r="B10" i="4"/>
  <c r="C10" i="4"/>
  <c r="D10" i="4"/>
  <c r="B11" i="4"/>
  <c r="C11" i="4"/>
  <c r="D11" i="4"/>
  <c r="B12" i="4"/>
  <c r="C12" i="4"/>
  <c r="D12" i="4"/>
  <c r="B13" i="4"/>
  <c r="C13" i="4"/>
  <c r="D13" i="4"/>
  <c r="B14" i="4"/>
  <c r="C14" i="4"/>
  <c r="D14" i="4"/>
  <c r="B15" i="4"/>
  <c r="C15" i="4"/>
  <c r="D15" i="4"/>
  <c r="B16" i="4"/>
  <c r="C16" i="4"/>
  <c r="D16" i="4"/>
  <c r="B17" i="4"/>
  <c r="C17" i="4"/>
  <c r="D17" i="4"/>
  <c r="B18" i="4"/>
  <c r="C18" i="4"/>
  <c r="D18" i="4"/>
  <c r="B19" i="4"/>
  <c r="C19" i="4"/>
  <c r="D19" i="4"/>
  <c r="B20" i="4"/>
  <c r="C20" i="4"/>
  <c r="D20" i="4"/>
  <c r="B21" i="4"/>
  <c r="C21" i="4"/>
  <c r="D21" i="4"/>
  <c r="B22" i="4"/>
  <c r="C22" i="4"/>
  <c r="D22" i="4"/>
  <c r="B23" i="4"/>
  <c r="C23" i="4"/>
  <c r="D23" i="4"/>
  <c r="B24" i="4"/>
  <c r="C24" i="4"/>
  <c r="D24" i="4"/>
  <c r="B25" i="4"/>
  <c r="C25" i="4"/>
  <c r="D25" i="4"/>
  <c r="B26" i="4"/>
  <c r="C26" i="4"/>
  <c r="D26" i="4"/>
  <c r="B27" i="4"/>
  <c r="C27" i="4"/>
  <c r="D27" i="4"/>
  <c r="B28" i="4"/>
  <c r="C28" i="4"/>
  <c r="D28" i="4"/>
  <c r="B29" i="4"/>
  <c r="C29" i="4"/>
  <c r="D29" i="4"/>
  <c r="B30" i="4"/>
  <c r="C30" i="4"/>
  <c r="D30" i="4"/>
  <c r="B31" i="4"/>
  <c r="C31" i="4"/>
  <c r="D31" i="4"/>
  <c r="B32" i="4"/>
  <c r="C32" i="4"/>
  <c r="D32" i="4"/>
  <c r="B33" i="4"/>
  <c r="C33" i="4"/>
  <c r="D33" i="4"/>
  <c r="B34" i="4"/>
  <c r="C34" i="4"/>
  <c r="D34" i="4"/>
  <c r="B35" i="4"/>
  <c r="C35" i="4"/>
  <c r="D35" i="4"/>
  <c r="B36" i="4"/>
  <c r="C36" i="4"/>
  <c r="D36" i="4"/>
  <c r="B37" i="4"/>
  <c r="C37" i="4"/>
  <c r="D37" i="4"/>
  <c r="B38" i="4"/>
  <c r="C38" i="4"/>
  <c r="D38" i="4"/>
  <c r="B39" i="4"/>
  <c r="C39" i="4"/>
  <c r="D39" i="4"/>
  <c r="B40" i="4"/>
  <c r="C40" i="4"/>
  <c r="D40" i="4"/>
  <c r="B41" i="4"/>
  <c r="C41" i="4"/>
  <c r="D41" i="4"/>
  <c r="B42" i="4"/>
  <c r="C42" i="4"/>
  <c r="D42" i="4"/>
  <c r="B43" i="4"/>
  <c r="C43" i="4"/>
  <c r="D43" i="4"/>
  <c r="B44" i="4"/>
  <c r="C44" i="4"/>
  <c r="D44" i="4"/>
  <c r="B45" i="4"/>
  <c r="C45" i="4"/>
  <c r="D45" i="4"/>
  <c r="B46" i="4"/>
  <c r="C46" i="4"/>
  <c r="D46" i="4"/>
  <c r="B47" i="4"/>
  <c r="C47" i="4"/>
  <c r="D47" i="4"/>
  <c r="B48" i="4"/>
  <c r="C48" i="4"/>
  <c r="D48" i="4"/>
  <c r="B49" i="4"/>
  <c r="C49" i="4"/>
  <c r="D49" i="4"/>
  <c r="B50" i="4"/>
  <c r="C50" i="4"/>
  <c r="D50" i="4"/>
  <c r="B51" i="4"/>
  <c r="C51" i="4"/>
  <c r="D51" i="4"/>
  <c r="B52" i="4"/>
  <c r="C52" i="4"/>
  <c r="D52" i="4"/>
  <c r="B53" i="4"/>
  <c r="C53" i="4"/>
  <c r="D53" i="4"/>
  <c r="B54" i="4"/>
  <c r="C54" i="4"/>
  <c r="D54" i="4"/>
  <c r="B55" i="4"/>
  <c r="C55" i="4"/>
  <c r="D55" i="4"/>
  <c r="B56" i="4"/>
  <c r="C56" i="4"/>
  <c r="D56" i="4"/>
  <c r="B57" i="4"/>
  <c r="C57" i="4"/>
  <c r="D57" i="4"/>
  <c r="B58" i="4"/>
  <c r="C58" i="4"/>
  <c r="D58" i="4"/>
  <c r="B59" i="4"/>
  <c r="C59" i="4"/>
  <c r="D59" i="4"/>
  <c r="B60" i="4"/>
  <c r="C60" i="4"/>
  <c r="D60" i="4"/>
  <c r="B61" i="4"/>
  <c r="C61" i="4"/>
  <c r="D61" i="4"/>
  <c r="B62" i="4"/>
  <c r="C62" i="4"/>
  <c r="D62" i="4"/>
  <c r="B63" i="4"/>
  <c r="C63" i="4"/>
  <c r="D63" i="4"/>
  <c r="B64" i="4"/>
  <c r="C64" i="4"/>
  <c r="D64" i="4"/>
  <c r="B65" i="4"/>
  <c r="C65" i="4"/>
  <c r="D65" i="4"/>
  <c r="B66" i="4"/>
  <c r="C66" i="4"/>
  <c r="D66" i="4"/>
  <c r="B67" i="4"/>
  <c r="C67" i="4"/>
  <c r="D67" i="4"/>
  <c r="B68" i="4"/>
  <c r="C68" i="4"/>
  <c r="D68" i="4"/>
  <c r="B69" i="4"/>
  <c r="C69" i="4"/>
  <c r="D69" i="4"/>
  <c r="B70" i="4"/>
  <c r="C70" i="4"/>
  <c r="D70" i="4"/>
  <c r="B71" i="4"/>
  <c r="C71" i="4"/>
  <c r="D71" i="4"/>
  <c r="B72" i="4"/>
  <c r="C72" i="4"/>
  <c r="D72" i="4"/>
  <c r="B73" i="4"/>
  <c r="C73" i="4"/>
  <c r="D73" i="4"/>
  <c r="B74" i="4"/>
  <c r="C74" i="4"/>
  <c r="D74" i="4"/>
  <c r="B75" i="4"/>
  <c r="C75" i="4"/>
  <c r="D75" i="4"/>
  <c r="B76" i="4"/>
  <c r="C76" i="4"/>
  <c r="D76" i="4"/>
  <c r="B77" i="4"/>
  <c r="C77" i="4"/>
  <c r="D77" i="4"/>
  <c r="B78" i="4"/>
  <c r="C78" i="4"/>
  <c r="D78" i="4"/>
  <c r="B79" i="4"/>
  <c r="C79" i="4"/>
  <c r="D79" i="4"/>
  <c r="B80" i="4"/>
  <c r="C80" i="4"/>
  <c r="D80" i="4"/>
  <c r="B81" i="4"/>
  <c r="C81" i="4"/>
  <c r="D81" i="4"/>
  <c r="B82" i="4"/>
  <c r="C82" i="4"/>
  <c r="D82" i="4"/>
  <c r="B83" i="4"/>
  <c r="C83" i="4"/>
  <c r="D83" i="4"/>
  <c r="B84" i="4"/>
  <c r="C84" i="4"/>
  <c r="D84" i="4"/>
  <c r="B85" i="4"/>
  <c r="C85" i="4"/>
  <c r="D85" i="4"/>
  <c r="B86" i="4"/>
  <c r="C86" i="4"/>
  <c r="D86" i="4"/>
  <c r="B87" i="4"/>
  <c r="C87" i="4"/>
  <c r="D87" i="4"/>
  <c r="B88" i="4"/>
  <c r="C88" i="4"/>
  <c r="D88" i="4"/>
  <c r="B89" i="4"/>
  <c r="C89" i="4"/>
  <c r="D89" i="4"/>
  <c r="B90" i="4"/>
  <c r="C90" i="4"/>
  <c r="D90" i="4"/>
  <c r="B91" i="4"/>
  <c r="C91" i="4"/>
  <c r="D91" i="4"/>
  <c r="B92" i="4"/>
  <c r="C92" i="4"/>
  <c r="D92" i="4"/>
  <c r="B93" i="4"/>
  <c r="C93" i="4"/>
  <c r="D93" i="4"/>
  <c r="B94" i="4"/>
  <c r="C94" i="4"/>
  <c r="D94" i="4"/>
  <c r="B95" i="4"/>
  <c r="C95" i="4"/>
  <c r="D95" i="4"/>
  <c r="B96" i="4"/>
  <c r="C96" i="4"/>
  <c r="D96" i="4"/>
  <c r="B97" i="4"/>
  <c r="C97" i="4"/>
  <c r="D97" i="4"/>
  <c r="B98" i="4"/>
  <c r="C98" i="4"/>
  <c r="D98" i="4"/>
  <c r="B99" i="4"/>
  <c r="C99" i="4"/>
  <c r="D99" i="4"/>
  <c r="B100" i="4"/>
  <c r="C100" i="4"/>
  <c r="D100" i="4"/>
  <c r="B101" i="4"/>
  <c r="C101" i="4"/>
  <c r="D101" i="4"/>
  <c r="B102" i="4"/>
  <c r="C102" i="4"/>
  <c r="D102" i="4"/>
  <c r="B103" i="4"/>
  <c r="C103" i="4"/>
  <c r="D103" i="4"/>
  <c r="B104" i="4"/>
  <c r="C104" i="4"/>
  <c r="D104" i="4"/>
  <c r="B105" i="4"/>
  <c r="C105" i="4"/>
  <c r="D105" i="4"/>
  <c r="B106" i="4"/>
  <c r="C106" i="4"/>
  <c r="D106" i="4"/>
  <c r="B107" i="4"/>
  <c r="C107" i="4"/>
  <c r="D107" i="4"/>
  <c r="B108" i="4"/>
  <c r="C108" i="4"/>
  <c r="D108" i="4"/>
  <c r="B109" i="4"/>
  <c r="C109" i="4"/>
  <c r="D109" i="4"/>
  <c r="B110" i="4"/>
  <c r="C110" i="4"/>
  <c r="D110" i="4"/>
  <c r="B111" i="4"/>
  <c r="C111" i="4"/>
  <c r="D111" i="4"/>
  <c r="B112" i="4"/>
  <c r="C112" i="4"/>
  <c r="D112" i="4"/>
  <c r="B113" i="4"/>
  <c r="C113" i="4"/>
  <c r="D113" i="4"/>
  <c r="B114" i="4"/>
  <c r="C114" i="4"/>
  <c r="D114" i="4"/>
  <c r="B115" i="4"/>
  <c r="C115" i="4"/>
  <c r="D115" i="4"/>
  <c r="B116" i="4"/>
  <c r="C116" i="4"/>
  <c r="D116" i="4"/>
  <c r="B117" i="4"/>
  <c r="C117" i="4"/>
  <c r="D117" i="4"/>
  <c r="B118" i="4"/>
  <c r="C118" i="4"/>
  <c r="D118" i="4"/>
  <c r="B119" i="4"/>
  <c r="C119" i="4"/>
  <c r="D119" i="4"/>
  <c r="B120" i="4"/>
  <c r="C120" i="4"/>
  <c r="D120" i="4"/>
  <c r="B121" i="4"/>
  <c r="C121" i="4"/>
  <c r="D121" i="4"/>
  <c r="B122" i="4"/>
  <c r="C122" i="4"/>
  <c r="D122" i="4"/>
  <c r="B123" i="4"/>
  <c r="C123" i="4"/>
  <c r="D123" i="4"/>
  <c r="B124" i="4"/>
  <c r="C124" i="4"/>
  <c r="D124" i="4"/>
  <c r="B125" i="4"/>
  <c r="C125" i="4"/>
  <c r="D125" i="4"/>
  <c r="B126" i="4"/>
  <c r="C126" i="4"/>
  <c r="D126" i="4"/>
  <c r="B127" i="4"/>
  <c r="C127" i="4"/>
  <c r="D127" i="4"/>
  <c r="B128" i="4"/>
  <c r="C128" i="4"/>
  <c r="D128" i="4"/>
  <c r="B129" i="4"/>
  <c r="C129" i="4"/>
  <c r="D129" i="4"/>
  <c r="B130" i="4"/>
  <c r="C130" i="4"/>
  <c r="D130" i="4"/>
  <c r="B131" i="4"/>
  <c r="C131" i="4"/>
  <c r="D131" i="4"/>
  <c r="B132" i="4"/>
  <c r="C132" i="4"/>
  <c r="D132" i="4"/>
  <c r="B133" i="4"/>
  <c r="C133" i="4"/>
  <c r="D133" i="4"/>
  <c r="B134" i="4"/>
  <c r="C134" i="4"/>
  <c r="D134" i="4"/>
  <c r="B135" i="4"/>
  <c r="C135" i="4"/>
  <c r="D135" i="4"/>
  <c r="B136" i="4"/>
  <c r="C136" i="4"/>
  <c r="D136" i="4"/>
  <c r="B137" i="4"/>
  <c r="C137" i="4"/>
  <c r="D137" i="4"/>
  <c r="B138" i="4"/>
  <c r="C138" i="4"/>
  <c r="D138" i="4"/>
  <c r="B139" i="4"/>
  <c r="C139" i="4"/>
  <c r="D139" i="4"/>
  <c r="B140" i="4"/>
  <c r="C140" i="4"/>
  <c r="D140" i="4"/>
  <c r="B141" i="4"/>
  <c r="C141" i="4"/>
  <c r="D141" i="4"/>
  <c r="B142" i="4"/>
  <c r="C142" i="4"/>
  <c r="D142" i="4"/>
  <c r="B143" i="4"/>
  <c r="C143" i="4"/>
  <c r="D143" i="4"/>
  <c r="B144" i="4"/>
  <c r="C144" i="4"/>
  <c r="D144" i="4"/>
  <c r="B145" i="4"/>
  <c r="C145" i="4"/>
  <c r="D145" i="4"/>
  <c r="B146" i="4"/>
  <c r="C146" i="4"/>
  <c r="D146" i="4"/>
  <c r="B147" i="4"/>
  <c r="C147" i="4"/>
  <c r="D147" i="4"/>
  <c r="B148" i="4"/>
  <c r="C148" i="4"/>
  <c r="D148" i="4"/>
  <c r="B149" i="4"/>
  <c r="C149" i="4"/>
  <c r="D149" i="4"/>
  <c r="B150" i="4"/>
  <c r="C150" i="4"/>
  <c r="D150" i="4"/>
  <c r="B151" i="4"/>
  <c r="C151" i="4"/>
  <c r="D151" i="4"/>
  <c r="B152" i="4"/>
  <c r="C152" i="4"/>
  <c r="D152" i="4"/>
  <c r="B153" i="4"/>
  <c r="C153" i="4"/>
  <c r="D153" i="4"/>
  <c r="B154" i="4"/>
  <c r="C154" i="4"/>
  <c r="D154" i="4"/>
  <c r="B155" i="4"/>
  <c r="C155" i="4"/>
  <c r="D155" i="4"/>
  <c r="B156" i="4"/>
  <c r="C156" i="4"/>
  <c r="D156" i="4"/>
  <c r="B157" i="4"/>
  <c r="C157" i="4"/>
  <c r="D157" i="4"/>
  <c r="B158" i="4"/>
  <c r="C158" i="4"/>
  <c r="D158" i="4"/>
  <c r="B159" i="4"/>
  <c r="C159" i="4"/>
  <c r="D159" i="4"/>
  <c r="B160" i="4"/>
  <c r="C160" i="4"/>
  <c r="D160" i="4"/>
  <c r="B161" i="4"/>
  <c r="C161" i="4"/>
  <c r="D161" i="4"/>
  <c r="B162" i="4"/>
  <c r="C162" i="4"/>
  <c r="D162" i="4"/>
  <c r="B163" i="4"/>
  <c r="C163" i="4"/>
  <c r="D163" i="4"/>
  <c r="B164" i="4"/>
  <c r="C164" i="4"/>
  <c r="D164" i="4"/>
  <c r="B165" i="4"/>
  <c r="C165" i="4"/>
  <c r="D165" i="4"/>
  <c r="B166" i="4"/>
  <c r="C166" i="4"/>
  <c r="D166" i="4"/>
  <c r="B167" i="4"/>
  <c r="C167" i="4"/>
  <c r="D167" i="4"/>
  <c r="B168" i="4"/>
  <c r="C168" i="4"/>
  <c r="D168" i="4"/>
  <c r="B169" i="4"/>
  <c r="C169" i="4"/>
  <c r="D169" i="4"/>
  <c r="B170" i="4"/>
  <c r="C170" i="4"/>
  <c r="D170" i="4"/>
  <c r="B171" i="4"/>
  <c r="C171" i="4"/>
  <c r="D171" i="4"/>
  <c r="B172" i="4"/>
  <c r="C172" i="4"/>
  <c r="D172" i="4"/>
  <c r="B173" i="4"/>
  <c r="C173" i="4"/>
  <c r="D173" i="4"/>
  <c r="B174" i="4"/>
  <c r="C174" i="4"/>
  <c r="D174" i="4"/>
  <c r="B175" i="4"/>
  <c r="C175" i="4"/>
  <c r="D175" i="4"/>
  <c r="B176" i="4"/>
  <c r="C176" i="4"/>
  <c r="D176" i="4"/>
  <c r="B177" i="4"/>
  <c r="C177" i="4"/>
  <c r="D177" i="4"/>
  <c r="B178" i="4"/>
  <c r="C178" i="4"/>
  <c r="D178" i="4"/>
  <c r="B179" i="4"/>
  <c r="C179" i="4"/>
  <c r="D179" i="4"/>
  <c r="B180" i="4"/>
  <c r="C180" i="4"/>
  <c r="D180" i="4"/>
  <c r="B181" i="4"/>
  <c r="C181" i="4"/>
  <c r="D181" i="4"/>
  <c r="B182" i="4"/>
  <c r="C182" i="4"/>
  <c r="D182" i="4"/>
  <c r="B183" i="4"/>
  <c r="C183" i="4"/>
  <c r="D183" i="4"/>
  <c r="B184" i="4"/>
  <c r="C184" i="4"/>
  <c r="D184" i="4"/>
  <c r="B185" i="4"/>
  <c r="C185" i="4"/>
  <c r="D185" i="4"/>
  <c r="B186" i="4"/>
  <c r="C186" i="4"/>
  <c r="D186" i="4"/>
  <c r="B187" i="4"/>
  <c r="C187" i="4"/>
  <c r="D187" i="4"/>
  <c r="B188" i="4"/>
  <c r="C188" i="4"/>
  <c r="D188" i="4"/>
  <c r="B189" i="4"/>
  <c r="C189" i="4"/>
  <c r="D189" i="4"/>
  <c r="B190" i="4"/>
  <c r="C190" i="4"/>
  <c r="D190" i="4"/>
  <c r="B191" i="4"/>
  <c r="C191" i="4"/>
  <c r="D191" i="4"/>
  <c r="B192" i="4"/>
  <c r="C192" i="4"/>
  <c r="D192" i="4"/>
  <c r="B193" i="4"/>
  <c r="C193" i="4"/>
  <c r="D193" i="4"/>
  <c r="B194" i="4"/>
  <c r="C194" i="4"/>
  <c r="D194" i="4"/>
  <c r="B195" i="4"/>
  <c r="C195" i="4"/>
  <c r="D195" i="4"/>
  <c r="B196" i="4"/>
  <c r="C196" i="4"/>
  <c r="D196" i="4"/>
  <c r="B197" i="4"/>
  <c r="C197" i="4"/>
  <c r="D197" i="4"/>
  <c r="B198" i="4"/>
  <c r="C198" i="4"/>
  <c r="D198" i="4"/>
  <c r="B199" i="4"/>
  <c r="C199" i="4"/>
  <c r="D199" i="4"/>
  <c r="B200" i="4"/>
  <c r="C200" i="4"/>
  <c r="D200" i="4"/>
  <c r="B201" i="4"/>
  <c r="C201" i="4"/>
  <c r="D201" i="4"/>
  <c r="B202" i="4"/>
  <c r="C202" i="4"/>
  <c r="D202" i="4"/>
  <c r="B203" i="4"/>
  <c r="C203" i="4"/>
  <c r="D203" i="4"/>
  <c r="B204" i="4"/>
  <c r="C204" i="4"/>
  <c r="D204" i="4"/>
  <c r="B205" i="4"/>
  <c r="C205" i="4"/>
  <c r="D205" i="4"/>
  <c r="B206" i="4"/>
  <c r="C206" i="4"/>
  <c r="D206" i="4"/>
  <c r="B207" i="4"/>
  <c r="C207" i="4"/>
  <c r="D207" i="4"/>
  <c r="B208" i="4"/>
  <c r="C208" i="4"/>
  <c r="D208" i="4"/>
  <c r="B209" i="4"/>
  <c r="C209" i="4"/>
  <c r="D209" i="4"/>
  <c r="B210" i="4"/>
  <c r="C210" i="4"/>
  <c r="D210" i="4"/>
  <c r="B211" i="4"/>
  <c r="C211" i="4"/>
  <c r="D211" i="4"/>
  <c r="B212" i="4"/>
  <c r="C212" i="4"/>
  <c r="D212" i="4"/>
  <c r="B213" i="4"/>
  <c r="C213" i="4"/>
  <c r="D213" i="4"/>
  <c r="B214" i="4"/>
  <c r="C214" i="4"/>
  <c r="D214" i="4"/>
  <c r="B215" i="4"/>
  <c r="C215" i="4"/>
  <c r="D215" i="4"/>
  <c r="B216" i="4"/>
  <c r="C216" i="4"/>
  <c r="D216" i="4"/>
  <c r="B217" i="4"/>
  <c r="C217" i="4"/>
  <c r="D217" i="4"/>
  <c r="B218" i="4"/>
  <c r="C218" i="4"/>
  <c r="D218" i="4"/>
  <c r="B219" i="4"/>
  <c r="C219" i="4"/>
  <c r="D219" i="4"/>
  <c r="B220" i="4"/>
  <c r="C220" i="4"/>
  <c r="D220" i="4"/>
  <c r="B221" i="4"/>
  <c r="C221" i="4"/>
  <c r="D221" i="4"/>
  <c r="B222" i="4"/>
  <c r="C222" i="4"/>
  <c r="D222" i="4"/>
  <c r="B223" i="4"/>
  <c r="C223" i="4"/>
  <c r="D223" i="4"/>
  <c r="B224" i="4"/>
  <c r="C224" i="4"/>
  <c r="D224" i="4"/>
  <c r="B225" i="4"/>
  <c r="C225" i="4"/>
  <c r="D225" i="4"/>
  <c r="B226" i="4"/>
  <c r="C226" i="4"/>
  <c r="D226" i="4"/>
  <c r="B227" i="4"/>
  <c r="C227" i="4"/>
  <c r="D227" i="4"/>
  <c r="B228" i="4"/>
  <c r="C228" i="4"/>
  <c r="D228" i="4"/>
  <c r="B229" i="4"/>
  <c r="C229" i="4"/>
  <c r="D229" i="4"/>
  <c r="B230" i="4"/>
  <c r="C230" i="4"/>
  <c r="D230" i="4"/>
  <c r="B231" i="4"/>
  <c r="C231" i="4"/>
  <c r="D231" i="4"/>
  <c r="B232" i="4"/>
  <c r="C232" i="4"/>
  <c r="D232" i="4"/>
  <c r="B233" i="4"/>
  <c r="C233" i="4"/>
  <c r="D233" i="4"/>
  <c r="B234" i="4"/>
  <c r="C234" i="4"/>
  <c r="D234" i="4"/>
  <c r="B235" i="4"/>
  <c r="C235" i="4"/>
  <c r="D235" i="4"/>
  <c r="B236" i="4"/>
  <c r="C236" i="4"/>
  <c r="D236" i="4"/>
  <c r="B237" i="4"/>
  <c r="C237" i="4"/>
  <c r="D237" i="4"/>
  <c r="B238" i="4"/>
  <c r="C238" i="4"/>
  <c r="D238" i="4"/>
  <c r="B239" i="4"/>
  <c r="C239" i="4"/>
  <c r="D239" i="4"/>
  <c r="B240" i="4"/>
  <c r="C240" i="4"/>
  <c r="D240" i="4"/>
  <c r="B241" i="4"/>
  <c r="C241" i="4"/>
  <c r="D241" i="4"/>
  <c r="B242" i="4"/>
  <c r="C242" i="4"/>
  <c r="D242" i="4"/>
  <c r="B243" i="4"/>
  <c r="C243" i="4"/>
  <c r="D243" i="4"/>
  <c r="B244" i="4"/>
  <c r="C244" i="4"/>
  <c r="D244" i="4"/>
  <c r="B245" i="4"/>
  <c r="C245" i="4"/>
  <c r="D245" i="4"/>
  <c r="B246" i="4"/>
  <c r="C246" i="4"/>
  <c r="D246" i="4"/>
  <c r="B247" i="4"/>
  <c r="C247" i="4"/>
  <c r="D247" i="4"/>
  <c r="B248" i="4"/>
  <c r="C248" i="4"/>
  <c r="D248" i="4"/>
  <c r="B249" i="4"/>
  <c r="C249" i="4"/>
  <c r="D249" i="4"/>
  <c r="B250" i="4"/>
  <c r="C250" i="4"/>
  <c r="D250" i="4"/>
  <c r="B251" i="4"/>
  <c r="C251" i="4"/>
  <c r="D251" i="4"/>
  <c r="B252" i="4"/>
  <c r="C252" i="4"/>
  <c r="D252" i="4"/>
  <c r="B253" i="4"/>
  <c r="C253" i="4"/>
  <c r="D253" i="4"/>
  <c r="B254" i="4"/>
  <c r="C254" i="4"/>
  <c r="D254" i="4"/>
  <c r="B255" i="4"/>
  <c r="C255" i="4"/>
  <c r="D255" i="4"/>
  <c r="B256" i="4"/>
  <c r="C256" i="4"/>
  <c r="D256" i="4"/>
  <c r="B257" i="4"/>
  <c r="C257" i="4"/>
  <c r="D257" i="4"/>
  <c r="B258" i="4"/>
  <c r="C258" i="4"/>
  <c r="D258" i="4"/>
  <c r="B259" i="4"/>
  <c r="C259" i="4"/>
  <c r="D259" i="4"/>
  <c r="B260" i="4"/>
  <c r="C260" i="4"/>
  <c r="D260" i="4"/>
  <c r="B261" i="4"/>
  <c r="C261" i="4"/>
  <c r="D261" i="4"/>
  <c r="B262" i="4"/>
  <c r="C262" i="4"/>
  <c r="D262" i="4"/>
  <c r="B263" i="4"/>
  <c r="C263" i="4"/>
  <c r="D263" i="4"/>
  <c r="B264" i="4"/>
  <c r="C264" i="4"/>
  <c r="D264" i="4"/>
  <c r="B265" i="4"/>
  <c r="C265" i="4"/>
  <c r="D265" i="4"/>
  <c r="B266" i="4"/>
  <c r="C266" i="4"/>
  <c r="D266" i="4"/>
  <c r="B267" i="4"/>
  <c r="C267" i="4"/>
  <c r="D267" i="4"/>
  <c r="B268" i="4"/>
  <c r="C268" i="4"/>
  <c r="D268" i="4"/>
  <c r="B269" i="4"/>
  <c r="C269" i="4"/>
  <c r="D269" i="4"/>
  <c r="B270" i="4"/>
  <c r="C270" i="4"/>
  <c r="D270" i="4"/>
  <c r="B271" i="4"/>
  <c r="C271" i="4"/>
  <c r="D271" i="4"/>
  <c r="B272" i="4"/>
  <c r="C272" i="4"/>
  <c r="D272" i="4"/>
  <c r="B273" i="4"/>
  <c r="C273" i="4"/>
  <c r="D273" i="4"/>
  <c r="B274" i="4"/>
  <c r="C274" i="4"/>
  <c r="D274" i="4"/>
  <c r="B275" i="4"/>
  <c r="C275" i="4"/>
  <c r="D275" i="4"/>
  <c r="B276" i="4"/>
  <c r="C276" i="4"/>
  <c r="D276" i="4"/>
  <c r="B277" i="4"/>
  <c r="C277" i="4"/>
  <c r="D277" i="4"/>
  <c r="B278" i="4"/>
  <c r="C278" i="4"/>
  <c r="D278" i="4"/>
  <c r="B279" i="4"/>
  <c r="C279" i="4"/>
  <c r="D279" i="4"/>
  <c r="B280" i="4"/>
  <c r="C280" i="4"/>
  <c r="D280" i="4"/>
  <c r="B281" i="4"/>
  <c r="C281" i="4"/>
  <c r="D281" i="4"/>
  <c r="B282" i="4"/>
  <c r="C282" i="4"/>
  <c r="D282" i="4"/>
  <c r="B283" i="4"/>
  <c r="C283" i="4"/>
  <c r="D283" i="4"/>
  <c r="B284" i="4"/>
  <c r="C284" i="4"/>
  <c r="D284" i="4"/>
  <c r="B285" i="4"/>
  <c r="C285" i="4"/>
  <c r="D285" i="4"/>
  <c r="B286" i="4"/>
  <c r="C286" i="4"/>
  <c r="D286" i="4"/>
  <c r="B287" i="4"/>
  <c r="C287" i="4"/>
  <c r="D287" i="4"/>
  <c r="B288" i="4"/>
  <c r="C288" i="4"/>
  <c r="D288" i="4"/>
  <c r="B289" i="4"/>
  <c r="C289" i="4"/>
  <c r="D289" i="4"/>
  <c r="B290" i="4"/>
  <c r="C290" i="4"/>
  <c r="D290" i="4"/>
  <c r="B291" i="4"/>
  <c r="C291" i="4"/>
  <c r="D291" i="4"/>
  <c r="B292" i="4"/>
  <c r="C292" i="4"/>
  <c r="D292" i="4"/>
  <c r="B293" i="4"/>
  <c r="C293" i="4"/>
  <c r="D293" i="4"/>
  <c r="B294" i="4"/>
  <c r="C294" i="4"/>
  <c r="D294" i="4"/>
  <c r="B295" i="4"/>
  <c r="C295" i="4"/>
  <c r="D295" i="4"/>
  <c r="B296" i="4"/>
  <c r="C296" i="4"/>
  <c r="D296" i="4"/>
  <c r="B297" i="4"/>
  <c r="C297" i="4"/>
  <c r="D297" i="4"/>
  <c r="B298" i="4"/>
  <c r="C298" i="4"/>
  <c r="D298" i="4"/>
  <c r="B299" i="4"/>
  <c r="C299" i="4"/>
  <c r="D299" i="4"/>
  <c r="B300" i="4"/>
  <c r="C300" i="4"/>
  <c r="D300" i="4"/>
  <c r="B301" i="4"/>
  <c r="C301" i="4"/>
  <c r="D301" i="4"/>
  <c r="B302" i="4"/>
  <c r="C302" i="4"/>
  <c r="D302" i="4"/>
  <c r="B303" i="4"/>
  <c r="C303" i="4"/>
  <c r="D303" i="4"/>
  <c r="B304" i="4"/>
  <c r="C304" i="4"/>
  <c r="D304" i="4"/>
  <c r="B305" i="4"/>
  <c r="C305" i="4"/>
  <c r="D305" i="4"/>
  <c r="B306" i="4"/>
  <c r="C306" i="4"/>
  <c r="D306" i="4"/>
  <c r="B307" i="4"/>
  <c r="C307" i="4"/>
  <c r="D307" i="4"/>
  <c r="B308" i="4"/>
  <c r="C308" i="4"/>
  <c r="D308" i="4"/>
  <c r="B309" i="4"/>
  <c r="C309" i="4"/>
  <c r="D309" i="4"/>
  <c r="B310" i="4"/>
  <c r="C310" i="4"/>
  <c r="D310" i="4"/>
  <c r="B311" i="4"/>
  <c r="C311" i="4"/>
  <c r="D311" i="4"/>
  <c r="B312" i="4"/>
  <c r="C312" i="4"/>
  <c r="D312" i="4"/>
  <c r="B313" i="4"/>
  <c r="C313" i="4"/>
  <c r="D313" i="4"/>
  <c r="B314" i="4"/>
  <c r="C314" i="4"/>
  <c r="D314" i="4"/>
  <c r="B315" i="4"/>
  <c r="C315" i="4"/>
  <c r="D315" i="4"/>
  <c r="B316" i="4"/>
  <c r="C316" i="4"/>
  <c r="D316" i="4"/>
  <c r="B317" i="4"/>
  <c r="C317" i="4"/>
  <c r="D317" i="4"/>
  <c r="B318" i="4"/>
  <c r="C318" i="4"/>
  <c r="D318" i="4"/>
  <c r="B319" i="4"/>
  <c r="C319" i="4"/>
  <c r="D319" i="4"/>
  <c r="B320" i="4"/>
  <c r="C320" i="4"/>
  <c r="D320" i="4"/>
  <c r="B321" i="4"/>
  <c r="C321" i="4"/>
  <c r="D321" i="4"/>
  <c r="B322" i="4"/>
  <c r="C322" i="4"/>
  <c r="D322" i="4"/>
  <c r="B323" i="4"/>
  <c r="C323" i="4"/>
  <c r="D323" i="4"/>
  <c r="B324" i="4"/>
  <c r="C324" i="4"/>
  <c r="D324" i="4"/>
  <c r="B325" i="4"/>
  <c r="C325" i="4"/>
  <c r="D325" i="4"/>
  <c r="B326" i="4"/>
  <c r="C326" i="4"/>
  <c r="D326" i="4"/>
  <c r="B327" i="4"/>
  <c r="C327" i="4"/>
  <c r="D327" i="4"/>
  <c r="B328" i="4"/>
  <c r="C328" i="4"/>
  <c r="D328" i="4"/>
  <c r="B329" i="4"/>
  <c r="C329" i="4"/>
  <c r="D329" i="4"/>
  <c r="B330" i="4"/>
  <c r="C330" i="4"/>
  <c r="D330" i="4"/>
  <c r="B331" i="4"/>
  <c r="C331" i="4"/>
  <c r="D331" i="4"/>
  <c r="B332" i="4"/>
  <c r="C332" i="4"/>
  <c r="D332" i="4"/>
  <c r="B333" i="4"/>
  <c r="C333" i="4"/>
  <c r="D333" i="4"/>
  <c r="B334" i="4"/>
  <c r="C334" i="4"/>
  <c r="D334" i="4"/>
  <c r="B335" i="4"/>
  <c r="C335" i="4"/>
  <c r="D335" i="4"/>
  <c r="B336" i="4"/>
  <c r="C336" i="4"/>
  <c r="D336" i="4"/>
  <c r="B337" i="4"/>
  <c r="C337" i="4"/>
  <c r="D337" i="4"/>
  <c r="B338" i="4"/>
  <c r="C338" i="4"/>
  <c r="D338" i="4"/>
  <c r="B339" i="4"/>
  <c r="C339" i="4"/>
  <c r="D339" i="4"/>
  <c r="B340" i="4"/>
  <c r="C340" i="4"/>
  <c r="D340" i="4"/>
  <c r="B341" i="4"/>
  <c r="C341" i="4"/>
  <c r="D341" i="4"/>
  <c r="B342" i="4"/>
  <c r="C342" i="4"/>
  <c r="D342" i="4"/>
  <c r="B343" i="4"/>
  <c r="C343" i="4"/>
  <c r="D343" i="4"/>
  <c r="B344" i="4"/>
  <c r="C344" i="4"/>
  <c r="D344" i="4"/>
  <c r="B345" i="4"/>
  <c r="C345" i="4"/>
  <c r="D345" i="4"/>
  <c r="B346" i="4"/>
  <c r="C346" i="4"/>
  <c r="D346" i="4"/>
  <c r="B347" i="4"/>
  <c r="C347" i="4"/>
  <c r="D347" i="4"/>
  <c r="B348" i="4"/>
  <c r="C348" i="4"/>
  <c r="D348" i="4"/>
  <c r="B349" i="4"/>
  <c r="C349" i="4"/>
  <c r="D349" i="4"/>
  <c r="B350" i="4"/>
  <c r="C350" i="4"/>
  <c r="D350" i="4"/>
  <c r="B351" i="4"/>
  <c r="C351" i="4"/>
  <c r="D351" i="4"/>
  <c r="B352" i="4"/>
  <c r="C352" i="4"/>
  <c r="D352" i="4"/>
  <c r="B353" i="4"/>
  <c r="C353" i="4"/>
  <c r="D353" i="4"/>
  <c r="B354" i="4"/>
  <c r="C354" i="4"/>
  <c r="D354" i="4"/>
  <c r="B355" i="4"/>
  <c r="C355" i="4"/>
  <c r="D355" i="4"/>
  <c r="B356" i="4"/>
  <c r="C356" i="4"/>
  <c r="D356" i="4"/>
  <c r="B357" i="4"/>
  <c r="C357" i="4"/>
  <c r="D357" i="4"/>
  <c r="B358" i="4"/>
  <c r="C358" i="4"/>
  <c r="D358" i="4"/>
  <c r="B359" i="4"/>
  <c r="C359" i="4"/>
  <c r="D359" i="4"/>
  <c r="B360" i="4"/>
  <c r="C360" i="4"/>
  <c r="D360" i="4"/>
  <c r="B361" i="4"/>
  <c r="C361" i="4"/>
  <c r="D361" i="4"/>
  <c r="B362" i="4"/>
  <c r="C362" i="4"/>
  <c r="D362" i="4"/>
  <c r="B363" i="4"/>
  <c r="C363" i="4"/>
  <c r="D363" i="4"/>
  <c r="B364" i="4"/>
  <c r="C364" i="4"/>
  <c r="D364" i="4"/>
  <c r="B365" i="4"/>
  <c r="C365" i="4"/>
  <c r="D365" i="4"/>
  <c r="B366" i="4"/>
  <c r="C366" i="4"/>
  <c r="D366" i="4"/>
  <c r="B367" i="4"/>
  <c r="C367" i="4"/>
  <c r="D367" i="4"/>
  <c r="B368" i="4"/>
  <c r="C368" i="4"/>
  <c r="D368" i="4"/>
  <c r="B369" i="4"/>
  <c r="C369" i="4"/>
  <c r="D369" i="4"/>
  <c r="B370" i="4"/>
  <c r="C370" i="4"/>
  <c r="D370" i="4"/>
  <c r="B371" i="4"/>
  <c r="C371" i="4"/>
  <c r="D371" i="4"/>
  <c r="B372" i="4"/>
  <c r="C372" i="4"/>
  <c r="D372" i="4"/>
  <c r="B373" i="4"/>
  <c r="C373" i="4"/>
  <c r="D373" i="4"/>
  <c r="B374" i="4"/>
  <c r="C374" i="4"/>
  <c r="D374" i="4"/>
  <c r="B375" i="4"/>
  <c r="C375" i="4"/>
  <c r="D375" i="4"/>
  <c r="B376" i="4"/>
  <c r="C376" i="4"/>
  <c r="D376" i="4"/>
  <c r="B377" i="4"/>
  <c r="C377" i="4"/>
  <c r="D377" i="4"/>
  <c r="B378" i="4"/>
  <c r="C378" i="4"/>
  <c r="D378" i="4"/>
  <c r="B379" i="4"/>
  <c r="C379" i="4"/>
  <c r="D379" i="4"/>
  <c r="B380" i="4"/>
  <c r="C380" i="4"/>
  <c r="D380" i="4"/>
  <c r="B381" i="4"/>
  <c r="C381" i="4"/>
  <c r="D381" i="4"/>
  <c r="B382" i="4"/>
  <c r="C382" i="4"/>
  <c r="D382" i="4"/>
  <c r="B383" i="4"/>
  <c r="C383" i="4"/>
  <c r="D383" i="4"/>
  <c r="B384" i="4"/>
  <c r="C384" i="4"/>
  <c r="D384" i="4"/>
  <c r="B385" i="4"/>
  <c r="C385" i="4"/>
  <c r="D385" i="4"/>
  <c r="B386" i="4"/>
  <c r="C386" i="4"/>
  <c r="D386" i="4"/>
  <c r="B387" i="4"/>
  <c r="C387" i="4"/>
  <c r="D387" i="4"/>
  <c r="B388" i="4"/>
  <c r="C388" i="4"/>
  <c r="D388" i="4"/>
  <c r="B389" i="4"/>
  <c r="C389" i="4"/>
  <c r="D389" i="4"/>
  <c r="B390" i="4"/>
  <c r="C390" i="4"/>
  <c r="D390" i="4"/>
  <c r="B391" i="4"/>
  <c r="C391" i="4"/>
  <c r="D391" i="4"/>
  <c r="B392" i="4"/>
  <c r="C392" i="4"/>
  <c r="D392" i="4"/>
  <c r="B393" i="4"/>
  <c r="C393" i="4"/>
  <c r="D393" i="4"/>
  <c r="B394" i="4"/>
  <c r="C394" i="4"/>
  <c r="D394" i="4"/>
  <c r="B395" i="4"/>
  <c r="C395" i="4"/>
  <c r="D395" i="4"/>
  <c r="B396" i="4"/>
  <c r="C396" i="4"/>
  <c r="D396" i="4"/>
  <c r="B397" i="4"/>
  <c r="C397" i="4"/>
  <c r="D397" i="4"/>
  <c r="B398" i="4"/>
  <c r="C398" i="4"/>
  <c r="D398" i="4"/>
  <c r="B399" i="4"/>
  <c r="C399" i="4"/>
  <c r="D399" i="4"/>
  <c r="B400" i="4"/>
  <c r="C400" i="4"/>
  <c r="D400" i="4"/>
  <c r="B401" i="4"/>
  <c r="C401" i="4"/>
  <c r="D401" i="4"/>
  <c r="B402" i="4"/>
  <c r="C402" i="4"/>
  <c r="D402" i="4"/>
  <c r="B403" i="4"/>
  <c r="C403" i="4"/>
  <c r="D403" i="4"/>
  <c r="B404" i="4"/>
  <c r="C404" i="4"/>
  <c r="D404" i="4"/>
  <c r="B405" i="4"/>
  <c r="C405" i="4"/>
  <c r="D405" i="4"/>
  <c r="B406" i="4"/>
  <c r="C406" i="4"/>
  <c r="D406" i="4"/>
  <c r="B407" i="4"/>
  <c r="C407" i="4"/>
  <c r="D407" i="4"/>
  <c r="B408" i="4"/>
  <c r="C408" i="4"/>
  <c r="D408" i="4"/>
  <c r="B409" i="4"/>
  <c r="C409" i="4"/>
  <c r="D409" i="4"/>
  <c r="B410" i="4"/>
  <c r="C410" i="4"/>
  <c r="D410" i="4"/>
  <c r="B411" i="4"/>
  <c r="C411" i="4"/>
  <c r="D411" i="4"/>
  <c r="B412" i="4"/>
  <c r="C412" i="4"/>
  <c r="D412" i="4"/>
  <c r="B413" i="4"/>
  <c r="C413" i="4"/>
  <c r="D413" i="4"/>
  <c r="B414" i="4"/>
  <c r="C414" i="4"/>
  <c r="D414" i="4"/>
  <c r="B415" i="4"/>
  <c r="C415" i="4"/>
  <c r="D415" i="4"/>
  <c r="B416" i="4"/>
  <c r="C416" i="4"/>
  <c r="D416" i="4"/>
  <c r="B417" i="4"/>
  <c r="C417" i="4"/>
  <c r="D417" i="4"/>
  <c r="B418" i="4"/>
  <c r="C418" i="4"/>
  <c r="D418" i="4"/>
  <c r="B419" i="4"/>
  <c r="C419" i="4"/>
  <c r="D419" i="4"/>
  <c r="B420" i="4"/>
  <c r="C420" i="4"/>
  <c r="D420" i="4"/>
  <c r="B421" i="4"/>
  <c r="C421" i="4"/>
  <c r="D421" i="4"/>
  <c r="B422" i="4"/>
  <c r="C422" i="4"/>
  <c r="D422" i="4"/>
  <c r="B423" i="4"/>
  <c r="C423" i="4"/>
  <c r="D423" i="4"/>
  <c r="B424" i="4"/>
  <c r="C424" i="4"/>
  <c r="D424" i="4"/>
  <c r="B425" i="4"/>
  <c r="C425" i="4"/>
  <c r="D425" i="4"/>
  <c r="B426" i="4"/>
  <c r="C426" i="4"/>
  <c r="D426" i="4"/>
  <c r="B427" i="4"/>
  <c r="C427" i="4"/>
  <c r="D427" i="4"/>
  <c r="B428" i="4"/>
  <c r="C428" i="4"/>
  <c r="D428" i="4"/>
  <c r="B429" i="4"/>
  <c r="C429" i="4"/>
  <c r="D429" i="4"/>
  <c r="B430" i="4"/>
  <c r="C430" i="4"/>
  <c r="D430" i="4"/>
  <c r="B431" i="4"/>
  <c r="C431" i="4"/>
  <c r="D431" i="4"/>
  <c r="B432" i="4"/>
  <c r="C432" i="4"/>
  <c r="D432" i="4"/>
  <c r="B433" i="4"/>
  <c r="C433" i="4"/>
  <c r="D433" i="4"/>
  <c r="B434" i="4"/>
  <c r="C434" i="4"/>
  <c r="D434" i="4"/>
  <c r="B435" i="4"/>
  <c r="C435" i="4"/>
  <c r="D435" i="4"/>
  <c r="B436" i="4"/>
  <c r="C436" i="4"/>
  <c r="D436" i="4"/>
  <c r="B437" i="4"/>
  <c r="C437" i="4"/>
  <c r="D437" i="4"/>
  <c r="B438" i="4"/>
  <c r="C438" i="4"/>
  <c r="D438" i="4"/>
  <c r="B439" i="4"/>
  <c r="C439" i="4"/>
  <c r="D439" i="4"/>
  <c r="B440" i="4"/>
  <c r="C440" i="4"/>
  <c r="D440" i="4"/>
  <c r="B441" i="4"/>
  <c r="C441" i="4"/>
  <c r="D441" i="4"/>
  <c r="B442" i="4"/>
  <c r="C442" i="4"/>
  <c r="D442" i="4"/>
  <c r="B443" i="4"/>
  <c r="C443" i="4"/>
  <c r="D443" i="4"/>
  <c r="B444" i="4"/>
  <c r="C444" i="4"/>
  <c r="D444" i="4"/>
  <c r="B445" i="4"/>
  <c r="C445" i="4"/>
  <c r="D445" i="4"/>
  <c r="B446" i="4"/>
  <c r="C446" i="4"/>
  <c r="D446" i="4"/>
  <c r="B447" i="4"/>
  <c r="C447" i="4"/>
  <c r="D447" i="4"/>
  <c r="B448" i="4"/>
  <c r="C448" i="4"/>
  <c r="D448" i="4"/>
  <c r="B449" i="4"/>
  <c r="C449" i="4"/>
  <c r="D449" i="4"/>
  <c r="B450" i="4"/>
  <c r="C450" i="4"/>
  <c r="D450" i="4"/>
  <c r="B451" i="4"/>
  <c r="C451" i="4"/>
  <c r="D451" i="4"/>
  <c r="B452" i="4"/>
  <c r="C452" i="4"/>
  <c r="D452" i="4"/>
  <c r="B453" i="4"/>
  <c r="C453" i="4"/>
  <c r="D453" i="4"/>
  <c r="B454" i="4"/>
  <c r="C454" i="4"/>
  <c r="D454" i="4"/>
  <c r="B455" i="4"/>
  <c r="C455" i="4"/>
  <c r="D455" i="4"/>
  <c r="B456" i="4"/>
  <c r="C456" i="4"/>
  <c r="D456" i="4"/>
  <c r="B457" i="4"/>
  <c r="C457" i="4"/>
  <c r="D457" i="4"/>
  <c r="B458" i="4"/>
  <c r="C458" i="4"/>
  <c r="D458" i="4"/>
  <c r="B459" i="4"/>
  <c r="C459" i="4"/>
  <c r="D459" i="4"/>
  <c r="B460" i="4"/>
  <c r="C460" i="4"/>
  <c r="D460" i="4"/>
  <c r="B461" i="4"/>
  <c r="C461" i="4"/>
  <c r="D461" i="4"/>
  <c r="B462" i="4"/>
  <c r="C462" i="4"/>
  <c r="D462" i="4"/>
  <c r="B463" i="4"/>
  <c r="C463" i="4"/>
  <c r="D463" i="4"/>
  <c r="B464" i="4"/>
  <c r="C464" i="4"/>
  <c r="D464" i="4"/>
  <c r="B465" i="4"/>
  <c r="C465" i="4"/>
  <c r="D465" i="4"/>
  <c r="B466" i="4"/>
  <c r="C466" i="4"/>
  <c r="D466" i="4"/>
  <c r="B467" i="4"/>
  <c r="C467" i="4"/>
  <c r="D467" i="4"/>
  <c r="B468" i="4"/>
  <c r="C468" i="4"/>
  <c r="D468" i="4"/>
  <c r="B469" i="4"/>
  <c r="C469" i="4"/>
  <c r="D469" i="4"/>
  <c r="B470" i="4"/>
  <c r="C470" i="4"/>
  <c r="D470" i="4"/>
  <c r="B471" i="4"/>
  <c r="C471" i="4"/>
  <c r="D471" i="4"/>
  <c r="B472" i="4"/>
  <c r="C472" i="4"/>
  <c r="D472" i="4"/>
  <c r="B473" i="4"/>
  <c r="C473" i="4"/>
  <c r="D473" i="4"/>
  <c r="B474" i="4"/>
  <c r="C474" i="4"/>
  <c r="D474" i="4"/>
  <c r="B475" i="4"/>
  <c r="C475" i="4"/>
  <c r="D475" i="4"/>
  <c r="B476" i="4"/>
  <c r="C476" i="4"/>
  <c r="D476" i="4"/>
  <c r="B477" i="4"/>
  <c r="C477" i="4"/>
  <c r="D477" i="4"/>
  <c r="B478" i="4"/>
  <c r="C478" i="4"/>
  <c r="D478" i="4"/>
  <c r="B479" i="4"/>
  <c r="C479" i="4"/>
  <c r="D479" i="4"/>
  <c r="B480" i="4"/>
  <c r="C480" i="4"/>
  <c r="D480" i="4"/>
  <c r="B481" i="4"/>
  <c r="C481" i="4"/>
  <c r="D481" i="4"/>
  <c r="B482" i="4"/>
  <c r="C482" i="4"/>
  <c r="D482" i="4"/>
  <c r="B483" i="4"/>
  <c r="C483" i="4"/>
  <c r="D483" i="4"/>
  <c r="B484" i="4"/>
  <c r="C484" i="4"/>
  <c r="D484" i="4"/>
  <c r="B485" i="4"/>
  <c r="C485" i="4"/>
  <c r="D485" i="4"/>
  <c r="B486" i="4"/>
  <c r="C486" i="4"/>
  <c r="D486" i="4"/>
  <c r="B487" i="4"/>
  <c r="C487" i="4"/>
  <c r="D487" i="4"/>
  <c r="B488" i="4"/>
  <c r="C488" i="4"/>
  <c r="D488" i="4"/>
  <c r="B489" i="4"/>
  <c r="C489" i="4"/>
  <c r="D489" i="4"/>
  <c r="B490" i="4"/>
  <c r="C490" i="4"/>
  <c r="D490" i="4"/>
  <c r="B491" i="4"/>
  <c r="C491" i="4"/>
  <c r="D491" i="4"/>
  <c r="B492" i="4"/>
  <c r="C492" i="4"/>
  <c r="D492" i="4"/>
  <c r="B493" i="4"/>
  <c r="C493" i="4"/>
  <c r="D493" i="4"/>
  <c r="B494" i="4"/>
  <c r="C494" i="4"/>
  <c r="D494" i="4"/>
  <c r="B495" i="4"/>
  <c r="C495" i="4"/>
  <c r="D495" i="4"/>
  <c r="B496" i="4"/>
  <c r="C496" i="4"/>
  <c r="D496" i="4"/>
  <c r="B497" i="4"/>
  <c r="C497" i="4"/>
  <c r="D497" i="4"/>
  <c r="B498" i="4"/>
  <c r="C498" i="4"/>
  <c r="D498" i="4"/>
  <c r="B499" i="4"/>
  <c r="C499" i="4"/>
  <c r="D499" i="4"/>
  <c r="B500" i="4"/>
  <c r="C500" i="4"/>
  <c r="D500" i="4"/>
  <c r="B501" i="4"/>
  <c r="C501" i="4"/>
  <c r="D501" i="4"/>
  <c r="B502" i="4"/>
  <c r="C502" i="4"/>
  <c r="D502" i="4"/>
  <c r="B503" i="4"/>
  <c r="C503" i="4"/>
  <c r="D503" i="4"/>
  <c r="B504" i="4"/>
  <c r="C504" i="4"/>
  <c r="D504" i="4"/>
  <c r="B505" i="4"/>
  <c r="C505" i="4"/>
  <c r="D505" i="4"/>
  <c r="B506" i="4"/>
  <c r="C506" i="4"/>
  <c r="D506" i="4"/>
  <c r="B507" i="4"/>
  <c r="C507" i="4"/>
  <c r="D507" i="4"/>
  <c r="B508" i="4"/>
  <c r="C508" i="4"/>
  <c r="D508" i="4"/>
  <c r="B509" i="4"/>
  <c r="C509" i="4"/>
  <c r="D509" i="4"/>
  <c r="B510" i="4"/>
  <c r="C510" i="4"/>
  <c r="D510" i="4"/>
  <c r="B511" i="4"/>
  <c r="C511" i="4"/>
  <c r="D511" i="4"/>
  <c r="B512" i="4"/>
  <c r="C512" i="4"/>
  <c r="D512" i="4"/>
  <c r="B513" i="4"/>
  <c r="C513" i="4"/>
  <c r="D513" i="4"/>
  <c r="B514" i="4"/>
  <c r="C514" i="4"/>
  <c r="D514" i="4"/>
  <c r="B515" i="4"/>
  <c r="C515" i="4"/>
  <c r="D515" i="4"/>
  <c r="B516" i="4"/>
  <c r="C516" i="4"/>
  <c r="D516" i="4"/>
  <c r="B517" i="4"/>
  <c r="C517" i="4"/>
  <c r="D517" i="4"/>
  <c r="B518" i="4"/>
  <c r="C518" i="4"/>
  <c r="D518" i="4"/>
  <c r="B519" i="4"/>
  <c r="C519" i="4"/>
  <c r="D519" i="4"/>
  <c r="B520" i="4"/>
  <c r="C520" i="4"/>
  <c r="D520" i="4"/>
  <c r="B521" i="4"/>
  <c r="C521" i="4"/>
  <c r="D521" i="4"/>
  <c r="B522" i="4"/>
  <c r="C522" i="4"/>
  <c r="D522" i="4"/>
  <c r="B523" i="4"/>
  <c r="C523" i="4"/>
  <c r="D523" i="4"/>
  <c r="B524" i="4"/>
  <c r="C524" i="4"/>
  <c r="D524" i="4"/>
  <c r="B525" i="4"/>
  <c r="C525" i="4"/>
  <c r="D525" i="4"/>
  <c r="B526" i="4"/>
  <c r="C526" i="4"/>
  <c r="D526" i="4"/>
  <c r="B527" i="4"/>
  <c r="C527" i="4"/>
  <c r="D527" i="4"/>
  <c r="B528" i="4"/>
  <c r="C528" i="4"/>
  <c r="D528" i="4"/>
  <c r="B529" i="4"/>
  <c r="C529" i="4"/>
  <c r="D529" i="4"/>
  <c r="B530" i="4"/>
  <c r="C530" i="4"/>
  <c r="D530" i="4"/>
  <c r="B531" i="4"/>
  <c r="C531" i="4"/>
  <c r="D531" i="4"/>
  <c r="B532" i="4"/>
  <c r="C532" i="4"/>
  <c r="D532" i="4"/>
  <c r="B533" i="4"/>
  <c r="C533" i="4"/>
  <c r="D533" i="4"/>
  <c r="B534" i="4"/>
  <c r="C534" i="4"/>
  <c r="D534" i="4"/>
  <c r="B535" i="4"/>
  <c r="C535" i="4"/>
  <c r="D535" i="4"/>
  <c r="B536" i="4"/>
  <c r="C536" i="4"/>
  <c r="D536" i="4"/>
  <c r="B537" i="4"/>
  <c r="C537" i="4"/>
  <c r="D537" i="4"/>
  <c r="B538" i="4"/>
  <c r="C538" i="4"/>
  <c r="D538" i="4"/>
  <c r="B539" i="4"/>
  <c r="C539" i="4"/>
  <c r="D539" i="4"/>
  <c r="B540" i="4"/>
  <c r="C540" i="4"/>
  <c r="D540" i="4"/>
  <c r="B541" i="4"/>
  <c r="C541" i="4"/>
  <c r="D541" i="4"/>
  <c r="B542" i="4"/>
  <c r="C542" i="4"/>
  <c r="D542" i="4"/>
  <c r="B543" i="4"/>
  <c r="C543" i="4"/>
  <c r="D543" i="4"/>
  <c r="B544" i="4"/>
  <c r="C544" i="4"/>
  <c r="D544" i="4"/>
  <c r="B545" i="4"/>
  <c r="C545" i="4"/>
  <c r="D545" i="4"/>
  <c r="B546" i="4"/>
  <c r="C546" i="4"/>
  <c r="D546" i="4"/>
  <c r="B547" i="4"/>
  <c r="C547" i="4"/>
  <c r="D547" i="4"/>
  <c r="B548" i="4"/>
  <c r="C548" i="4"/>
  <c r="D548" i="4"/>
  <c r="B549" i="4"/>
  <c r="C549" i="4"/>
  <c r="D549" i="4"/>
  <c r="B550" i="4"/>
  <c r="C550" i="4"/>
  <c r="D550" i="4"/>
  <c r="B551" i="4"/>
  <c r="C551" i="4"/>
  <c r="D551" i="4"/>
  <c r="B552" i="4"/>
  <c r="C552" i="4"/>
  <c r="D552" i="4"/>
  <c r="B553" i="4"/>
  <c r="C553" i="4"/>
  <c r="D553" i="4"/>
  <c r="B554" i="4"/>
  <c r="C554" i="4"/>
  <c r="D554" i="4"/>
  <c r="B555" i="4"/>
  <c r="C555" i="4"/>
  <c r="D555" i="4"/>
  <c r="B556" i="4"/>
  <c r="C556" i="4"/>
  <c r="D556" i="4"/>
  <c r="B557" i="4"/>
  <c r="C557" i="4"/>
  <c r="D557" i="4"/>
  <c r="B558" i="4"/>
  <c r="C558" i="4"/>
  <c r="D558" i="4"/>
  <c r="B559" i="4"/>
  <c r="C559" i="4"/>
  <c r="D559" i="4"/>
  <c r="B560" i="4"/>
  <c r="C560" i="4"/>
  <c r="D560" i="4"/>
  <c r="B561" i="4"/>
  <c r="C561" i="4"/>
  <c r="D561" i="4"/>
  <c r="B562" i="4"/>
  <c r="C562" i="4"/>
  <c r="D562" i="4"/>
  <c r="B563" i="4"/>
  <c r="C563" i="4"/>
  <c r="D563" i="4"/>
  <c r="B564" i="4"/>
  <c r="C564" i="4"/>
  <c r="D564" i="4"/>
  <c r="B565" i="4"/>
  <c r="C565" i="4"/>
  <c r="D565" i="4"/>
  <c r="B566" i="4"/>
  <c r="C566" i="4"/>
  <c r="D566" i="4"/>
  <c r="B567" i="4"/>
  <c r="C567" i="4"/>
  <c r="D567" i="4"/>
  <c r="B568" i="4"/>
  <c r="C568" i="4"/>
  <c r="D568" i="4"/>
  <c r="B569" i="4"/>
  <c r="C569" i="4"/>
  <c r="D569" i="4"/>
  <c r="B570" i="4"/>
  <c r="C570" i="4"/>
  <c r="D570" i="4"/>
  <c r="B571" i="4"/>
  <c r="C571" i="4"/>
  <c r="D571" i="4"/>
  <c r="B572" i="4"/>
  <c r="C572" i="4"/>
  <c r="D572" i="4"/>
  <c r="B573" i="4"/>
  <c r="C573" i="4"/>
  <c r="D573" i="4"/>
  <c r="B574" i="4"/>
  <c r="C574" i="4"/>
  <c r="D574" i="4"/>
  <c r="B575" i="4"/>
  <c r="C575" i="4"/>
  <c r="D575" i="4"/>
  <c r="B576" i="4"/>
  <c r="C576" i="4"/>
  <c r="D576" i="4"/>
  <c r="B577" i="4"/>
  <c r="C577" i="4"/>
  <c r="D577" i="4"/>
  <c r="B578" i="4"/>
  <c r="C578" i="4"/>
  <c r="D578" i="4"/>
  <c r="B579" i="4"/>
  <c r="C579" i="4"/>
  <c r="D579" i="4"/>
  <c r="B580" i="4"/>
  <c r="C580" i="4"/>
  <c r="D580" i="4"/>
  <c r="B581" i="4"/>
  <c r="C581" i="4"/>
  <c r="D581" i="4"/>
  <c r="B582" i="4"/>
  <c r="C582" i="4"/>
  <c r="D582" i="4"/>
  <c r="B583" i="4"/>
  <c r="C583" i="4"/>
  <c r="D583" i="4"/>
  <c r="B584" i="4"/>
  <c r="C584" i="4"/>
  <c r="D584" i="4"/>
  <c r="B585" i="4"/>
  <c r="C585" i="4"/>
  <c r="D585" i="4"/>
  <c r="B586" i="4"/>
  <c r="C586" i="4"/>
  <c r="D586" i="4"/>
  <c r="B587" i="4"/>
  <c r="C587" i="4"/>
  <c r="D587" i="4"/>
  <c r="B588" i="4"/>
  <c r="C588" i="4"/>
  <c r="D588" i="4"/>
  <c r="B589" i="4"/>
  <c r="C589" i="4"/>
  <c r="D589" i="4"/>
  <c r="B590" i="4"/>
  <c r="C590" i="4"/>
  <c r="D590" i="4"/>
  <c r="B591" i="4"/>
  <c r="C591" i="4"/>
  <c r="D591" i="4"/>
  <c r="B592" i="4"/>
  <c r="C592" i="4"/>
  <c r="D592" i="4"/>
  <c r="B593" i="4"/>
  <c r="C593" i="4"/>
  <c r="D593" i="4"/>
  <c r="B594" i="4"/>
  <c r="C594" i="4"/>
  <c r="D594" i="4"/>
  <c r="B595" i="4"/>
  <c r="C595" i="4"/>
  <c r="D595" i="4"/>
  <c r="B596" i="4"/>
  <c r="C596" i="4"/>
  <c r="D596" i="4"/>
  <c r="B597" i="4"/>
  <c r="C597" i="4"/>
  <c r="D597" i="4"/>
  <c r="B598" i="4"/>
  <c r="C598" i="4"/>
  <c r="D598" i="4"/>
  <c r="B599" i="4"/>
  <c r="C599" i="4"/>
  <c r="D599" i="4"/>
  <c r="B600" i="4"/>
  <c r="C600" i="4"/>
  <c r="D600" i="4"/>
  <c r="B601" i="4"/>
  <c r="C601" i="4"/>
  <c r="D601" i="4"/>
  <c r="B602" i="4"/>
  <c r="C602" i="4"/>
  <c r="D602" i="4"/>
  <c r="B603" i="4"/>
  <c r="C603" i="4"/>
  <c r="D603" i="4"/>
  <c r="B604" i="4"/>
  <c r="C604" i="4"/>
  <c r="D604" i="4"/>
  <c r="B605" i="4"/>
  <c r="C605" i="4"/>
  <c r="D605" i="4"/>
  <c r="B606" i="4"/>
  <c r="C606" i="4"/>
  <c r="D606" i="4"/>
  <c r="B607" i="4"/>
  <c r="C607" i="4"/>
  <c r="D607" i="4"/>
  <c r="B608" i="4"/>
  <c r="C608" i="4"/>
  <c r="D608" i="4"/>
  <c r="B609" i="4"/>
  <c r="C609" i="4"/>
  <c r="D609" i="4"/>
  <c r="B610" i="4"/>
  <c r="C610" i="4"/>
  <c r="D610" i="4"/>
  <c r="B611" i="4"/>
  <c r="C611" i="4"/>
  <c r="D611" i="4"/>
  <c r="B612" i="4"/>
  <c r="C612" i="4"/>
  <c r="D612" i="4"/>
  <c r="B613" i="4"/>
  <c r="C613" i="4"/>
  <c r="D613" i="4"/>
  <c r="B614" i="4"/>
  <c r="C614" i="4"/>
  <c r="D614" i="4"/>
  <c r="B615" i="4"/>
  <c r="C615" i="4"/>
  <c r="D615" i="4"/>
  <c r="B616" i="4"/>
  <c r="C616" i="4"/>
  <c r="D616" i="4"/>
  <c r="B617" i="4"/>
  <c r="C617" i="4"/>
  <c r="D617" i="4"/>
  <c r="B618" i="4"/>
  <c r="C618" i="4"/>
  <c r="D618" i="4"/>
  <c r="B619" i="4"/>
  <c r="C619" i="4"/>
  <c r="D619" i="4"/>
  <c r="B620" i="4"/>
  <c r="C620" i="4"/>
  <c r="D620" i="4"/>
  <c r="B621" i="4"/>
  <c r="C621" i="4"/>
  <c r="D621" i="4"/>
  <c r="B622" i="4"/>
  <c r="C622" i="4"/>
  <c r="D622" i="4"/>
  <c r="B623" i="4"/>
  <c r="C623" i="4"/>
  <c r="D623" i="4"/>
  <c r="B624" i="4"/>
  <c r="C624" i="4"/>
  <c r="D624" i="4"/>
  <c r="B625" i="4"/>
  <c r="C625" i="4"/>
  <c r="D625" i="4"/>
  <c r="B626" i="4"/>
  <c r="C626" i="4"/>
  <c r="D626" i="4"/>
  <c r="B627" i="4"/>
  <c r="C627" i="4"/>
  <c r="D627" i="4"/>
  <c r="B628" i="4"/>
  <c r="C628" i="4"/>
  <c r="D628" i="4"/>
  <c r="B629" i="4"/>
  <c r="C629" i="4"/>
  <c r="D629" i="4"/>
  <c r="B630" i="4"/>
  <c r="C630" i="4"/>
  <c r="D630" i="4"/>
  <c r="B631" i="4"/>
  <c r="C631" i="4"/>
  <c r="D631" i="4"/>
  <c r="B632" i="4"/>
  <c r="C632" i="4"/>
  <c r="D632" i="4"/>
  <c r="B633" i="4"/>
  <c r="C633" i="4"/>
  <c r="D633" i="4"/>
  <c r="B634" i="4"/>
  <c r="C634" i="4"/>
  <c r="D634" i="4"/>
  <c r="B635" i="4"/>
  <c r="C635" i="4"/>
  <c r="D635" i="4"/>
  <c r="B636" i="4"/>
  <c r="C636" i="4"/>
  <c r="D636" i="4"/>
  <c r="B637" i="4"/>
  <c r="C637" i="4"/>
  <c r="D637" i="4"/>
  <c r="B638" i="4"/>
  <c r="C638" i="4"/>
  <c r="D638" i="4"/>
  <c r="B639" i="4"/>
  <c r="C639" i="4"/>
  <c r="D639" i="4"/>
  <c r="B640" i="4"/>
  <c r="C640" i="4"/>
  <c r="D640" i="4"/>
  <c r="B641" i="4"/>
  <c r="C641" i="4"/>
  <c r="D641" i="4"/>
  <c r="B642" i="4"/>
  <c r="C642" i="4"/>
  <c r="D642" i="4"/>
  <c r="B643" i="4"/>
  <c r="C643" i="4"/>
  <c r="D643" i="4"/>
  <c r="B644" i="4"/>
  <c r="C644" i="4"/>
  <c r="D644" i="4"/>
  <c r="B645" i="4"/>
  <c r="C645" i="4"/>
  <c r="D645" i="4"/>
  <c r="B646" i="4"/>
  <c r="C646" i="4"/>
  <c r="D646" i="4"/>
  <c r="B647" i="4"/>
  <c r="C647" i="4"/>
  <c r="D647" i="4"/>
  <c r="B648" i="4"/>
  <c r="C648" i="4"/>
  <c r="D648" i="4"/>
  <c r="B649" i="4"/>
  <c r="C649" i="4"/>
  <c r="D649" i="4"/>
  <c r="B650" i="4"/>
  <c r="C650" i="4"/>
  <c r="D650" i="4"/>
  <c r="B651" i="4"/>
  <c r="C651" i="4"/>
  <c r="D651" i="4"/>
  <c r="B652" i="4"/>
  <c r="C652" i="4"/>
  <c r="D652" i="4"/>
  <c r="B653" i="4"/>
  <c r="C653" i="4"/>
  <c r="D653" i="4"/>
  <c r="B654" i="4"/>
  <c r="C654" i="4"/>
  <c r="D654" i="4"/>
  <c r="B655" i="4"/>
  <c r="C655" i="4"/>
  <c r="D655" i="4"/>
  <c r="B656" i="4"/>
  <c r="C656" i="4"/>
  <c r="D656" i="4"/>
  <c r="B657" i="4"/>
  <c r="C657" i="4"/>
  <c r="D657" i="4"/>
  <c r="B658" i="4"/>
  <c r="C658" i="4"/>
  <c r="D658" i="4"/>
  <c r="B659" i="4"/>
  <c r="C659" i="4"/>
  <c r="D659" i="4"/>
  <c r="B660" i="4"/>
  <c r="C660" i="4"/>
  <c r="D660" i="4"/>
  <c r="B661" i="4"/>
  <c r="C661" i="4"/>
  <c r="D661" i="4"/>
  <c r="B662" i="4"/>
  <c r="C662" i="4"/>
  <c r="D662" i="4"/>
  <c r="B663" i="4"/>
  <c r="C663" i="4"/>
  <c r="D663" i="4"/>
  <c r="B664" i="4"/>
  <c r="C664" i="4"/>
  <c r="D664" i="4"/>
  <c r="B665" i="4"/>
  <c r="C665" i="4"/>
  <c r="D665" i="4"/>
  <c r="B666" i="4"/>
  <c r="C666" i="4"/>
  <c r="D666" i="4"/>
  <c r="B667" i="4"/>
  <c r="C667" i="4"/>
  <c r="D667" i="4"/>
  <c r="B668" i="4"/>
  <c r="C668" i="4"/>
  <c r="D668" i="4"/>
  <c r="B669" i="4"/>
  <c r="C669" i="4"/>
  <c r="D669" i="4"/>
  <c r="B670" i="4"/>
  <c r="C670" i="4"/>
  <c r="D670" i="4"/>
  <c r="B671" i="4"/>
  <c r="C671" i="4"/>
  <c r="D671" i="4"/>
  <c r="B672" i="4"/>
  <c r="C672" i="4"/>
  <c r="D672" i="4"/>
  <c r="B673" i="4"/>
  <c r="C673" i="4"/>
  <c r="D673" i="4"/>
  <c r="B674" i="4"/>
  <c r="C674" i="4"/>
  <c r="D674" i="4"/>
  <c r="B675" i="4"/>
  <c r="C675" i="4"/>
  <c r="D675" i="4"/>
  <c r="B676" i="4"/>
  <c r="C676" i="4"/>
  <c r="D676" i="4"/>
  <c r="B677" i="4"/>
  <c r="C677" i="4"/>
  <c r="D677" i="4"/>
  <c r="B678" i="4"/>
  <c r="C678" i="4"/>
  <c r="D678" i="4"/>
  <c r="B679" i="4"/>
  <c r="C679" i="4"/>
  <c r="D679" i="4"/>
  <c r="B680" i="4"/>
  <c r="C680" i="4"/>
  <c r="D680" i="4"/>
  <c r="B681" i="4"/>
  <c r="C681" i="4"/>
  <c r="D681" i="4"/>
  <c r="B682" i="4"/>
  <c r="C682" i="4"/>
  <c r="D682" i="4"/>
  <c r="B683" i="4"/>
  <c r="C683" i="4"/>
  <c r="D683" i="4"/>
  <c r="B684" i="4"/>
  <c r="C684" i="4"/>
  <c r="D684" i="4"/>
  <c r="B685" i="4"/>
  <c r="C685" i="4"/>
  <c r="D685" i="4"/>
  <c r="B686" i="4"/>
  <c r="C686" i="4"/>
  <c r="D686" i="4"/>
  <c r="B687" i="4"/>
  <c r="C687" i="4"/>
  <c r="D687" i="4"/>
  <c r="B688" i="4"/>
  <c r="C688" i="4"/>
  <c r="D688" i="4"/>
  <c r="B689" i="4"/>
  <c r="C689" i="4"/>
  <c r="D689" i="4"/>
  <c r="B690" i="4"/>
  <c r="C690" i="4"/>
  <c r="D690" i="4"/>
  <c r="B691" i="4"/>
  <c r="C691" i="4"/>
  <c r="D691" i="4"/>
  <c r="B692" i="4"/>
  <c r="C692" i="4"/>
  <c r="D692" i="4"/>
  <c r="B693" i="4"/>
  <c r="C693" i="4"/>
  <c r="D693" i="4"/>
  <c r="B694" i="4"/>
  <c r="C694" i="4"/>
  <c r="D694" i="4"/>
  <c r="B695" i="4"/>
  <c r="C695" i="4"/>
  <c r="D695" i="4"/>
  <c r="B696" i="4"/>
  <c r="C696" i="4"/>
  <c r="D696" i="4"/>
  <c r="B697" i="4"/>
  <c r="C697" i="4"/>
  <c r="D697" i="4"/>
  <c r="B698" i="4"/>
  <c r="C698" i="4"/>
  <c r="D698" i="4"/>
  <c r="B699" i="4"/>
  <c r="C699" i="4"/>
  <c r="D699" i="4"/>
  <c r="B700" i="4"/>
  <c r="C700" i="4"/>
  <c r="D700" i="4"/>
  <c r="B701" i="4"/>
  <c r="C701" i="4"/>
  <c r="D701" i="4"/>
  <c r="B702" i="4"/>
  <c r="C702" i="4"/>
  <c r="D702" i="4"/>
  <c r="B703" i="4"/>
  <c r="C703" i="4"/>
  <c r="D703" i="4"/>
  <c r="B704" i="4"/>
  <c r="C704" i="4"/>
  <c r="D704" i="4"/>
  <c r="B705" i="4"/>
  <c r="C705" i="4"/>
  <c r="D705" i="4"/>
  <c r="B706" i="4"/>
  <c r="C706" i="4"/>
  <c r="D706" i="4"/>
  <c r="B707" i="4"/>
  <c r="C707" i="4"/>
  <c r="D707" i="4"/>
  <c r="B708" i="4"/>
  <c r="C708" i="4"/>
  <c r="D708" i="4"/>
  <c r="B709" i="4"/>
  <c r="C709" i="4"/>
  <c r="D709" i="4"/>
  <c r="B710" i="4"/>
  <c r="C710" i="4"/>
  <c r="D710" i="4"/>
  <c r="B711" i="4"/>
  <c r="C711" i="4"/>
  <c r="D711" i="4"/>
  <c r="B712" i="4"/>
  <c r="C712" i="4"/>
  <c r="D712" i="4"/>
  <c r="B713" i="4"/>
  <c r="C713" i="4"/>
  <c r="D713" i="4"/>
  <c r="B714" i="4"/>
  <c r="C714" i="4"/>
  <c r="D714" i="4"/>
  <c r="B715" i="4"/>
  <c r="C715" i="4"/>
  <c r="D715" i="4"/>
  <c r="B716" i="4"/>
  <c r="C716" i="4"/>
  <c r="D716" i="4"/>
  <c r="B717" i="4"/>
  <c r="C717" i="4"/>
  <c r="D717" i="4"/>
  <c r="B718" i="4"/>
  <c r="C718" i="4"/>
  <c r="D718" i="4"/>
  <c r="B719" i="4"/>
  <c r="C719" i="4"/>
  <c r="D719" i="4"/>
  <c r="B720" i="4"/>
  <c r="C720" i="4"/>
  <c r="D720" i="4"/>
  <c r="B721" i="4"/>
  <c r="C721" i="4"/>
  <c r="D721" i="4"/>
  <c r="B722" i="4"/>
  <c r="C722" i="4"/>
  <c r="D722" i="4"/>
  <c r="B723" i="4"/>
  <c r="C723" i="4"/>
  <c r="D723" i="4"/>
  <c r="B724" i="4"/>
  <c r="C724" i="4"/>
  <c r="D724" i="4"/>
  <c r="B725" i="4"/>
  <c r="C725" i="4"/>
  <c r="D725" i="4"/>
  <c r="B726" i="4"/>
  <c r="C726" i="4"/>
  <c r="D726" i="4"/>
  <c r="B727" i="4"/>
  <c r="C727" i="4"/>
  <c r="D727" i="4"/>
  <c r="B728" i="4"/>
  <c r="C728" i="4"/>
  <c r="D728" i="4"/>
  <c r="B729" i="4"/>
  <c r="C729" i="4"/>
  <c r="D729" i="4"/>
  <c r="B730" i="4"/>
  <c r="C730" i="4"/>
  <c r="D730" i="4"/>
  <c r="B731" i="4"/>
  <c r="C731" i="4"/>
  <c r="D731" i="4"/>
  <c r="B732" i="4"/>
  <c r="C732" i="4"/>
  <c r="D732" i="4"/>
  <c r="B733" i="4"/>
  <c r="C733" i="4"/>
  <c r="D733" i="4"/>
  <c r="B734" i="4"/>
  <c r="C734" i="4"/>
  <c r="D734" i="4"/>
  <c r="B735" i="4"/>
  <c r="C735" i="4"/>
  <c r="D735" i="4"/>
  <c r="B736" i="4"/>
  <c r="C736" i="4"/>
  <c r="D736" i="4"/>
  <c r="B737" i="4"/>
  <c r="C737" i="4"/>
  <c r="D737" i="4"/>
  <c r="B738" i="4"/>
  <c r="C738" i="4"/>
  <c r="D738" i="4"/>
  <c r="B739" i="4"/>
  <c r="C739" i="4"/>
  <c r="D739" i="4"/>
  <c r="B740" i="4"/>
  <c r="C740" i="4"/>
  <c r="D740" i="4"/>
  <c r="B741" i="4"/>
  <c r="C741" i="4"/>
  <c r="D741" i="4"/>
  <c r="B742" i="4"/>
  <c r="C742" i="4"/>
  <c r="D742" i="4"/>
  <c r="B743" i="4"/>
  <c r="C743" i="4"/>
  <c r="D743" i="4"/>
  <c r="B744" i="4"/>
  <c r="C744" i="4"/>
  <c r="D744" i="4"/>
  <c r="B745" i="4"/>
  <c r="C745" i="4"/>
  <c r="D745" i="4"/>
  <c r="B746" i="4"/>
  <c r="C746" i="4"/>
  <c r="D746" i="4"/>
  <c r="B747" i="4"/>
  <c r="C747" i="4"/>
  <c r="D747" i="4"/>
  <c r="B748" i="4"/>
  <c r="C748" i="4"/>
  <c r="D748" i="4"/>
  <c r="B749" i="4"/>
  <c r="C749" i="4"/>
  <c r="D749" i="4"/>
  <c r="B750" i="4"/>
  <c r="C750" i="4"/>
  <c r="D750" i="4"/>
  <c r="B751" i="4"/>
  <c r="C751" i="4"/>
  <c r="D751" i="4"/>
  <c r="B752" i="4"/>
  <c r="C752" i="4"/>
  <c r="D752" i="4"/>
  <c r="B753" i="4"/>
  <c r="C753" i="4"/>
  <c r="D753" i="4"/>
  <c r="B754" i="4"/>
  <c r="C754" i="4"/>
  <c r="D754" i="4"/>
  <c r="B755" i="4"/>
  <c r="C755" i="4"/>
  <c r="D755" i="4"/>
  <c r="B756" i="4"/>
  <c r="C756" i="4"/>
  <c r="D756" i="4"/>
  <c r="B757" i="4"/>
  <c r="C757" i="4"/>
  <c r="D757" i="4"/>
  <c r="B758" i="4"/>
  <c r="C758" i="4"/>
  <c r="D758" i="4"/>
  <c r="B759" i="4"/>
  <c r="C759" i="4"/>
  <c r="D759" i="4"/>
  <c r="B760" i="4"/>
  <c r="C760" i="4"/>
  <c r="D760" i="4"/>
  <c r="B761" i="4"/>
  <c r="C761" i="4"/>
  <c r="D761" i="4"/>
  <c r="B762" i="4"/>
  <c r="C762" i="4"/>
  <c r="D762" i="4"/>
  <c r="B763" i="4"/>
  <c r="C763" i="4"/>
  <c r="D763" i="4"/>
  <c r="B764" i="4"/>
  <c r="C764" i="4"/>
  <c r="D764" i="4"/>
  <c r="B765" i="4"/>
  <c r="C765" i="4"/>
  <c r="D765" i="4"/>
  <c r="B766" i="4"/>
  <c r="C766" i="4"/>
  <c r="D766" i="4"/>
  <c r="B767" i="4"/>
  <c r="C767" i="4"/>
  <c r="D767" i="4"/>
  <c r="B768" i="4"/>
  <c r="C768" i="4"/>
  <c r="D768" i="4"/>
  <c r="B769" i="4"/>
  <c r="C769" i="4"/>
  <c r="D769" i="4"/>
  <c r="B770" i="4"/>
  <c r="C770" i="4"/>
  <c r="D770" i="4"/>
  <c r="B771" i="4"/>
  <c r="C771" i="4"/>
  <c r="D771" i="4"/>
  <c r="B772" i="4"/>
  <c r="C772" i="4"/>
  <c r="D772" i="4"/>
  <c r="B773" i="4"/>
  <c r="C773" i="4"/>
  <c r="D773" i="4"/>
  <c r="B774" i="4"/>
  <c r="C774" i="4"/>
  <c r="D774" i="4"/>
  <c r="B775" i="4"/>
  <c r="C775" i="4"/>
  <c r="D775" i="4"/>
  <c r="B776" i="4"/>
  <c r="C776" i="4"/>
  <c r="D776" i="4"/>
  <c r="B777" i="4"/>
  <c r="C777" i="4"/>
  <c r="D777" i="4"/>
  <c r="B778" i="4"/>
  <c r="C778" i="4"/>
  <c r="D778" i="4"/>
  <c r="B779" i="4"/>
  <c r="C779" i="4"/>
  <c r="D779" i="4"/>
  <c r="B780" i="4"/>
  <c r="C780" i="4"/>
  <c r="D780" i="4"/>
  <c r="B781" i="4"/>
  <c r="C781" i="4"/>
  <c r="D781" i="4"/>
  <c r="B782" i="4"/>
  <c r="C782" i="4"/>
  <c r="D782" i="4"/>
  <c r="B783" i="4"/>
  <c r="C783" i="4"/>
  <c r="D783" i="4"/>
  <c r="B784" i="4"/>
  <c r="C784" i="4"/>
  <c r="D784" i="4"/>
  <c r="B785" i="4"/>
  <c r="C785" i="4"/>
  <c r="D785" i="4"/>
  <c r="B786" i="4"/>
  <c r="C786" i="4"/>
  <c r="D786" i="4"/>
  <c r="B787" i="4"/>
  <c r="C787" i="4"/>
  <c r="D787" i="4"/>
  <c r="B788" i="4"/>
  <c r="C788" i="4"/>
  <c r="D788" i="4"/>
  <c r="B789" i="4"/>
  <c r="C789" i="4"/>
  <c r="D789" i="4"/>
  <c r="B790" i="4"/>
  <c r="C790" i="4"/>
  <c r="D790" i="4"/>
  <c r="B791" i="4"/>
  <c r="C791" i="4"/>
  <c r="D791" i="4"/>
  <c r="B792" i="4"/>
  <c r="C792" i="4"/>
  <c r="D792" i="4"/>
  <c r="B793" i="4"/>
  <c r="C793" i="4"/>
  <c r="D793" i="4"/>
  <c r="B794" i="4"/>
  <c r="C794" i="4"/>
  <c r="D794" i="4"/>
  <c r="B795" i="4"/>
  <c r="C795" i="4"/>
  <c r="D795" i="4"/>
  <c r="B796" i="4"/>
  <c r="C796" i="4"/>
  <c r="D796" i="4"/>
  <c r="B797" i="4"/>
  <c r="C797" i="4"/>
  <c r="D797" i="4"/>
  <c r="B798" i="4"/>
  <c r="C798" i="4"/>
  <c r="D798" i="4"/>
  <c r="B799" i="4"/>
  <c r="C799" i="4"/>
  <c r="D799" i="4"/>
  <c r="B800" i="4"/>
  <c r="C800" i="4"/>
  <c r="D800" i="4"/>
  <c r="B801" i="4"/>
  <c r="C801" i="4"/>
  <c r="D801" i="4"/>
  <c r="B802" i="4"/>
  <c r="C802" i="4"/>
  <c r="D802" i="4"/>
  <c r="B803" i="4"/>
  <c r="C803" i="4"/>
  <c r="D803" i="4"/>
  <c r="B804" i="4"/>
  <c r="C804" i="4"/>
  <c r="D804" i="4"/>
  <c r="B805" i="4"/>
  <c r="C805" i="4"/>
  <c r="D805" i="4"/>
  <c r="B806" i="4"/>
  <c r="C806" i="4"/>
  <c r="D806" i="4"/>
  <c r="B807" i="4"/>
  <c r="C807" i="4"/>
  <c r="D807" i="4"/>
  <c r="B808" i="4"/>
  <c r="C808" i="4"/>
  <c r="D808" i="4"/>
  <c r="B809" i="4"/>
  <c r="C809" i="4"/>
  <c r="D809" i="4"/>
  <c r="B810" i="4"/>
  <c r="C810" i="4"/>
  <c r="D810" i="4"/>
  <c r="B811" i="4"/>
  <c r="C811" i="4"/>
  <c r="D811" i="4"/>
  <c r="B812" i="4"/>
  <c r="C812" i="4"/>
  <c r="D812" i="4"/>
  <c r="B813" i="4"/>
  <c r="C813" i="4"/>
  <c r="D813" i="4"/>
  <c r="B814" i="4"/>
  <c r="C814" i="4"/>
  <c r="D814" i="4"/>
  <c r="B815" i="4"/>
  <c r="C815" i="4"/>
  <c r="D815" i="4"/>
  <c r="B816" i="4"/>
  <c r="C816" i="4"/>
  <c r="D816" i="4"/>
  <c r="B817" i="4"/>
  <c r="C817" i="4"/>
  <c r="D817" i="4"/>
  <c r="B818" i="4"/>
  <c r="C818" i="4"/>
  <c r="D818" i="4"/>
  <c r="B819" i="4"/>
  <c r="C819" i="4"/>
  <c r="D819" i="4"/>
  <c r="B820" i="4"/>
  <c r="C820" i="4"/>
  <c r="D820" i="4"/>
  <c r="B821" i="4"/>
  <c r="C821" i="4"/>
  <c r="D821" i="4"/>
  <c r="B822" i="4"/>
  <c r="C822" i="4"/>
  <c r="D822" i="4"/>
  <c r="B823" i="4"/>
  <c r="C823" i="4"/>
  <c r="D823" i="4"/>
  <c r="B824" i="4"/>
  <c r="C824" i="4"/>
  <c r="D824" i="4"/>
  <c r="B825" i="4"/>
  <c r="C825" i="4"/>
  <c r="D825" i="4"/>
  <c r="B826" i="4"/>
  <c r="C826" i="4"/>
  <c r="D826" i="4"/>
  <c r="B827" i="4"/>
  <c r="C827" i="4"/>
  <c r="D827" i="4"/>
  <c r="B828" i="4"/>
  <c r="C828" i="4"/>
  <c r="D828" i="4"/>
  <c r="B829" i="4"/>
  <c r="C829" i="4"/>
  <c r="D829" i="4"/>
  <c r="B830" i="4"/>
  <c r="C830" i="4"/>
  <c r="D830" i="4"/>
  <c r="B831" i="4"/>
  <c r="C831" i="4"/>
  <c r="D831" i="4"/>
  <c r="B832" i="4"/>
  <c r="C832" i="4"/>
  <c r="D832" i="4"/>
  <c r="B833" i="4"/>
  <c r="C833" i="4"/>
  <c r="D833" i="4"/>
  <c r="B834" i="4"/>
  <c r="C834" i="4"/>
  <c r="D834" i="4"/>
  <c r="B835" i="4"/>
  <c r="C835" i="4"/>
  <c r="D835" i="4"/>
  <c r="B836" i="4"/>
  <c r="C836" i="4"/>
  <c r="D836" i="4"/>
  <c r="B837" i="4"/>
  <c r="C837" i="4"/>
  <c r="D837" i="4"/>
  <c r="B838" i="4"/>
  <c r="C838" i="4"/>
  <c r="D838" i="4"/>
  <c r="B839" i="4"/>
  <c r="C839" i="4"/>
  <c r="D839" i="4"/>
  <c r="B840" i="4"/>
  <c r="C840" i="4"/>
  <c r="D840" i="4"/>
  <c r="B841" i="4"/>
  <c r="C841" i="4"/>
  <c r="D841" i="4"/>
  <c r="B842" i="4"/>
  <c r="C842" i="4"/>
  <c r="D842" i="4"/>
  <c r="B843" i="4"/>
  <c r="C843" i="4"/>
  <c r="D843" i="4"/>
  <c r="B844" i="4"/>
  <c r="C844" i="4"/>
  <c r="D844" i="4"/>
  <c r="B845" i="4"/>
  <c r="C845" i="4"/>
  <c r="D845" i="4"/>
  <c r="B846" i="4"/>
  <c r="C846" i="4"/>
  <c r="D846" i="4"/>
  <c r="B847" i="4"/>
  <c r="C847" i="4"/>
  <c r="D847" i="4"/>
  <c r="B848" i="4"/>
  <c r="C848" i="4"/>
  <c r="D848" i="4"/>
  <c r="B849" i="4"/>
  <c r="C849" i="4"/>
  <c r="D849" i="4"/>
  <c r="B850" i="4"/>
  <c r="C850" i="4"/>
  <c r="D850" i="4"/>
  <c r="B851" i="4"/>
  <c r="C851" i="4"/>
  <c r="D851" i="4"/>
  <c r="B852" i="4"/>
  <c r="C852" i="4"/>
  <c r="D852" i="4"/>
  <c r="B853" i="4"/>
  <c r="C853" i="4"/>
  <c r="D853" i="4"/>
  <c r="B854" i="4"/>
  <c r="C854" i="4"/>
  <c r="D854" i="4"/>
  <c r="B855" i="4"/>
  <c r="C855" i="4"/>
  <c r="D855" i="4"/>
  <c r="B856" i="4"/>
  <c r="C856" i="4"/>
  <c r="D856" i="4"/>
  <c r="B857" i="4"/>
  <c r="C857" i="4"/>
  <c r="D857" i="4"/>
  <c r="B858" i="4"/>
  <c r="C858" i="4"/>
  <c r="D858" i="4"/>
  <c r="B859" i="4"/>
  <c r="C859" i="4"/>
  <c r="D859" i="4"/>
  <c r="B860" i="4"/>
  <c r="C860" i="4"/>
  <c r="D860" i="4"/>
  <c r="B861" i="4"/>
  <c r="C861" i="4"/>
  <c r="D861" i="4"/>
  <c r="B862" i="4"/>
  <c r="C862" i="4"/>
  <c r="D862" i="4"/>
  <c r="B863" i="4"/>
  <c r="C863" i="4"/>
  <c r="D863" i="4"/>
  <c r="B864" i="4"/>
  <c r="C864" i="4"/>
  <c r="D864" i="4"/>
  <c r="B865" i="4"/>
  <c r="C865" i="4"/>
  <c r="D865" i="4"/>
  <c r="B866" i="4"/>
  <c r="C866" i="4"/>
  <c r="D866" i="4"/>
  <c r="B867" i="4"/>
  <c r="C867" i="4"/>
  <c r="D867" i="4"/>
  <c r="B868" i="4"/>
  <c r="C868" i="4"/>
  <c r="D868" i="4"/>
  <c r="B869" i="4"/>
  <c r="C869" i="4"/>
  <c r="D869" i="4"/>
  <c r="B870" i="4"/>
  <c r="C870" i="4"/>
  <c r="D870" i="4"/>
  <c r="B871" i="4"/>
  <c r="C871" i="4"/>
  <c r="D871" i="4"/>
  <c r="B872" i="4"/>
  <c r="C872" i="4"/>
  <c r="D872" i="4"/>
  <c r="B873" i="4"/>
  <c r="C873" i="4"/>
  <c r="D873" i="4"/>
  <c r="B874" i="4"/>
  <c r="C874" i="4"/>
  <c r="D874" i="4"/>
  <c r="B875" i="4"/>
  <c r="C875" i="4"/>
  <c r="D875" i="4"/>
  <c r="B876" i="4"/>
  <c r="C876" i="4"/>
  <c r="D876" i="4"/>
  <c r="B877" i="4"/>
  <c r="C877" i="4"/>
  <c r="D877" i="4"/>
  <c r="B878" i="4"/>
  <c r="C878" i="4"/>
  <c r="D878" i="4"/>
  <c r="B879" i="4"/>
  <c r="C879" i="4"/>
  <c r="D879" i="4"/>
  <c r="B880" i="4"/>
  <c r="C880" i="4"/>
  <c r="D880" i="4"/>
  <c r="B881" i="4"/>
  <c r="C881" i="4"/>
  <c r="D881" i="4"/>
  <c r="B882" i="4"/>
  <c r="C882" i="4"/>
  <c r="D882" i="4"/>
  <c r="B883" i="4"/>
  <c r="C883" i="4"/>
  <c r="D883" i="4"/>
  <c r="B884" i="4"/>
  <c r="C884" i="4"/>
  <c r="D884" i="4"/>
  <c r="B885" i="4"/>
  <c r="C885" i="4"/>
  <c r="D885" i="4"/>
  <c r="B886" i="4"/>
  <c r="C886" i="4"/>
  <c r="D886" i="4"/>
  <c r="B887" i="4"/>
  <c r="C887" i="4"/>
  <c r="D887" i="4"/>
  <c r="B888" i="4"/>
  <c r="C888" i="4"/>
  <c r="D888" i="4"/>
  <c r="B889" i="4"/>
  <c r="C889" i="4"/>
  <c r="D889" i="4"/>
  <c r="B890" i="4"/>
  <c r="C890" i="4"/>
  <c r="D890" i="4"/>
  <c r="B891" i="4"/>
  <c r="C891" i="4"/>
  <c r="D891" i="4"/>
  <c r="B892" i="4"/>
  <c r="C892" i="4"/>
  <c r="D892" i="4"/>
  <c r="B893" i="4"/>
  <c r="C893" i="4"/>
  <c r="D893" i="4"/>
  <c r="B894" i="4"/>
  <c r="C894" i="4"/>
  <c r="D894" i="4"/>
  <c r="B895" i="4"/>
  <c r="C895" i="4"/>
  <c r="D895" i="4"/>
  <c r="B896" i="4"/>
  <c r="C896" i="4"/>
  <c r="D896" i="4"/>
  <c r="B897" i="4"/>
  <c r="C897" i="4"/>
  <c r="D897" i="4"/>
  <c r="B898" i="4"/>
  <c r="C898" i="4"/>
  <c r="D898" i="4"/>
  <c r="B899" i="4"/>
  <c r="C899" i="4"/>
  <c r="D899" i="4"/>
  <c r="B900" i="4"/>
  <c r="C900" i="4"/>
  <c r="D900" i="4"/>
  <c r="B901" i="4"/>
  <c r="C901" i="4"/>
  <c r="D901" i="4"/>
  <c r="B902" i="4"/>
  <c r="C902" i="4"/>
  <c r="D902" i="4"/>
  <c r="B903" i="4"/>
  <c r="C903" i="4"/>
  <c r="D903" i="4"/>
  <c r="B904" i="4"/>
  <c r="C904" i="4"/>
  <c r="D904" i="4"/>
  <c r="B905" i="4"/>
  <c r="C905" i="4"/>
  <c r="D905" i="4"/>
  <c r="B906" i="4"/>
  <c r="C906" i="4"/>
  <c r="D906" i="4"/>
  <c r="B907" i="4"/>
  <c r="C907" i="4"/>
  <c r="D907" i="4"/>
  <c r="B908" i="4"/>
  <c r="C908" i="4"/>
  <c r="D908" i="4"/>
  <c r="B909" i="4"/>
  <c r="C909" i="4"/>
  <c r="D909" i="4"/>
  <c r="B910" i="4"/>
  <c r="C910" i="4"/>
  <c r="D910" i="4"/>
  <c r="B911" i="4"/>
  <c r="C911" i="4"/>
  <c r="D911" i="4"/>
  <c r="B912" i="4"/>
  <c r="C912" i="4"/>
  <c r="D912" i="4"/>
  <c r="B913" i="4"/>
  <c r="C913" i="4"/>
  <c r="D913" i="4"/>
  <c r="B914" i="4"/>
  <c r="C914" i="4"/>
  <c r="D914" i="4"/>
  <c r="B915" i="4"/>
  <c r="C915" i="4"/>
  <c r="D915" i="4"/>
  <c r="B916" i="4"/>
  <c r="C916" i="4"/>
  <c r="D916" i="4"/>
  <c r="B917" i="4"/>
  <c r="C917" i="4"/>
  <c r="D917" i="4"/>
  <c r="B918" i="4"/>
  <c r="C918" i="4"/>
  <c r="D918" i="4"/>
  <c r="B919" i="4"/>
  <c r="C919" i="4"/>
  <c r="D919" i="4"/>
  <c r="B920" i="4"/>
  <c r="C920" i="4"/>
  <c r="D920" i="4"/>
  <c r="B921" i="4"/>
  <c r="C921" i="4"/>
  <c r="D921" i="4"/>
  <c r="B922" i="4"/>
  <c r="C922" i="4"/>
  <c r="D922" i="4"/>
  <c r="B923" i="4"/>
  <c r="C923" i="4"/>
  <c r="D923" i="4"/>
  <c r="B924" i="4"/>
  <c r="C924" i="4"/>
  <c r="D924" i="4"/>
  <c r="B925" i="4"/>
  <c r="C925" i="4"/>
  <c r="D925" i="4"/>
  <c r="B926" i="4"/>
  <c r="C926" i="4"/>
  <c r="D926" i="4"/>
  <c r="B927" i="4"/>
  <c r="C927" i="4"/>
  <c r="D927" i="4"/>
  <c r="B928" i="4"/>
  <c r="C928" i="4"/>
  <c r="D928" i="4"/>
  <c r="B929" i="4"/>
  <c r="C929" i="4"/>
  <c r="D929" i="4"/>
  <c r="B930" i="4"/>
  <c r="C930" i="4"/>
  <c r="D930" i="4"/>
  <c r="B931" i="4"/>
  <c r="C931" i="4"/>
  <c r="D931" i="4"/>
  <c r="B932" i="4"/>
  <c r="C932" i="4"/>
  <c r="D932" i="4"/>
  <c r="B933" i="4"/>
  <c r="C933" i="4"/>
  <c r="D933" i="4"/>
  <c r="B934" i="4"/>
  <c r="C934" i="4"/>
  <c r="D934" i="4"/>
  <c r="B935" i="4"/>
  <c r="C935" i="4"/>
  <c r="D935" i="4"/>
  <c r="B936" i="4"/>
  <c r="C936" i="4"/>
  <c r="D936" i="4"/>
  <c r="B937" i="4"/>
  <c r="C937" i="4"/>
  <c r="D937" i="4"/>
  <c r="B938" i="4"/>
  <c r="C938" i="4"/>
  <c r="D938" i="4"/>
  <c r="B939" i="4"/>
  <c r="C939" i="4"/>
  <c r="D939" i="4"/>
  <c r="B940" i="4"/>
  <c r="C940" i="4"/>
  <c r="D940" i="4"/>
  <c r="B941" i="4"/>
  <c r="C941" i="4"/>
  <c r="D941" i="4"/>
  <c r="B942" i="4"/>
  <c r="C942" i="4"/>
  <c r="D942" i="4"/>
  <c r="B943" i="4"/>
  <c r="C943" i="4"/>
  <c r="D943" i="4"/>
  <c r="B944" i="4"/>
  <c r="C944" i="4"/>
  <c r="D944" i="4"/>
  <c r="B945" i="4"/>
  <c r="C945" i="4"/>
  <c r="D945" i="4"/>
</calcChain>
</file>

<file path=xl/sharedStrings.xml><?xml version="1.0" encoding="utf-8"?>
<sst xmlns="http://schemas.openxmlformats.org/spreadsheetml/2006/main" count="11282" uniqueCount="5826">
  <si>
    <t>N° Prix</t>
  </si>
  <si>
    <t>Qté</t>
  </si>
  <si>
    <t>PU</t>
  </si>
  <si>
    <t>MT</t>
  </si>
  <si>
    <t>1.1.1</t>
  </si>
  <si>
    <t>1.1.2</t>
  </si>
  <si>
    <t>1.2</t>
  </si>
  <si>
    <t>1.3.1.1</t>
  </si>
  <si>
    <t>1.3.1.2</t>
  </si>
  <si>
    <t>1.3.1.3</t>
  </si>
  <si>
    <t>1.3.1.4</t>
  </si>
  <si>
    <t>1.3.1.5</t>
  </si>
  <si>
    <t>1.3.1.6</t>
  </si>
  <si>
    <t>1.3.1.7</t>
  </si>
  <si>
    <t>1.3.1.8</t>
  </si>
  <si>
    <t>1.3.2.1</t>
  </si>
  <si>
    <t>1.3.2.2</t>
  </si>
  <si>
    <t>1.3.2.3</t>
  </si>
  <si>
    <t>1.3.2.4</t>
  </si>
  <si>
    <t>1.3.3.1</t>
  </si>
  <si>
    <t>1.3.3.2</t>
  </si>
  <si>
    <t>1.3.3.3</t>
  </si>
  <si>
    <t>1.3.3.4</t>
  </si>
  <si>
    <t>1.3.4</t>
  </si>
  <si>
    <t>1.3.5</t>
  </si>
  <si>
    <t>1.3.6</t>
  </si>
  <si>
    <t>1.3.7</t>
  </si>
  <si>
    <t>1.3.8</t>
  </si>
  <si>
    <t>1.3.9</t>
  </si>
  <si>
    <t>1.3.10</t>
  </si>
  <si>
    <t>1.3.11</t>
  </si>
  <si>
    <t>1.4.1</t>
  </si>
  <si>
    <t>1.4.2</t>
  </si>
  <si>
    <t>1.4.3</t>
  </si>
  <si>
    <t>1.5</t>
  </si>
  <si>
    <t>1.6</t>
  </si>
  <si>
    <t>1.7.1</t>
  </si>
  <si>
    <t>1.7.2</t>
  </si>
  <si>
    <t>1.7.3</t>
  </si>
  <si>
    <t>2.1.1</t>
  </si>
  <si>
    <t>2.1.2</t>
  </si>
  <si>
    <t>2.1.3</t>
  </si>
  <si>
    <t>2.1.4</t>
  </si>
  <si>
    <t>2.1.5</t>
  </si>
  <si>
    <t>2.2.1</t>
  </si>
  <si>
    <t>2.2.2</t>
  </si>
  <si>
    <t>2.2.3</t>
  </si>
  <si>
    <t>2.2.4</t>
  </si>
  <si>
    <t>2.2.5</t>
  </si>
  <si>
    <t>2.2.6</t>
  </si>
  <si>
    <t>2.2.7</t>
  </si>
  <si>
    <t>2.2.8</t>
  </si>
  <si>
    <t>2.3.1</t>
  </si>
  <si>
    <t>2.3.2</t>
  </si>
  <si>
    <t>2.3.3</t>
  </si>
  <si>
    <t>2.3.4</t>
  </si>
  <si>
    <t>2.3.5</t>
  </si>
  <si>
    <t>2.4.1</t>
  </si>
  <si>
    <t>2.4.2</t>
  </si>
  <si>
    <t>2.4.3</t>
  </si>
  <si>
    <t>2.4.4</t>
  </si>
  <si>
    <t>2.4.5</t>
  </si>
  <si>
    <t>2.4.6</t>
  </si>
  <si>
    <t>2.4.7</t>
  </si>
  <si>
    <t>2.5.1</t>
  </si>
  <si>
    <t>2.5.2</t>
  </si>
  <si>
    <t>2.5.3</t>
  </si>
  <si>
    <t>2.5.4</t>
  </si>
  <si>
    <t>2.5.5</t>
  </si>
  <si>
    <t>2.6.1</t>
  </si>
  <si>
    <t>2.6.2</t>
  </si>
  <si>
    <t>2.6.3</t>
  </si>
  <si>
    <t>2.6.4</t>
  </si>
  <si>
    <t>3.1.1</t>
  </si>
  <si>
    <t>3.1.2</t>
  </si>
  <si>
    <t>3.1.3</t>
  </si>
  <si>
    <t>3.4</t>
  </si>
  <si>
    <t>3.1.5</t>
  </si>
  <si>
    <t>3.1.6</t>
  </si>
  <si>
    <t>3.7</t>
  </si>
  <si>
    <t>3.8</t>
  </si>
  <si>
    <t>3.2.1</t>
  </si>
  <si>
    <t>3.2.2</t>
  </si>
  <si>
    <t>3.2.3</t>
  </si>
  <si>
    <t>3.3.1</t>
  </si>
  <si>
    <t>3.3.2</t>
  </si>
  <si>
    <t>3.3.3</t>
  </si>
  <si>
    <t>3.4.1</t>
  </si>
  <si>
    <t>3.4.2</t>
  </si>
  <si>
    <t>3.4.3</t>
  </si>
  <si>
    <t>3.5.1</t>
  </si>
  <si>
    <t>3.5.2</t>
  </si>
  <si>
    <t>4.1.1</t>
  </si>
  <si>
    <t>4.1.2</t>
  </si>
  <si>
    <t>4.1.3</t>
  </si>
  <si>
    <t>4.1.4</t>
  </si>
  <si>
    <t>4.1.5</t>
  </si>
  <si>
    <t>4.1.6</t>
  </si>
  <si>
    <t>4.1.7</t>
  </si>
  <si>
    <t>4.1.8</t>
  </si>
  <si>
    <t>4.1.9</t>
  </si>
  <si>
    <t>4.1.10</t>
  </si>
  <si>
    <t>4.1.11</t>
  </si>
  <si>
    <t>4.1.12</t>
  </si>
  <si>
    <t>4.1.13</t>
  </si>
  <si>
    <t>4.1.14</t>
  </si>
  <si>
    <t>4.2.1</t>
  </si>
  <si>
    <t>4.2.2</t>
  </si>
  <si>
    <t>4.2.3</t>
  </si>
  <si>
    <t>4.2.4</t>
  </si>
  <si>
    <t>4.2.5</t>
  </si>
  <si>
    <t>4.2.6.1</t>
  </si>
  <si>
    <t>4.2.6.2</t>
  </si>
  <si>
    <t>4.2.6.3</t>
  </si>
  <si>
    <t>4.2.7.1</t>
  </si>
  <si>
    <t>4.2.7.2</t>
  </si>
  <si>
    <t>4.2.7.3</t>
  </si>
  <si>
    <t>5.1.1</t>
  </si>
  <si>
    <t>5.1.2</t>
  </si>
  <si>
    <t>5.1.3</t>
  </si>
  <si>
    <t>5.1.4</t>
  </si>
  <si>
    <t>5.1.5</t>
  </si>
  <si>
    <t>5.1.6</t>
  </si>
  <si>
    <t>5.1.7</t>
  </si>
  <si>
    <t>5.1.8</t>
  </si>
  <si>
    <t>5.1.9.1</t>
  </si>
  <si>
    <t>5.1.9.2</t>
  </si>
  <si>
    <t>5.1.9.3</t>
  </si>
  <si>
    <t>5.1.9.4</t>
  </si>
  <si>
    <t>5.1.9.5</t>
  </si>
  <si>
    <t>5.1.9.6</t>
  </si>
  <si>
    <t>5.1.9.7</t>
  </si>
  <si>
    <t>5.1.9.8</t>
  </si>
  <si>
    <t>5.1.9.9</t>
  </si>
  <si>
    <t>5.1.9.10</t>
  </si>
  <si>
    <t>5.1.10.1</t>
  </si>
  <si>
    <t>5.1.10.2</t>
  </si>
  <si>
    <t>5.1.10.3</t>
  </si>
  <si>
    <t>5.1.11.1</t>
  </si>
  <si>
    <t>5.1.11.2</t>
  </si>
  <si>
    <t>5.1.11.3</t>
  </si>
  <si>
    <t>5.1.12</t>
  </si>
  <si>
    <t>5.1.13.1</t>
  </si>
  <si>
    <t>5.1.13.2</t>
  </si>
  <si>
    <t>5.2.1.1</t>
  </si>
  <si>
    <t>5.2.1.2</t>
  </si>
  <si>
    <t>5.2.1.3</t>
  </si>
  <si>
    <t>5.2.1.4</t>
  </si>
  <si>
    <t>5.2.1.5</t>
  </si>
  <si>
    <t>5.2.1.6</t>
  </si>
  <si>
    <t>5.2.1.7</t>
  </si>
  <si>
    <t>5.2.1.8</t>
  </si>
  <si>
    <t>5.2.1.9</t>
  </si>
  <si>
    <t>5.2.1.10</t>
  </si>
  <si>
    <t>5.2.1.11</t>
  </si>
  <si>
    <t>5.2.1.12</t>
  </si>
  <si>
    <t>5.2.1.13</t>
  </si>
  <si>
    <t>5.2.2.1</t>
  </si>
  <si>
    <t>5.2.2.2</t>
  </si>
  <si>
    <t>5.2.2.3</t>
  </si>
  <si>
    <t>5.2.2.4</t>
  </si>
  <si>
    <t>5.2.2.5</t>
  </si>
  <si>
    <t>5.2.2.6</t>
  </si>
  <si>
    <t>5.2.2.7</t>
  </si>
  <si>
    <t>5.2.2.8</t>
  </si>
  <si>
    <t>5.2.2.9</t>
  </si>
  <si>
    <t>5.2.2.10</t>
  </si>
  <si>
    <t>5.2.3.1</t>
  </si>
  <si>
    <t>5.2.3.2</t>
  </si>
  <si>
    <t>5.2.4.1</t>
  </si>
  <si>
    <t>5.2.4.2</t>
  </si>
  <si>
    <t>5.2.4.3</t>
  </si>
  <si>
    <t>5.2.4.4</t>
  </si>
  <si>
    <t>5.2.4.5</t>
  </si>
  <si>
    <t>5.2.4.6</t>
  </si>
  <si>
    <t>5.2.4.7</t>
  </si>
  <si>
    <t>5.2.4.8</t>
  </si>
  <si>
    <t>5.2.4.9</t>
  </si>
  <si>
    <t>5.2.4.10</t>
  </si>
  <si>
    <t>5.2.4.11</t>
  </si>
  <si>
    <t>5.2.4.12</t>
  </si>
  <si>
    <t>5.2.4.13</t>
  </si>
  <si>
    <t>5.2.4.14</t>
  </si>
  <si>
    <t>5.2.4.15</t>
  </si>
  <si>
    <t>5.2.4.16</t>
  </si>
  <si>
    <t>5.2.4.17</t>
  </si>
  <si>
    <t>5.3.1</t>
  </si>
  <si>
    <t>5.3.2</t>
  </si>
  <si>
    <t>5.3.3</t>
  </si>
  <si>
    <t>5.3.4</t>
  </si>
  <si>
    <t>5.3.5</t>
  </si>
  <si>
    <t>5.3.6</t>
  </si>
  <si>
    <t>5.3.7</t>
  </si>
  <si>
    <t>5.3.8</t>
  </si>
  <si>
    <t>5.3.9</t>
  </si>
  <si>
    <t>5.3.10</t>
  </si>
  <si>
    <t>5.3.11</t>
  </si>
  <si>
    <t>5.3.12</t>
  </si>
  <si>
    <t>5.3.13</t>
  </si>
  <si>
    <t>5.3.14</t>
  </si>
  <si>
    <t>5.3.15</t>
  </si>
  <si>
    <t>5.3.16</t>
  </si>
  <si>
    <t>5.3.17</t>
  </si>
  <si>
    <t>6.1</t>
  </si>
  <si>
    <t>6.2</t>
  </si>
  <si>
    <t>6.3</t>
  </si>
  <si>
    <t>6.4</t>
  </si>
  <si>
    <t>6.5.1</t>
  </si>
  <si>
    <t>6.5.2</t>
  </si>
  <si>
    <t>6.5.3</t>
  </si>
  <si>
    <t>6.6.1</t>
  </si>
  <si>
    <t>6.6.2</t>
  </si>
  <si>
    <t>6.6.3</t>
  </si>
  <si>
    <t>6.7.1</t>
  </si>
  <si>
    <t>6.7.2</t>
  </si>
  <si>
    <t>6.7.3</t>
  </si>
  <si>
    <t>6.8.1</t>
  </si>
  <si>
    <t>6.8.2</t>
  </si>
  <si>
    <t>6.8.3</t>
  </si>
  <si>
    <t>6.9.1</t>
  </si>
  <si>
    <t>6.9.2</t>
  </si>
  <si>
    <t>6.9.3</t>
  </si>
  <si>
    <t>6.10.1</t>
  </si>
  <si>
    <t>6.10.2</t>
  </si>
  <si>
    <t>6.10.3</t>
  </si>
  <si>
    <t>6.11</t>
  </si>
  <si>
    <t>6.12.1</t>
  </si>
  <si>
    <t>6.12.2</t>
  </si>
  <si>
    <t>6.13</t>
  </si>
  <si>
    <t>6.14</t>
  </si>
  <si>
    <t>6.15</t>
  </si>
  <si>
    <t>6.16</t>
  </si>
  <si>
    <t>6.17.1</t>
  </si>
  <si>
    <t>6.17.2</t>
  </si>
  <si>
    <t>6.17.3</t>
  </si>
  <si>
    <t>6.17.4</t>
  </si>
  <si>
    <t>6.17.5</t>
  </si>
  <si>
    <t>7.1.1</t>
  </si>
  <si>
    <t>7.1.2</t>
  </si>
  <si>
    <t>7.1.3</t>
  </si>
  <si>
    <t>7.1.4</t>
  </si>
  <si>
    <t>7.1.5</t>
  </si>
  <si>
    <t>7.1.6</t>
  </si>
  <si>
    <t>7.1.7</t>
  </si>
  <si>
    <t>7.2.1</t>
  </si>
  <si>
    <t>7.2.2</t>
  </si>
  <si>
    <t>7.2.3</t>
  </si>
  <si>
    <t>8.1</t>
  </si>
  <si>
    <t>8.2.1</t>
  </si>
  <si>
    <t>8.2.2</t>
  </si>
  <si>
    <t>8.2.3</t>
  </si>
  <si>
    <t>8.2.4</t>
  </si>
  <si>
    <t>8.2.5</t>
  </si>
  <si>
    <t>8.2.6</t>
  </si>
  <si>
    <t>8.2.7</t>
  </si>
  <si>
    <t>8.3.1</t>
  </si>
  <si>
    <t>8.3.2</t>
  </si>
  <si>
    <t>8.3.3</t>
  </si>
  <si>
    <t>8.3.4</t>
  </si>
  <si>
    <t>8.3.5</t>
  </si>
  <si>
    <t>8.3.6</t>
  </si>
  <si>
    <t>8.3.7</t>
  </si>
  <si>
    <t>8.3.8</t>
  </si>
  <si>
    <t>8.3.9</t>
  </si>
  <si>
    <t>8.3.10</t>
  </si>
  <si>
    <t>8.3.11</t>
  </si>
  <si>
    <t>8.4.1</t>
  </si>
  <si>
    <t>8.4.2</t>
  </si>
  <si>
    <t>8.4.3</t>
  </si>
  <si>
    <t>8.4.4</t>
  </si>
  <si>
    <t>8.4.5</t>
  </si>
  <si>
    <t>8.4.6</t>
  </si>
  <si>
    <t>8.4.7</t>
  </si>
  <si>
    <t>8.4.8</t>
  </si>
  <si>
    <t>8.4.9</t>
  </si>
  <si>
    <t>8.4.10</t>
  </si>
  <si>
    <t>8.4.11</t>
  </si>
  <si>
    <t>8.5.1</t>
  </si>
  <si>
    <t>8.5.2</t>
  </si>
  <si>
    <t>8.5.3</t>
  </si>
  <si>
    <t>8.5.4</t>
  </si>
  <si>
    <t>8.5.5</t>
  </si>
  <si>
    <t>8.5.6</t>
  </si>
  <si>
    <t>8.5.7</t>
  </si>
  <si>
    <t>8.5.8</t>
  </si>
  <si>
    <t>8.5.9</t>
  </si>
  <si>
    <t>8.5.10</t>
  </si>
  <si>
    <t>8.5.11</t>
  </si>
  <si>
    <t>8.6.1</t>
  </si>
  <si>
    <t>8.6.2</t>
  </si>
  <si>
    <t>8.6.3</t>
  </si>
  <si>
    <t>8.6.4</t>
  </si>
  <si>
    <t>8.6.5</t>
  </si>
  <si>
    <t>8.6.6</t>
  </si>
  <si>
    <t>8.6.7</t>
  </si>
  <si>
    <t>8.6.8</t>
  </si>
  <si>
    <t>8.6.10</t>
  </si>
  <si>
    <t>8.6.11</t>
  </si>
  <si>
    <t>87.1</t>
  </si>
  <si>
    <t>8.7.2</t>
  </si>
  <si>
    <t>8.8.1</t>
  </si>
  <si>
    <t>8.8.2</t>
  </si>
  <si>
    <t>8.8.3</t>
  </si>
  <si>
    <t>8.8.4</t>
  </si>
  <si>
    <t>8.8.5</t>
  </si>
  <si>
    <t>8.8.6</t>
  </si>
  <si>
    <t>8.8.7</t>
  </si>
  <si>
    <t>8.9.1</t>
  </si>
  <si>
    <t>8.9.2</t>
  </si>
  <si>
    <t>8.9.3</t>
  </si>
  <si>
    <t>8.9.4</t>
  </si>
  <si>
    <t>8.9.5</t>
  </si>
  <si>
    <t>8.9.6</t>
  </si>
  <si>
    <t>8.9.7</t>
  </si>
  <si>
    <t>8.9.8</t>
  </si>
  <si>
    <t>8.9.9</t>
  </si>
  <si>
    <t>8.9.10</t>
  </si>
  <si>
    <t>8.9.11</t>
  </si>
  <si>
    <t>8.9.12</t>
  </si>
  <si>
    <t>8.10.1</t>
  </si>
  <si>
    <t>8.10.2</t>
  </si>
  <si>
    <t>8.10.3</t>
  </si>
  <si>
    <t>8.10.4</t>
  </si>
  <si>
    <t>8.10.5</t>
  </si>
  <si>
    <t>8.10.6</t>
  </si>
  <si>
    <t>8.10.7</t>
  </si>
  <si>
    <t>8.10.8</t>
  </si>
  <si>
    <t>8.10.9</t>
  </si>
  <si>
    <t>8.10.10</t>
  </si>
  <si>
    <t>8.10.11</t>
  </si>
  <si>
    <t>8.10.12</t>
  </si>
  <si>
    <t>8.11.1</t>
  </si>
  <si>
    <t>8.11.2</t>
  </si>
  <si>
    <t>8.11.3</t>
  </si>
  <si>
    <t>8.11.4</t>
  </si>
  <si>
    <t>8.11.5</t>
  </si>
  <si>
    <t>8.11.6</t>
  </si>
  <si>
    <t>8.11.7</t>
  </si>
  <si>
    <t>8.11.8</t>
  </si>
  <si>
    <t>8.11.9</t>
  </si>
  <si>
    <t>8.11.10</t>
  </si>
  <si>
    <t>8.11.11</t>
  </si>
  <si>
    <t>8.11.12</t>
  </si>
  <si>
    <t>8.12.1</t>
  </si>
  <si>
    <t>8.12.2</t>
  </si>
  <si>
    <t>8.12.3</t>
  </si>
  <si>
    <t>8.12.4</t>
  </si>
  <si>
    <t>8.13.1</t>
  </si>
  <si>
    <t>8.13.2</t>
  </si>
  <si>
    <t>8.13.3</t>
  </si>
  <si>
    <t>8.13.4</t>
  </si>
  <si>
    <t>8.14.1</t>
  </si>
  <si>
    <t>8.14.2</t>
  </si>
  <si>
    <t>8.14.3</t>
  </si>
  <si>
    <t>8.14.4</t>
  </si>
  <si>
    <t>8.15.1</t>
  </si>
  <si>
    <t>8.15.2</t>
  </si>
  <si>
    <t>8.15.3</t>
  </si>
  <si>
    <t>8.15.4</t>
  </si>
  <si>
    <t>8.15.5</t>
  </si>
  <si>
    <t>8.15.6</t>
  </si>
  <si>
    <t>8.15.7</t>
  </si>
  <si>
    <t>8.16.1</t>
  </si>
  <si>
    <t>8.16.2</t>
  </si>
  <si>
    <t>8.16.3</t>
  </si>
  <si>
    <t>8.16.4</t>
  </si>
  <si>
    <t>8.17.1</t>
  </si>
  <si>
    <t>8.17.2</t>
  </si>
  <si>
    <t>8.17.3</t>
  </si>
  <si>
    <t>8.17.4</t>
  </si>
  <si>
    <t>8.17.5</t>
  </si>
  <si>
    <t>8.17.6</t>
  </si>
  <si>
    <t>8.17.7</t>
  </si>
  <si>
    <t>8.17.8</t>
  </si>
  <si>
    <t>8.17.9</t>
  </si>
  <si>
    <t>8.17.10</t>
  </si>
  <si>
    <t>8.18.1</t>
  </si>
  <si>
    <t>8.18.2</t>
  </si>
  <si>
    <t>8.18.3</t>
  </si>
  <si>
    <t>8.18.4</t>
  </si>
  <si>
    <t>8.18.5</t>
  </si>
  <si>
    <t>8.18.6</t>
  </si>
  <si>
    <t>8.18.7</t>
  </si>
  <si>
    <t>8.18.8</t>
  </si>
  <si>
    <t>8.18.9</t>
  </si>
  <si>
    <t>8.18.10</t>
  </si>
  <si>
    <t>8.19.1</t>
  </si>
  <si>
    <t>8.19.2</t>
  </si>
  <si>
    <t>8.19.3</t>
  </si>
  <si>
    <t>8.19.4</t>
  </si>
  <si>
    <t>8.19.5</t>
  </si>
  <si>
    <t>8.19.6</t>
  </si>
  <si>
    <t>8.20.1</t>
  </si>
  <si>
    <t>8.20.2</t>
  </si>
  <si>
    <t>8.20.3</t>
  </si>
  <si>
    <t>8.20.4</t>
  </si>
  <si>
    <t>8.20.5</t>
  </si>
  <si>
    <t>8.20.6</t>
  </si>
  <si>
    <t>8.21.1</t>
  </si>
  <si>
    <t>8.21.2</t>
  </si>
  <si>
    <t>8.21.3</t>
  </si>
  <si>
    <t>8.21.4</t>
  </si>
  <si>
    <t>8.22.1</t>
  </si>
  <si>
    <t>8.22.2</t>
  </si>
  <si>
    <t>8.22.3</t>
  </si>
  <si>
    <t>8.22.4</t>
  </si>
  <si>
    <t>8.22.5</t>
  </si>
  <si>
    <t>8.23.1</t>
  </si>
  <si>
    <t>8.23.2</t>
  </si>
  <si>
    <t>8.23.3</t>
  </si>
  <si>
    <t>8.23.4</t>
  </si>
  <si>
    <t>8.24.1</t>
  </si>
  <si>
    <t>8.24.2</t>
  </si>
  <si>
    <t>8.24.3</t>
  </si>
  <si>
    <t>8.24.4</t>
  </si>
  <si>
    <t>8.25.1</t>
  </si>
  <si>
    <t>8.25.2</t>
  </si>
  <si>
    <t>8.25.3</t>
  </si>
  <si>
    <t>8.25.4</t>
  </si>
  <si>
    <t>8.26.1</t>
  </si>
  <si>
    <t>8.26.2</t>
  </si>
  <si>
    <t>8.26.3</t>
  </si>
  <si>
    <t>8.26.4</t>
  </si>
  <si>
    <t>8.26.5</t>
  </si>
  <si>
    <t>8.26.6</t>
  </si>
  <si>
    <t>8.27.1</t>
  </si>
  <si>
    <t>8.27.2</t>
  </si>
  <si>
    <t>8.27.3</t>
  </si>
  <si>
    <t>8.27.4</t>
  </si>
  <si>
    <t>8.27.5</t>
  </si>
  <si>
    <t>8.27.6</t>
  </si>
  <si>
    <t>8.27.7</t>
  </si>
  <si>
    <t>8.27.8</t>
  </si>
  <si>
    <t>8.28.1</t>
  </si>
  <si>
    <t>8.28.2</t>
  </si>
  <si>
    <t>8.28.3</t>
  </si>
  <si>
    <t>8.28.4</t>
  </si>
  <si>
    <t>8.28.5</t>
  </si>
  <si>
    <t>8.28.6</t>
  </si>
  <si>
    <t>8.28.7</t>
  </si>
  <si>
    <t>8.28.8</t>
  </si>
  <si>
    <t>8.29.1</t>
  </si>
  <si>
    <t>8.29.2</t>
  </si>
  <si>
    <t>8.29.3</t>
  </si>
  <si>
    <t>8.29.4</t>
  </si>
  <si>
    <t>8.29.5</t>
  </si>
  <si>
    <t>8.29.6</t>
  </si>
  <si>
    <t>8.30.1</t>
  </si>
  <si>
    <t>8.30.2</t>
  </si>
  <si>
    <t>8.30.3</t>
  </si>
  <si>
    <t>8.30.4</t>
  </si>
  <si>
    <t>8.31.1</t>
  </si>
  <si>
    <t>8.31.2</t>
  </si>
  <si>
    <t>8.31.3</t>
  </si>
  <si>
    <t>8.31.4</t>
  </si>
  <si>
    <t>8.31.5</t>
  </si>
  <si>
    <t>8.31.6</t>
  </si>
  <si>
    <t>8.31.7</t>
  </si>
  <si>
    <t>9.1</t>
  </si>
  <si>
    <t>9.2</t>
  </si>
  <si>
    <t>9.3.1</t>
  </si>
  <si>
    <t>9.3.2</t>
  </si>
  <si>
    <t>9.3.3</t>
  </si>
  <si>
    <t>9.3.4</t>
  </si>
  <si>
    <t>9.4.1</t>
  </si>
  <si>
    <t>9.4.2</t>
  </si>
  <si>
    <t>9.4.3</t>
  </si>
  <si>
    <t>9.4.4</t>
  </si>
  <si>
    <t>9.5.1</t>
  </si>
  <si>
    <t>9.5.2</t>
  </si>
  <si>
    <t>9.5.3</t>
  </si>
  <si>
    <t>9.5.4</t>
  </si>
  <si>
    <t>9.5.5</t>
  </si>
  <si>
    <t>9.5.6</t>
  </si>
  <si>
    <t>9.5.7</t>
  </si>
  <si>
    <t>9.5.8</t>
  </si>
  <si>
    <t>10.1.1</t>
  </si>
  <si>
    <t>10.1.2</t>
  </si>
  <si>
    <t>10.1.3</t>
  </si>
  <si>
    <t>10.1.4</t>
  </si>
  <si>
    <t>10.1.5</t>
  </si>
  <si>
    <t>10.1.6</t>
  </si>
  <si>
    <t>10.1.7</t>
  </si>
  <si>
    <t>10.1.8</t>
  </si>
  <si>
    <t>10.1.9</t>
  </si>
  <si>
    <t>10.1.10</t>
  </si>
  <si>
    <t>10.1.11</t>
  </si>
  <si>
    <t>10.2.1</t>
  </si>
  <si>
    <t>10.2.2</t>
  </si>
  <si>
    <t>10.2.3</t>
  </si>
  <si>
    <t>10.2.4.1</t>
  </si>
  <si>
    <t>10.2.4.2</t>
  </si>
  <si>
    <t>10.2.4.3</t>
  </si>
  <si>
    <t>10.2.4.4</t>
  </si>
  <si>
    <t>10.2.4.5</t>
  </si>
  <si>
    <t>10.2.4.6</t>
  </si>
  <si>
    <t>10.2.5.1</t>
  </si>
  <si>
    <t>10.2.5.2</t>
  </si>
  <si>
    <t>10.2.5.3</t>
  </si>
  <si>
    <t>10.2.5.4</t>
  </si>
  <si>
    <t>10.2.5.5</t>
  </si>
  <si>
    <t>10.2.5.6</t>
  </si>
  <si>
    <t>10.2.6.1</t>
  </si>
  <si>
    <t>10.2.6.2</t>
  </si>
  <si>
    <t>10.2.6.3</t>
  </si>
  <si>
    <t>10.2.7.1</t>
  </si>
  <si>
    <t>10.2.7.2</t>
  </si>
  <si>
    <t>10.2.7.3</t>
  </si>
  <si>
    <t>10.2.7.4</t>
  </si>
  <si>
    <t>10.2.7.5</t>
  </si>
  <si>
    <t>10.2.7.6</t>
  </si>
  <si>
    <t>10.2.8.1</t>
  </si>
  <si>
    <t>10.2.8.2</t>
  </si>
  <si>
    <t>10.2.8.3</t>
  </si>
  <si>
    <t>10.2.8.4</t>
  </si>
  <si>
    <t>10.2.8.5</t>
  </si>
  <si>
    <t>10.2.8.6</t>
  </si>
  <si>
    <t>10.2.9.1</t>
  </si>
  <si>
    <t>10.2.9.2</t>
  </si>
  <si>
    <t>10.2.10.1</t>
  </si>
  <si>
    <t>10.2.10.2</t>
  </si>
  <si>
    <t>10.2.11.1</t>
  </si>
  <si>
    <t>10.2.11.2</t>
  </si>
  <si>
    <t>10.2.12.1</t>
  </si>
  <si>
    <t>10.2.12.2</t>
  </si>
  <si>
    <t>10.2.13.1.1</t>
  </si>
  <si>
    <t>10.2.13.1.2</t>
  </si>
  <si>
    <t>10.2.13.1.3</t>
  </si>
  <si>
    <t>10.2.13.1.4</t>
  </si>
  <si>
    <t>10.2.13.1.5</t>
  </si>
  <si>
    <t>10.2.13.1.6</t>
  </si>
  <si>
    <t>10.2.13.2.1</t>
  </si>
  <si>
    <t>10.2.13.2.2</t>
  </si>
  <si>
    <t>10.2.13.2.3</t>
  </si>
  <si>
    <t>10.2.13.2.4</t>
  </si>
  <si>
    <t>10.2.13.2.5</t>
  </si>
  <si>
    <t>10.2.13.2.6</t>
  </si>
  <si>
    <t>10.2.13.3.1</t>
  </si>
  <si>
    <t>10.2.13.3.2</t>
  </si>
  <si>
    <t>10.2.13.3.3</t>
  </si>
  <si>
    <t>10.2.13.3.4</t>
  </si>
  <si>
    <t>10.2.13.3.5</t>
  </si>
  <si>
    <t>10.2.13.3.6</t>
  </si>
  <si>
    <t>10.2.13.4.1</t>
  </si>
  <si>
    <t>10.2.13.4.2</t>
  </si>
  <si>
    <t>10.2.13.4.3</t>
  </si>
  <si>
    <t>10.2.13.4.4</t>
  </si>
  <si>
    <t>10.2.13.4.5</t>
  </si>
  <si>
    <t>10.2.14.1.1</t>
  </si>
  <si>
    <t>10.2.14.1.2</t>
  </si>
  <si>
    <t>10.2.14.1.3</t>
  </si>
  <si>
    <t>10.2.14.1.4</t>
  </si>
  <si>
    <t>10.2.14.1.5</t>
  </si>
  <si>
    <t>10.2.14.1.6</t>
  </si>
  <si>
    <t>10.2.14.2.1</t>
  </si>
  <si>
    <t>10.2.14.2.2</t>
  </si>
  <si>
    <t>10.2.14.2.3</t>
  </si>
  <si>
    <t>10.2.14.2.4</t>
  </si>
  <si>
    <t>10.2.14.2.5</t>
  </si>
  <si>
    <t>10.2.14.2.6</t>
  </si>
  <si>
    <t>10.2.14.3.1</t>
  </si>
  <si>
    <t>10.2.14.3.2</t>
  </si>
  <si>
    <t>10.2.14.3.3</t>
  </si>
  <si>
    <t>10.2.14.3.4</t>
  </si>
  <si>
    <t>10.2.14.3.5</t>
  </si>
  <si>
    <t>10.2.14.3.6</t>
  </si>
  <si>
    <t>10.2.14.4.1</t>
  </si>
  <si>
    <t>10.2.14.4.2</t>
  </si>
  <si>
    <t>10.2.14.4.3</t>
  </si>
  <si>
    <t>10.2.14.4.4</t>
  </si>
  <si>
    <t>10.2.14.4.5</t>
  </si>
  <si>
    <t>10.2.14.4.6</t>
  </si>
  <si>
    <t>10.2.15.1</t>
  </si>
  <si>
    <t>10.2.15.2</t>
  </si>
  <si>
    <t>10.2.15.3</t>
  </si>
  <si>
    <t>10.2.15.4</t>
  </si>
  <si>
    <t>10.3.1</t>
  </si>
  <si>
    <t>10.3.2</t>
  </si>
  <si>
    <t>10.3.3</t>
  </si>
  <si>
    <t>10.3.4</t>
  </si>
  <si>
    <t>10.3.5</t>
  </si>
  <si>
    <t>10.3.6</t>
  </si>
  <si>
    <t>10.3.7</t>
  </si>
  <si>
    <t>10.3.8</t>
  </si>
  <si>
    <t>10.3.9</t>
  </si>
  <si>
    <t>10.3.10</t>
  </si>
  <si>
    <t>10.3.11</t>
  </si>
  <si>
    <t>10.3.12</t>
  </si>
  <si>
    <t>10.3.13</t>
  </si>
  <si>
    <t>10.3.14</t>
  </si>
  <si>
    <t>10.3.15</t>
  </si>
  <si>
    <t>10.3.16</t>
  </si>
  <si>
    <t>10.3.17</t>
  </si>
  <si>
    <t>10.3.18</t>
  </si>
  <si>
    <t>10.3.19</t>
  </si>
  <si>
    <t>10.3.20</t>
  </si>
  <si>
    <t>10.3.21</t>
  </si>
  <si>
    <t>10.4.1</t>
  </si>
  <si>
    <t>10.4.2</t>
  </si>
  <si>
    <t>10.4.3</t>
  </si>
  <si>
    <t>10.4.4</t>
  </si>
  <si>
    <t>10.4.5</t>
  </si>
  <si>
    <t>10.4.6</t>
  </si>
  <si>
    <t>10.4.7</t>
  </si>
  <si>
    <t>10.4.8</t>
  </si>
  <si>
    <t>10.4.9</t>
  </si>
  <si>
    <t>10.4.10</t>
  </si>
  <si>
    <t>10.4.11</t>
  </si>
  <si>
    <t>10.4.12</t>
  </si>
  <si>
    <t>10.4.13</t>
  </si>
  <si>
    <t>10.4.14</t>
  </si>
  <si>
    <t>10.4.15</t>
  </si>
  <si>
    <t>11.1.1.1</t>
  </si>
  <si>
    <t>11.1.1.2</t>
  </si>
  <si>
    <t>11.1.1.3</t>
  </si>
  <si>
    <t>11.1.1.4</t>
  </si>
  <si>
    <t>11.1.2.1</t>
  </si>
  <si>
    <t>11.1.2.2</t>
  </si>
  <si>
    <t>11.1.2.3</t>
  </si>
  <si>
    <t>11.1.2.4</t>
  </si>
  <si>
    <t>11.1.3.1</t>
  </si>
  <si>
    <t>11.1.3.2</t>
  </si>
  <si>
    <t>11.1.3.3</t>
  </si>
  <si>
    <t>11.1.3.4</t>
  </si>
  <si>
    <t>11.2.1</t>
  </si>
  <si>
    <t>11.2.2</t>
  </si>
  <si>
    <t>11.2.3</t>
  </si>
  <si>
    <t>11.2.4</t>
  </si>
  <si>
    <t>11.2.5</t>
  </si>
  <si>
    <t>11.3.1</t>
  </si>
  <si>
    <t>11.3.2</t>
  </si>
  <si>
    <t>11.3.3</t>
  </si>
  <si>
    <t>11.3.4</t>
  </si>
  <si>
    <t>11.3.5</t>
  </si>
  <si>
    <t>11.3.6</t>
  </si>
  <si>
    <t>11.4.1</t>
  </si>
  <si>
    <t>11.4.2.1</t>
  </si>
  <si>
    <t>11.4.2.2</t>
  </si>
  <si>
    <t>11.4.2.3</t>
  </si>
  <si>
    <t>11.4.2.4</t>
  </si>
  <si>
    <t>11.4.2.5</t>
  </si>
  <si>
    <t>11.4.3.1</t>
  </si>
  <si>
    <t>11.4.3.2</t>
  </si>
  <si>
    <t>11.4.3.3</t>
  </si>
  <si>
    <t>11.4.3.4</t>
  </si>
  <si>
    <t>11.4.3.5</t>
  </si>
  <si>
    <t>11.4.4.1</t>
  </si>
  <si>
    <t>11.4.4.2</t>
  </si>
  <si>
    <t>11.4.4.3</t>
  </si>
  <si>
    <t>11.4.4.4</t>
  </si>
  <si>
    <t>11.4.4.5</t>
  </si>
  <si>
    <t>11.5.1</t>
  </si>
  <si>
    <t>11.5.2</t>
  </si>
  <si>
    <t>11.5.3</t>
  </si>
  <si>
    <t>11.5.4</t>
  </si>
  <si>
    <t>11.5.5</t>
  </si>
  <si>
    <t>11.5.6</t>
  </si>
  <si>
    <t>11.5.7</t>
  </si>
  <si>
    <t>11.6.1.1</t>
  </si>
  <si>
    <t>11.6.1.2</t>
  </si>
  <si>
    <t>11.6.1.3</t>
  </si>
  <si>
    <t>11.6.1.4</t>
  </si>
  <si>
    <t>11.6.1.5</t>
  </si>
  <si>
    <t>11.6.1.6</t>
  </si>
  <si>
    <t>11.6.1.7</t>
  </si>
  <si>
    <t>11.6.1.8</t>
  </si>
  <si>
    <t>11.6.1.9</t>
  </si>
  <si>
    <t>11.6.1.10</t>
  </si>
  <si>
    <t>11.6.1.11</t>
  </si>
  <si>
    <t>11.6.1.12</t>
  </si>
  <si>
    <t>11.6.2.1</t>
  </si>
  <si>
    <t>11.6.2.2</t>
  </si>
  <si>
    <t>11.6.2.3</t>
  </si>
  <si>
    <t>11.6.2.4</t>
  </si>
  <si>
    <t>11.6.2.5</t>
  </si>
  <si>
    <t>11.6.2.6</t>
  </si>
  <si>
    <t>11.6.2.7</t>
  </si>
  <si>
    <t>11.6.2.8</t>
  </si>
  <si>
    <t>11.6.2.9</t>
  </si>
  <si>
    <t>11.6.2.10</t>
  </si>
  <si>
    <t>11.6.2.11</t>
  </si>
  <si>
    <t>11.6.2.12</t>
  </si>
  <si>
    <t>11.7.1</t>
  </si>
  <si>
    <t>11.7.2</t>
  </si>
  <si>
    <t>11.7.3</t>
  </si>
  <si>
    <t>11.8.1</t>
  </si>
  <si>
    <t>11.8.2</t>
  </si>
  <si>
    <t>11.8.3</t>
  </si>
  <si>
    <t>11.8.4</t>
  </si>
  <si>
    <t>11.8.5</t>
  </si>
  <si>
    <t>12.1.1</t>
  </si>
  <si>
    <t>12.1.2</t>
  </si>
  <si>
    <t>12.1.3</t>
  </si>
  <si>
    <t>12.1.4</t>
  </si>
  <si>
    <t>12.2.1.1</t>
  </si>
  <si>
    <t>12.2.1.2</t>
  </si>
  <si>
    <t>12.2.1.3</t>
  </si>
  <si>
    <t>12.2.1.4</t>
  </si>
  <si>
    <t>12.2.1.5</t>
  </si>
  <si>
    <t>12.2.1.6</t>
  </si>
  <si>
    <t>12.2.1.7</t>
  </si>
  <si>
    <t>12.2.1.8</t>
  </si>
  <si>
    <t>12.2.1.9</t>
  </si>
  <si>
    <t>12.2.2.1</t>
  </si>
  <si>
    <t>12.2.2.2</t>
  </si>
  <si>
    <t>12.2.2.3</t>
  </si>
  <si>
    <t>12.2.2.4</t>
  </si>
  <si>
    <t>12.2.2.5</t>
  </si>
  <si>
    <t>12.2.3</t>
  </si>
  <si>
    <t>12.2.4</t>
  </si>
  <si>
    <t>12.3.1</t>
  </si>
  <si>
    <t>12.3.2</t>
  </si>
  <si>
    <t>12.3.3</t>
  </si>
  <si>
    <t>12.3.4</t>
  </si>
  <si>
    <t>12.4.1</t>
  </si>
  <si>
    <t>12.4.2</t>
  </si>
  <si>
    <t>12.4.3</t>
  </si>
  <si>
    <t>12.4.4</t>
  </si>
  <si>
    <t>12.4.5</t>
  </si>
  <si>
    <t>12.4.6</t>
  </si>
  <si>
    <t>12.4.7</t>
  </si>
  <si>
    <t>12.4.8</t>
  </si>
  <si>
    <t>12.5.1</t>
  </si>
  <si>
    <t>12.5.2</t>
  </si>
  <si>
    <t>12.5.3</t>
  </si>
  <si>
    <t>12.5.4</t>
  </si>
  <si>
    <t>12.5.5</t>
  </si>
  <si>
    <t>12.5.6</t>
  </si>
  <si>
    <t>12.6.1</t>
  </si>
  <si>
    <t>12.6.2</t>
  </si>
  <si>
    <t>12.6.3.1</t>
  </si>
  <si>
    <t>12.6.3.2</t>
  </si>
  <si>
    <t>12.6.3.3</t>
  </si>
  <si>
    <t>12.6.3.4</t>
  </si>
  <si>
    <t>12.6.3.5</t>
  </si>
  <si>
    <t>12.6.3.6</t>
  </si>
  <si>
    <t>12.6.3.7</t>
  </si>
  <si>
    <t>12.7.1</t>
  </si>
  <si>
    <t>12.7.2</t>
  </si>
  <si>
    <t>12.7.3</t>
  </si>
  <si>
    <t>12.7.4</t>
  </si>
  <si>
    <t>12.7.5</t>
  </si>
  <si>
    <t>12.7.6</t>
  </si>
  <si>
    <t>12.7.7</t>
  </si>
  <si>
    <t>12.7.8</t>
  </si>
  <si>
    <t>12.7.9</t>
  </si>
  <si>
    <t>12.7.10</t>
  </si>
  <si>
    <t>12.8.1</t>
  </si>
  <si>
    <t>12.8.2</t>
  </si>
  <si>
    <t>12.8.3</t>
  </si>
  <si>
    <t>12.8.4</t>
  </si>
  <si>
    <t>12.9.1.1</t>
  </si>
  <si>
    <t>12.9.1.2</t>
  </si>
  <si>
    <t>12.9.1.3</t>
  </si>
  <si>
    <t>12.9.1.4</t>
  </si>
  <si>
    <t>12.9.1.5</t>
  </si>
  <si>
    <t>12.9.2.1</t>
  </si>
  <si>
    <t>12.9.2.2</t>
  </si>
  <si>
    <t>12.9.2.3</t>
  </si>
  <si>
    <t>12.9.2.4</t>
  </si>
  <si>
    <t>12.9.2.5</t>
  </si>
  <si>
    <t>12.9.2.6</t>
  </si>
  <si>
    <t>12.9.2.7</t>
  </si>
  <si>
    <t>12.9.2.8</t>
  </si>
  <si>
    <t>12.9.3.1</t>
  </si>
  <si>
    <t>12.9.3.2</t>
  </si>
  <si>
    <t>12.9.3.3</t>
  </si>
  <si>
    <t>12.9.4.1</t>
  </si>
  <si>
    <t>12.9.4.2</t>
  </si>
  <si>
    <t>12.9.4.3</t>
  </si>
  <si>
    <t>12.9.4.4</t>
  </si>
  <si>
    <t>12.9.4.5</t>
  </si>
  <si>
    <t>12.9.4.6</t>
  </si>
  <si>
    <t>12.9.4.7</t>
  </si>
  <si>
    <t>12.9.4.8</t>
  </si>
  <si>
    <t>12.9.4.9</t>
  </si>
  <si>
    <t>12.9.4.10</t>
  </si>
  <si>
    <t>12.9.4.11</t>
  </si>
  <si>
    <t>12.9.4.12</t>
  </si>
  <si>
    <t>12.9.4.13</t>
  </si>
  <si>
    <t>12.9.4.14</t>
  </si>
  <si>
    <t>12.9.4.15</t>
  </si>
  <si>
    <t>12.9.4.16</t>
  </si>
  <si>
    <t>12.9.4.17</t>
  </si>
  <si>
    <t>12.9.4.18</t>
  </si>
  <si>
    <t>12.9.4.19</t>
  </si>
  <si>
    <t>12.9.4.20</t>
  </si>
  <si>
    <t>12.9.4.21</t>
  </si>
  <si>
    <t>12.9.4.22</t>
  </si>
  <si>
    <t>12.9.4.23</t>
  </si>
  <si>
    <t>12.9.4.24</t>
  </si>
  <si>
    <t>12.9.4.25</t>
  </si>
  <si>
    <t>12.9.4.26</t>
  </si>
  <si>
    <t>12.9.4.27</t>
  </si>
  <si>
    <t>12.9.4.28</t>
  </si>
  <si>
    <t>12.9.4.29.1</t>
  </si>
  <si>
    <t>12.9.4.29.2</t>
  </si>
  <si>
    <t>12.9.4.29.3</t>
  </si>
  <si>
    <t>12.9.4.29.4</t>
  </si>
  <si>
    <t>12.9.4.30.1</t>
  </si>
  <si>
    <t>12.9.4.30.2</t>
  </si>
  <si>
    <t>12.9.4.30.3</t>
  </si>
  <si>
    <t>12.9.4.30.4</t>
  </si>
  <si>
    <t>12.9.4.30.5</t>
  </si>
  <si>
    <t>12.9.4.30.6</t>
  </si>
  <si>
    <t>12.9.4.30.7</t>
  </si>
  <si>
    <t>12.9.4.30.8</t>
  </si>
  <si>
    <t>12.9.4.30.9</t>
  </si>
  <si>
    <t>12.9.4.30.10</t>
  </si>
  <si>
    <t>12.9.5.1.1</t>
  </si>
  <si>
    <t>12.9.5.1.2</t>
  </si>
  <si>
    <t>12.9.5.1.3</t>
  </si>
  <si>
    <t>12.9.5.1.4</t>
  </si>
  <si>
    <t>12.9.5.1.5</t>
  </si>
  <si>
    <t>12.9.5.1.6</t>
  </si>
  <si>
    <t>12.9.5.1.7</t>
  </si>
  <si>
    <t>12.9.5.2.1</t>
  </si>
  <si>
    <t>12.9.5.2.2</t>
  </si>
  <si>
    <t>12.9.5.2.3</t>
  </si>
  <si>
    <t>12.9.5.2.4</t>
  </si>
  <si>
    <t>12.9.5.2.5</t>
  </si>
  <si>
    <t>12.9.5.2.6</t>
  </si>
  <si>
    <t>12.9.5.3.1</t>
  </si>
  <si>
    <t>12.9.5.3.2</t>
  </si>
  <si>
    <t>12.9.5.3.3</t>
  </si>
  <si>
    <t>12.9.6.1</t>
  </si>
  <si>
    <t>12.9.6.2</t>
  </si>
  <si>
    <t>12.9.6.3</t>
  </si>
  <si>
    <t>12.9.6.4</t>
  </si>
  <si>
    <t>12.9.7.1</t>
  </si>
  <si>
    <t>12.9.7.2</t>
  </si>
  <si>
    <t>12.9.7.3</t>
  </si>
  <si>
    <t>12.9.7.4</t>
  </si>
  <si>
    <t>12.10.1</t>
  </si>
  <si>
    <t>12.10.2</t>
  </si>
  <si>
    <t>12.10.3</t>
  </si>
  <si>
    <t>12.10.4</t>
  </si>
  <si>
    <t>12.10.5</t>
  </si>
  <si>
    <t>12.11.1</t>
  </si>
  <si>
    <t>12.11.2</t>
  </si>
  <si>
    <t>12.11.3</t>
  </si>
  <si>
    <t>12.11.4</t>
  </si>
  <si>
    <t>13.1.1</t>
  </si>
  <si>
    <t>13.1.2</t>
  </si>
  <si>
    <t>13.1.3</t>
  </si>
  <si>
    <t>13.1.4</t>
  </si>
  <si>
    <t>13.1.5</t>
  </si>
  <si>
    <t>13.1.6</t>
  </si>
  <si>
    <t>13.1.7</t>
  </si>
  <si>
    <t>13.1.8</t>
  </si>
  <si>
    <t>13.1.9</t>
  </si>
  <si>
    <t>13.1.10</t>
  </si>
  <si>
    <t>13.1.11</t>
  </si>
  <si>
    <t>13.1.12</t>
  </si>
  <si>
    <t>13.1.13</t>
  </si>
  <si>
    <t>13.2.1</t>
  </si>
  <si>
    <t>13.2.2</t>
  </si>
  <si>
    <t>13.2.3</t>
  </si>
  <si>
    <t>13.2.4</t>
  </si>
  <si>
    <t>13.2.5</t>
  </si>
  <si>
    <t>13.2.6</t>
  </si>
  <si>
    <t>13.2.7</t>
  </si>
  <si>
    <t>13.2.8</t>
  </si>
  <si>
    <t>13.2.9</t>
  </si>
  <si>
    <t>13.2.10</t>
  </si>
  <si>
    <t>13.3.1</t>
  </si>
  <si>
    <t>13.3.2</t>
  </si>
  <si>
    <t>13.3.3</t>
  </si>
  <si>
    <t>13.3.4</t>
  </si>
  <si>
    <t>13.3.5</t>
  </si>
  <si>
    <t>13.3.6</t>
  </si>
  <si>
    <t>13.3.7</t>
  </si>
  <si>
    <t>13.3.8</t>
  </si>
  <si>
    <t>13.3.9</t>
  </si>
  <si>
    <t>13.3.10</t>
  </si>
  <si>
    <t>13.4.1</t>
  </si>
  <si>
    <t>13.4.2</t>
  </si>
  <si>
    <t>13.4.3</t>
  </si>
  <si>
    <t>13.5.1</t>
  </si>
  <si>
    <t>13.5.2</t>
  </si>
  <si>
    <t>13.5.3</t>
  </si>
  <si>
    <t>13.5.4</t>
  </si>
  <si>
    <t>13.6.1</t>
  </si>
  <si>
    <t>13.6.2</t>
  </si>
  <si>
    <t>13.6.3</t>
  </si>
  <si>
    <t>13.6.4</t>
  </si>
  <si>
    <t>13.6.5</t>
  </si>
  <si>
    <t>13.6.6</t>
  </si>
  <si>
    <t>13.6.7</t>
  </si>
  <si>
    <t>13.6.8</t>
  </si>
  <si>
    <t>13.6.9</t>
  </si>
  <si>
    <t>13.6.10</t>
  </si>
  <si>
    <t>13.6.11</t>
  </si>
  <si>
    <t>13.6.12</t>
  </si>
  <si>
    <t>13.6.13</t>
  </si>
  <si>
    <t>13.6.14</t>
  </si>
  <si>
    <t>13.6.15</t>
  </si>
  <si>
    <t>13.6.16</t>
  </si>
  <si>
    <t>13.6.17</t>
  </si>
  <si>
    <t>13.6.18</t>
  </si>
  <si>
    <t>13.6.19</t>
  </si>
  <si>
    <t>13.6.20</t>
  </si>
  <si>
    <t>13.7.1</t>
  </si>
  <si>
    <t>13.7.2</t>
  </si>
  <si>
    <t>13.7.3</t>
  </si>
  <si>
    <t>13.7.4</t>
  </si>
  <si>
    <t>13.7.5</t>
  </si>
  <si>
    <t>13.7.6</t>
  </si>
  <si>
    <t>13.7.7</t>
  </si>
  <si>
    <t>13.7.8</t>
  </si>
  <si>
    <t>13.7.9</t>
  </si>
  <si>
    <t>13.7.10</t>
  </si>
  <si>
    <t>13.7.11</t>
  </si>
  <si>
    <t>13.7.12</t>
  </si>
  <si>
    <t>13.7.13</t>
  </si>
  <si>
    <t>13.7.14</t>
  </si>
  <si>
    <t>13.8.1</t>
  </si>
  <si>
    <t>13.8.2</t>
  </si>
  <si>
    <t>13.8.3</t>
  </si>
  <si>
    <t>13.8.4</t>
  </si>
  <si>
    <t>13.8.5</t>
  </si>
  <si>
    <t>13.8.6</t>
  </si>
  <si>
    <t>13.8.7</t>
  </si>
  <si>
    <t>13.8.8</t>
  </si>
  <si>
    <t>13.8.9</t>
  </si>
  <si>
    <t>13.8.10</t>
  </si>
  <si>
    <t>13.8.11</t>
  </si>
  <si>
    <t>13.8.12</t>
  </si>
  <si>
    <t>13.8.13</t>
  </si>
  <si>
    <t>13.8.14</t>
  </si>
  <si>
    <t>13.8.15</t>
  </si>
  <si>
    <t>13.8.16</t>
  </si>
  <si>
    <t>13.8.17</t>
  </si>
  <si>
    <t>13.8.18</t>
  </si>
  <si>
    <t>13.8.19</t>
  </si>
  <si>
    <t>13.8.20</t>
  </si>
  <si>
    <t>13.8.21</t>
  </si>
  <si>
    <t>13.8.22</t>
  </si>
  <si>
    <t>13.8.23</t>
  </si>
  <si>
    <t>13.8.24</t>
  </si>
  <si>
    <t>13.8.25</t>
  </si>
  <si>
    <t>13.8.26</t>
  </si>
  <si>
    <t>13.8.27</t>
  </si>
  <si>
    <t>13.8.28</t>
  </si>
  <si>
    <t>13.8.29</t>
  </si>
  <si>
    <t>13.8.30</t>
  </si>
  <si>
    <t>13.8.31</t>
  </si>
  <si>
    <t>HT01</t>
  </si>
  <si>
    <t>Vallée Sud - Grand Paris - Etablissement Public Territorial</t>
  </si>
  <si>
    <r>
      <t xml:space="preserve">Accord-Cadre de travaux d'infrastructure, d'éclairage public, de Signalisation Lumineuse Tricolore et d'enfouissement
LOT 1 : travaux d'infrastructure
</t>
    </r>
    <r>
      <rPr>
        <b/>
        <sz val="9"/>
        <color indexed="10"/>
        <rFont val="Arial"/>
        <family val="2"/>
      </rPr>
      <t>Le Bordereau des Prix Cadres (B.P.C) est une pièce contractuelle.
Ce document doit être intégralement renseigné.
Toute modification apportée à la structure du document entrainera le rejet de l'offre pour irrégularité conformément à l'article R 2152-1 du code de la Commande publique. La mention "sur devis" n'est pas autorisée ;</t>
    </r>
  </si>
  <si>
    <t>Nom de l'entreprise:</t>
  </si>
  <si>
    <t>BORDEREAU DES PRIX UNITAIRES ET FORFAITAIRES</t>
  </si>
  <si>
    <t>Désignation</t>
  </si>
  <si>
    <t>Unité</t>
  </si>
  <si>
    <t>Prix unitaire</t>
  </si>
  <si>
    <t>1</t>
  </si>
  <si>
    <t>INSTALLATIONS - SIGNALISATION - ETUDES - RECOLEMENT</t>
  </si>
  <si>
    <t>1.1</t>
  </si>
  <si>
    <t>AMENEE, MISE EN PLACE, LOCATION, ENTRETIEN ET REPLI DES INSTALLATIONS DE CHANTIER</t>
  </si>
  <si>
    <t/>
  </si>
  <si>
    <r>
      <t xml:space="preserve">Ces prix rémunèrent forfaitairement l'aménagement des emprises nécessaires à la réalisation complète des travaux (base vie et toutes les emprises de chantier), l'amenée à pied d'oeuvre, l'installation, la location, l'entretien et le repli de tous les matériels nécessaires à l'exécution complète de l'ensemble des travaux, </t>
    </r>
    <r>
      <rPr>
        <b/>
        <sz val="10"/>
        <rFont val="Arial"/>
        <family val="2"/>
      </rPr>
      <t>sauf ceux faisant l'objet de prix spécifiques ci-après.</t>
    </r>
  </si>
  <si>
    <t>Ils comprennent notamment :</t>
  </si>
  <si>
    <t>˗ les éventuelles taxes de voirie liées à l'occupation du domaine public par l'entrepreneur pour l'exécution des travaux,</t>
  </si>
  <si>
    <t>˗  le passage d’un huissier avant et après travaux pour établir un constat contradictoire de l’état des lieux du site mis à disposition pour les installations de chantier,</t>
  </si>
  <si>
    <t>˗ la protection des arbres, du mobilier urbain et des réseaux ou ouvrages appartenant aux concessionnaires ou aux administrations,</t>
  </si>
  <si>
    <r>
      <rPr>
        <sz val="10"/>
        <rFont val="Arial"/>
        <family val="2"/>
      </rPr>
      <t>˗</t>
    </r>
    <r>
      <rPr>
        <sz val="7"/>
        <rFont val="Times New Roman"/>
        <family val="1"/>
      </rPr>
      <t xml:space="preserve">  </t>
    </r>
    <r>
      <rPr>
        <sz val="10"/>
        <rFont val="Arial"/>
        <family val="2"/>
      </rPr>
      <t>l'aménagement des terrains y compris toutes les fournitures, les frais d'entretien et la mise en œuvre nécessaire au fonctionnement du chantier, à savoir :</t>
    </r>
  </si>
  <si>
    <r>
      <t xml:space="preserve">   ü</t>
    </r>
    <r>
      <rPr>
        <sz val="7"/>
        <rFont val="Times New Roman"/>
        <family val="1"/>
      </rPr>
      <t xml:space="preserve">  </t>
    </r>
    <r>
      <rPr>
        <sz val="10"/>
        <rFont val="Arial"/>
        <family val="2"/>
      </rPr>
      <t>tous bungalows : les ateliers de réparation et d'entretien, les vestiaires, les réfectoires éventuels, l'infirmerie, les bureaux de l'entreprise et ceux équipés (chauffage, climatisation, mobilier de bureau, téléphone, fax) à usage du maître d'œuvre et du coordonnateur SPS et leur raccordement aux divers réseaux : eau, assainissement, EDF, Télécom…</t>
    </r>
  </si>
  <si>
    <r>
      <t xml:space="preserve">   ü</t>
    </r>
    <r>
      <rPr>
        <sz val="7"/>
        <rFont val="Times New Roman"/>
        <family val="1"/>
      </rPr>
      <t xml:space="preserve">  </t>
    </r>
    <r>
      <rPr>
        <sz val="10"/>
        <rFont val="Arial"/>
        <family val="2"/>
      </rPr>
      <t>les zones de stockage, les zones d’accès aux ouvrages et aux emprises et les pistes provisoires,</t>
    </r>
  </si>
  <si>
    <r>
      <t xml:space="preserve">   ü</t>
    </r>
    <r>
      <rPr>
        <sz val="7"/>
        <rFont val="Times New Roman"/>
        <family val="1"/>
      </rPr>
      <t xml:space="preserve">  </t>
    </r>
    <r>
      <rPr>
        <sz val="10"/>
        <rFont val="Arial"/>
        <family val="2"/>
      </rPr>
      <t>les emprises temporaires de travaux et les emplacements réservés aux groupes électrogènes, bennes à déchets,…</t>
    </r>
  </si>
  <si>
    <r>
      <t xml:space="preserve">   ü</t>
    </r>
    <r>
      <rPr>
        <sz val="7"/>
        <rFont val="Times New Roman"/>
        <family val="1"/>
      </rPr>
      <t xml:space="preserve">  </t>
    </r>
    <r>
      <rPr>
        <sz val="10"/>
        <rFont val="Arial"/>
        <family val="2"/>
      </rPr>
      <t>toutes modifications au cours des travaux, les protections des arbres ou des constructions diverses, les dispositions prises en bordure de chaussée (chasse roue, signalisation, éclairage, etc…),</t>
    </r>
  </si>
  <si>
    <r>
      <t xml:space="preserve">   ü</t>
    </r>
    <r>
      <rPr>
        <sz val="10"/>
        <rFont val="Arial"/>
        <family val="2"/>
      </rPr>
      <t> le maintien des cheminements piétons et des accès riverains,</t>
    </r>
  </si>
  <si>
    <r>
      <t xml:space="preserve">   ü</t>
    </r>
    <r>
      <rPr>
        <sz val="7"/>
        <rFont val="Times New Roman"/>
        <family val="1"/>
      </rPr>
      <t xml:space="preserve">  </t>
    </r>
    <r>
      <rPr>
        <sz val="10"/>
        <rFont val="Arial"/>
        <family val="2"/>
      </rPr>
      <t>les dispositifs permettant le maintien de l'évacuation des eaux pluviales, la construction et l'entretien des ouvrages (drains, rigoles, puisards) nécessaires à leur évacuation.</t>
    </r>
  </si>
  <si>
    <t>˗ l'amenée sur le chantier, l'installation, la location, les déplacements et le repliement en fin de travaux de toutes les installations de chantier nécessaires pour l'entreprise et ses sous ou co-traitants éventuels,</t>
  </si>
  <si>
    <t>˗  le maintien en bon état des installations de chantier comprenant :</t>
  </si>
  <si>
    <r>
      <t xml:space="preserve">  ü</t>
    </r>
    <r>
      <rPr>
        <sz val="7"/>
        <rFont val="Times New Roman"/>
        <family val="1"/>
      </rPr>
      <t xml:space="preserve">  </t>
    </r>
    <r>
      <rPr>
        <sz val="10"/>
        <rFont val="Arial"/>
        <family val="2"/>
      </rPr>
      <t>la suppression régulière de l'affichage sauvage ainsi que des graffitis,</t>
    </r>
  </si>
  <si>
    <r>
      <t xml:space="preserve">  ü</t>
    </r>
    <r>
      <rPr>
        <sz val="7"/>
        <rFont val="Times New Roman"/>
        <family val="1"/>
      </rPr>
      <t xml:space="preserve">  </t>
    </r>
    <r>
      <rPr>
        <sz val="10"/>
        <rFont val="Arial"/>
        <family val="2"/>
      </rPr>
      <t>la bonne tenue des installations de chantier (baraques de chantier, matériels, panneaux d'information et leurs supports),</t>
    </r>
  </si>
  <si>
    <r>
      <t xml:space="preserve">  ü</t>
    </r>
    <r>
      <rPr>
        <sz val="7"/>
        <rFont val="Times New Roman"/>
        <family val="1"/>
      </rPr>
      <t xml:space="preserve">  </t>
    </r>
    <r>
      <rPr>
        <sz val="10"/>
        <rFont val="Arial"/>
        <family val="2"/>
      </rPr>
      <t>les dispositions nécessaires pour éviter le souillage des sols aux abords du chantier, y compris si nécessaire l'installation d'équipements particuliers de nettoyage des roues des véhicules,</t>
    </r>
  </si>
  <si>
    <t>˗ toutes les dépenses relatives à la réalisation des travaux en période d'épidémie (protocole sanitaire, EPI, desinfection base vie, matériel, barrières, …),</t>
  </si>
  <si>
    <t>˗  les dépenses relatives à l'amenée et la fourniture d'eau, d'électricité et de force motrice de toute nature, y compris l'entretien des installations,</t>
  </si>
  <si>
    <t>˗  l'amenée, la pose, la location, le maintien en état, les déplacements éventuels et le repli de la clôture des installations du chantier (base vie), y compris la mise sur plots ou le spitage au sol,</t>
  </si>
  <si>
    <t>˗ l'amenée, la pose, la location, le maintien en état, les déplacements éventuels et le repli des clôtures de chantier (y compris la mise sur plots ou le spitage au sol) de toutes les emprises de travaux (stockage, travaux en tranchée, sans tranchée, …),</t>
  </si>
  <si>
    <t>˗ les frais de gardiennage, de fermeture provisoire, d'éclairage et de nettoyage du chantier,</t>
  </si>
  <si>
    <t>˗ le nettoyage des routes adjacentes au chantier, ouvertes à la circulation publique,</t>
  </si>
  <si>
    <t>˗ la fourniture, l'amenée, la pose et l'enlèvement des bennes servant au stockage temporaire des déchets,</t>
  </si>
  <si>
    <t>˗ le convoyage des bacs à ordures ménagères, qui ne pourraient être collectés du fait des travaux, jusqu'à une zone de collecte y compris retour des bacs vides,</t>
  </si>
  <si>
    <t>˗ les travaux divers pour préparation du chantier,</t>
  </si>
  <si>
    <t>˗ toutes dépenses relatives aux dispositions d'hygiène et de sécurité des travailleurs prises sur le chantier conformément aux prescriptions du C.C.A.P. et aux textes en vigueur (y compris les mesures à prendre en période d'épidémie),</t>
  </si>
  <si>
    <t>˗  les déposes relatives au repliement des matériels et installations générales du chantier et nettoyage complet et, si besoin, la remise en état des lieux après exécution complète des travaux.</t>
  </si>
  <si>
    <t>A l’exception des zones d’accès aux ouvrages d’assainissement, les barrières de protection auront 2 m de hauteur minimum. Elles seront constituées d’une structure en acier galvanisé et de panneaux traités anti-affiche peints en 2 tons avec éléments réfléchissants. Elles pourront être équipées d’un grillage en partie haute.</t>
  </si>
  <si>
    <t>Pour les zones d’accès aux ouvrages d’assainissement, la hauteur des barrières sera de 1,30 m.</t>
  </si>
  <si>
    <t>Ces prix tiennent compte également des mesures de sécurité, gardiennage, éclairage des emprises et de la signalétique du chantier.</t>
  </si>
  <si>
    <t xml:space="preserve">Ces prix s'appliquent pour l'ouverture de chaque chantier défini. Le maître d'ouvrage se réserve le droit de ne pas appliquer ces forfaits. Ces prix ne s'appliquent pas aux prix 17, 18 et 19. </t>
  </si>
  <si>
    <t>Il pourra être envisagé la mutualisation des frais d'installation à l'occasion de l'exécution d'autres chantier à proximité. Ce libre-arbitre sera laissé à la discrétion du maître d'ouvrage.</t>
  </si>
  <si>
    <t>Le montant du forfait sera défini sur la base de l'estimation du chantier. Il n'est pas compris dans les seuils fixés pour son application.</t>
  </si>
  <si>
    <t>Ce prix sera rémunéré au forfait selon les modalités suivantes :</t>
  </si>
  <si>
    <t>→ 60% au démarrage des travaux, après réalisation de l'installation et amenée du matériel.</t>
  </si>
  <si>
    <t>→ 40% après repliement de tout matériel et installations, enlèvement des matériaux en excédent et remise en état des lieux, y compris accès.</t>
  </si>
  <si>
    <t>Montant du chantier inférieur ou égal à 5 000 € HT</t>
  </si>
  <si>
    <t>LE FORFAIT</t>
  </si>
  <si>
    <t>FT</t>
  </si>
  <si>
    <t>Montant du chantier compris entre 5 001 € HT et 10 000 € HT</t>
  </si>
  <si>
    <t>1.1.3</t>
  </si>
  <si>
    <t>Montant du chantier compris entre 10 001 € HT et 30 000 € HT</t>
  </si>
  <si>
    <t>1.1.4</t>
  </si>
  <si>
    <t>Montant du chantier compris entre 30 0001 € HT et 50 000 € HT</t>
  </si>
  <si>
    <t>1.1.5</t>
  </si>
  <si>
    <t>Montant du chantier compris entre 50 001 € HT et 80 000 € HT</t>
  </si>
  <si>
    <t>1.1.6</t>
  </si>
  <si>
    <t>Montant du chantier compris entre 80 001 € HT et 100 000 € HT</t>
  </si>
  <si>
    <t>1.1.7</t>
  </si>
  <si>
    <t>Montant du chantier compris entre 100 001 € HT et 300 000 € HT</t>
  </si>
  <si>
    <t>1.1.8</t>
  </si>
  <si>
    <t>Montant du chantier compris entre 300 001 € HT et 600 000 € HT</t>
  </si>
  <si>
    <t>1.1.9</t>
  </si>
  <si>
    <t>Montant du chantier compris entre 600 001 € HT et 1 000 000 € HT</t>
  </si>
  <si>
    <t>1.1.10</t>
  </si>
  <si>
    <t>Montant du chantier compris entre 1 000 001 € HT et 1 500 000 € HT</t>
  </si>
  <si>
    <t>1.1.11</t>
  </si>
  <si>
    <t>Montant du chantier compris entre 1 500 001 € HT et 2 000 000 € HT</t>
  </si>
  <si>
    <t>1.1.12</t>
  </si>
  <si>
    <t>Montant du chantier compris entre 2 000 001 et 4 000 000€ HT</t>
  </si>
  <si>
    <t>1.1.13</t>
  </si>
  <si>
    <t>Montant du chantier supérieur à  4 000 000€ HT</t>
  </si>
  <si>
    <t>PANNEAU D'IDENTIFICATION DE CHANTIER</t>
  </si>
  <si>
    <t>Ces prix rémunèrent à l'unité la fourniture et mise en place de panneau d'identification du chantier par scellements des supports nécessaires à la pose, y compris toutes sujétions de dépose et de réfection à la fin du chantier.</t>
  </si>
  <si>
    <t>Le panneau, typiquement de dimensions 1,20 m x 0,80 m ou 2,20 m x 1,50 m suivant la demande du maître d'ouvrage, sera élaboré sur le modèle des panneaux types dont le maître d'ouvrage fournira les caractéristiques (mentions à inscrire, etc).</t>
  </si>
  <si>
    <t>1.2.1</t>
  </si>
  <si>
    <t>Panneau d'identification de chantier 1,20 m x 0,80 m</t>
  </si>
  <si>
    <t>L'UNITE</t>
  </si>
  <si>
    <t>U</t>
  </si>
  <si>
    <t>1.2.2</t>
  </si>
  <si>
    <t>Panneau d'identification de chantier 2,20 m x 1,50 m</t>
  </si>
  <si>
    <t>1.3</t>
  </si>
  <si>
    <t>SIGNALISATION TEMPORAIRE DE CHANTIER</t>
  </si>
  <si>
    <t>Ces prix rémunèrent au forfait la location, l'amenée, la mise en place, l'entretien, le gardiennage et le repli de l'ensemble de la signalisation horizontale et verticale temporaire de chantier (panneaux, supports, balisages …), conformes aux textes législatifs et réglementaires en vigueur, à mettre en œuvre au droit des installations et des emprises de chantier sur l'ensemble de la zone. Ce prix comprend également la location, la mise en place, l'entretien, le gardiennage et le repli de la signalisation temporaire verticale pour la mise en oeuvre d'itinéraire de déviation de véhicules si nécessaire.</t>
  </si>
  <si>
    <t>˗ la fourniture, l'amenée, la mise en place, la location de la signalisation, ainsi que tous les personnels et matériels nécessaires à l'exécution de la signalisation,</t>
  </si>
  <si>
    <t>˗ la surveillance, l'entretien et le remplacement des dispositifs en cas de détérioration,</t>
  </si>
  <si>
    <t>˗ le repli de toute la signalisation mise en place.</t>
  </si>
  <si>
    <t>Ces prix s'appliquent à la mise en place et à l'exploitation d'un ou plusieurs ateliers de signalisation simultanés.</t>
  </si>
  <si>
    <t>Cette signalisation devra être rigoureusement conforme aux spécifications du code de la route en vigueur au moment du chantier.</t>
  </si>
  <si>
    <t>Tout manquement à l'une des prescriptions du C.C.A.P. ou du C.C.T.P., de jour comme de nuit même pour un seul dispositif de signalisation constaté par le maître d'œuvre ou le maître d'ouvrage, entraînera la non application de ce prix.</t>
  </si>
  <si>
    <t xml:space="preserve">Le maître d'ouvrage se réserve le droit de ne pas appliquer ces forfaits. Ces prix ne s'appliquent pas aux prix 17, 18 et 19. </t>
  </si>
  <si>
    <t>Il pourra être envisagé la mutualisation des frais de signalisation à l'occasion de l'exécution d'autres chantier à proximité. Ce libre-arbitre sera laissé à la discrétion du maître d'ouvrage.</t>
  </si>
  <si>
    <t>1.3.1</t>
  </si>
  <si>
    <t>1.3.2</t>
  </si>
  <si>
    <t>1.3.3</t>
  </si>
  <si>
    <t>Montant du chantier compris entre 30 001 € HT et 50 000 € HT</t>
  </si>
  <si>
    <t>1.3.12</t>
  </si>
  <si>
    <t>1.3.13</t>
  </si>
  <si>
    <t>1.4</t>
  </si>
  <si>
    <t>ALTERNAT</t>
  </si>
  <si>
    <t>Ces prix s'appliquent à la journée (calendaire) pour l'installation de deux ou trois feux tricolores, équipés d'un affichage du temps d'attente et de leur contrôleur, permettant la régulation de la circulation à sens alterné mis en place après accord du maître d'œuvre ou du maître d'ouvrage, ou pour la mise en oeuvre d'un alternant manuel avec deux ou trois agents.</t>
  </si>
  <si>
    <t>Les matériels et les plans de feux devront être conformes à la réglementation en vigueur et soumis avant installation pour agrément au maître d’œuvre et au maître d'ouvrage.</t>
  </si>
  <si>
    <t>Pour la mise en œuvre de feux tricolores, les prix comprennent la location, l'amenée, le raccordement électrique (autonome ou au réseau), la mise en marche et le retrait des matériels ainsi que leur parfait entretien pendant la période de fonctionnement.</t>
  </si>
  <si>
    <t>Pour l'alternat manuel, ce prix rémunère, à la journée, le personnel nécessaire à la mise en œuvre d’une circulation alternée ainsi que l'ensemble du matériel de signalisation désigné à cet effet.</t>
  </si>
  <si>
    <t>Alternat par feux tricolores avec affichage du temps d'attente (2 U)</t>
  </si>
  <si>
    <t>LA JOURNEE</t>
  </si>
  <si>
    <t>J</t>
  </si>
  <si>
    <t>Alternat par feux tricolores avec affichage du temps d'attente (3 U)</t>
  </si>
  <si>
    <t>Alternat manuel (2 personnes)</t>
  </si>
  <si>
    <t>1.4.4</t>
  </si>
  <si>
    <t>Alternat manuel (3 personnes)</t>
  </si>
  <si>
    <t>AMENEE, MISE EN PLACE, LOCATION ET REPLI DE GLISSIERES EN BETON ARME (GBA)</t>
  </si>
  <si>
    <t>Ces prix rémunèrent au mètre linéaire par jour calendaire l'amenée, la mise en place, la location et le repli de glissières en béton armé (GBA) permettant un balisage lourd de sécurité pendant toute la durée du chantier.</t>
  </si>
  <si>
    <t>Ils comprennent  :</t>
  </si>
  <si>
    <t>˗ le chargement et le transport sur site,</t>
  </si>
  <si>
    <t>˗ la pose,</t>
  </si>
  <si>
    <t>˗ le liaisonnement entre les éléments et toutes autres sujestions quelle que soit la difficulté,</t>
  </si>
  <si>
    <t>˗ la location des éléments (glissières en béton armé et bardage métallique),</t>
  </si>
  <si>
    <t>˗ l'entretien comprenant le désaffichage, le dégraffitage et le nettoyage,</t>
  </si>
  <si>
    <t>˗ les déplacements et ajustements nécessaires aux besoins du chantier,</t>
  </si>
  <si>
    <t>˗ le remplacement des éléments manquants ou endommagés,</t>
  </si>
  <si>
    <t>˗ la dépose et le repli des glissières en béton armé et de leur bardage métallique, incluant le chargement et déchargement ainsi que son transport.</t>
  </si>
  <si>
    <t>Cette signalisation devra être conforme aux spécifications du code de la route en vigueur au moment du chantier.</t>
  </si>
  <si>
    <t>1.5.1</t>
  </si>
  <si>
    <t>Amenée, mise en place et repli de GBA</t>
  </si>
  <si>
    <t>LE METRE LINEAIRE</t>
  </si>
  <si>
    <t>ML</t>
  </si>
  <si>
    <t>1.5.2</t>
  </si>
  <si>
    <t>Location de GBA</t>
  </si>
  <si>
    <t>LE METRE LINEAIRE PAR JOUR</t>
  </si>
  <si>
    <t>ML/J</t>
  </si>
  <si>
    <t>1.5.3</t>
  </si>
  <si>
    <t>Déplacement de GBA en cours de chantier</t>
  </si>
  <si>
    <t>AMENEE, MISE EN PLACE, LOCATION ET REPLI DE SEPARATEURS DE VOIE PLASTIQUES</t>
  </si>
  <si>
    <t>Ces prix rémunèrent au mètre linéaire par jour calendaire l'amenée, la mise en place, la location et le repli de séparateurs plastiques et de tous les éléments de jonction :</t>
  </si>
  <si>
    <t>˗ le chargement et le transport sur site des séparateurs plastiques,</t>
  </si>
  <si>
    <t>˗ la location des séparateurs plastiques,</t>
  </si>
  <si>
    <t>˗ la dépose et le repli des séparateurs plastiques et des éléments de jonction, incluant le chargement et déchargement ainsi que son transport.</t>
  </si>
  <si>
    <t>Il comprend également toutes les prestations nécessaires au lestage des séparateurs, la fourniture de l'eau ou du sable, son transport à pied d'œuvre à l'aide de moyens appropriés et le remplissage des éléments.</t>
  </si>
  <si>
    <t>1.6.1</t>
  </si>
  <si>
    <t>Amenée, mise en place, déplacement selon besoin du chantier et repli de séparateurs de voie plastiques</t>
  </si>
  <si>
    <t>1.6.2</t>
  </si>
  <si>
    <t>Location de séparateurs de voie plastiques</t>
  </si>
  <si>
    <t>1.7</t>
  </si>
  <si>
    <t>BARRIERES PROVISOIRES DE 1,30 M DE HAUTEUR</t>
  </si>
  <si>
    <t>Ce prix rémunère la location, l’amenée, la mise en place, l’entretien et le repli de barrières provisoires pleines de 1,30 m de hauteur.</t>
  </si>
  <si>
    <r>
      <t xml:space="preserve">Elles seront constituées d’une structure en acier galvanisé et de panneaux traités anti-affiche peints en 2 tons avec éléments réfléchissants. Elles seront soit </t>
    </r>
    <r>
      <rPr>
        <sz val="10"/>
        <rFont val="Arial"/>
        <family val="2"/>
      </rPr>
      <t>spitées</t>
    </r>
    <r>
      <rPr>
        <sz val="10"/>
        <color indexed="8"/>
        <rFont val="Arial"/>
        <family val="2"/>
      </rPr>
      <t xml:space="preserve"> au sol, soit placées sur support béton ou élastomère (prestation incluse dans le prix). Elles seront équipées d'un chasse roue en pied.</t>
    </r>
  </si>
  <si>
    <t>Ces barrières seront mises en place uniquement à la demande du maître d'œuvre ou du maître d'ouvrage et ne doivent pas servir à clôturer les emprises de chantier ni l'emprise base vie (les clôtures des emprises de chantier et de la base vie étant rémunérées au prix 1.1).</t>
  </si>
  <si>
    <t>Barrières de 1,3m de type ville de Paris</t>
  </si>
  <si>
    <t>Barrières de 1,3m de type ville de Paris pour un chantier inférieur à 50ml</t>
  </si>
  <si>
    <t>Barrières de 1,3m de type ville de Paris pour un chantier compris entre à 51ml et 100ml</t>
  </si>
  <si>
    <t>1.7.4</t>
  </si>
  <si>
    <t>Barrières de 1,3m de type ville de Paris pour un chantier compris entre à 101ml et 200ml</t>
  </si>
  <si>
    <t>1.7.5</t>
  </si>
  <si>
    <t>Barrières de 1,3m de type ville de Paris pour un chantier supérieur à 201ml</t>
  </si>
  <si>
    <t>1.8</t>
  </si>
  <si>
    <t>BARRIERES DE TYPE HERAS DE 2,00 M DE HAUTEUR (maille 100 x 250 mm)</t>
  </si>
  <si>
    <t>Ce prix rémunère la location, l’amenée, la mise en place, l’entretien et le repli de barrières provisoires pleines de 2,00 m de hauteur ou pleines sur 1,00 m de hauteur et grillagées sur 1,00 m de hauteur.</t>
  </si>
  <si>
    <t>Elles seront constituées d’une structure en acier galvanisé et de panneaux traités anti-affiche peints en 2 tons avec éléments réfléchissants. Elles seront soit spitées au sol, soit placées sur support béton ou élastomère (prestation incluse dans le prix). Elles seront équipées d'un chasse roue en pied.</t>
  </si>
  <si>
    <t>1.8.1</t>
  </si>
  <si>
    <t xml:space="preserve">Barrières de 2m </t>
  </si>
  <si>
    <t>1.8.2</t>
  </si>
  <si>
    <t>Barrières de 2m pour un chantier inférieur à 50ml</t>
  </si>
  <si>
    <t>1.8.3</t>
  </si>
  <si>
    <t>Barrières de 2m pour un chantier compris entre à 51ml et 100ml</t>
  </si>
  <si>
    <t>1.8.4</t>
  </si>
  <si>
    <t>Barrières de 2m pour un chantier compris entre à 101ml et 200ml</t>
  </si>
  <si>
    <t>1.8.5</t>
  </si>
  <si>
    <t>Barrières de 2m pour un chantier supérieur à 201ml</t>
  </si>
  <si>
    <t>1.9</t>
  </si>
  <si>
    <t>PONTS PROVISOIRES ANTI-DERAPANTS</t>
  </si>
  <si>
    <t>Ces prix rémunèrent à l'unité la location, la fourniture, la pose, le déplacement et le repli de ponts provisoires anti-dérapants pour piétons ou véhicules quel que soit le tonnage et la durée nécessaire et comprennent notamment :</t>
  </si>
  <si>
    <t>˗ la fourniture et la mise en œuvre de tous les éléments nécessaires,</t>
  </si>
  <si>
    <t>˗ la location de tous les éléments nécessaires,</t>
  </si>
  <si>
    <t>˗ l'ancrage, le calage et la mise en œuvre des dispositifs de rattrapage des différences altimétriques,</t>
  </si>
  <si>
    <t>˗ tous les dispositifs nécessaires à assurer la rigidité des ponts,</t>
  </si>
  <si>
    <t>˗ la mise en place des dispositifs antichutes nécessaires,</t>
  </si>
  <si>
    <t>˗ le maintien en état de la réparation si nécessaire,</t>
  </si>
  <si>
    <t>˗ le démontage et la récupération de tous les éléments,</t>
  </si>
  <si>
    <t>˗ le transport et les manutentions diverses.</t>
  </si>
  <si>
    <t xml:space="preserve">Les quantités prisent en compte corespondent aux nombres d'accès (péitons et véhicules) équipés de ponts provisoires </t>
  </si>
  <si>
    <t>1.9.1</t>
  </si>
  <si>
    <t>Ponts provisoire anti-dérapants pour piétons</t>
  </si>
  <si>
    <t>1.9.2</t>
  </si>
  <si>
    <t>Ponts provisoire anti-dérapants pour véhicules (quel que soit le tonnage)</t>
  </si>
  <si>
    <t>1.10</t>
  </si>
  <si>
    <t>COMMUNICATION VERS LES RIVERAINS</t>
  </si>
  <si>
    <t>Ces prix rémunèrent au forfait, en fonction du nombre de riverains, la communication vers les riverains et comprennent notamment :</t>
  </si>
  <si>
    <t>˗ l'identification des riverains concernés,</t>
  </si>
  <si>
    <t>˗ la distribution d'un courrier aux riverains et la participation à des réunions publiques exposant les travaux, la gestion de la circulation pendant les travaux et les mesures garantissant les accès aux propriétés.</t>
  </si>
  <si>
    <t>1.10.1</t>
  </si>
  <si>
    <t>Pour un chantier concernant jusqu'à 50 riverains</t>
  </si>
  <si>
    <t>1.10.2</t>
  </si>
  <si>
    <t>Pour un chantier concernant de 51 à 100 riverains</t>
  </si>
  <si>
    <t>1.10.3</t>
  </si>
  <si>
    <t>Pour un chantier concernant 101 riverains et plus</t>
  </si>
  <si>
    <t>1.11</t>
  </si>
  <si>
    <t>CONSTAT D'HUISSIER</t>
  </si>
  <si>
    <t>Ces prix rémunèrent au forfait en fonction du montant de travaux, la réalisation d'un constat d'huissier.</t>
  </si>
  <si>
    <t>Ces prix comprennent notamment :</t>
  </si>
  <si>
    <t>­ la visite d'un huissier avant le début des travaux sur une zone de chantier définie, pour une constatation détaillée de l'état des lieux,</t>
  </si>
  <si>
    <t>­ la remise d'un rapport en 2 exemplaires papier (1 exemplaire à remettre au maître d'œuvre et 1 exemplaire à remettre au maître d'ouvrage) avec photos et/ou vidéos à l'appui et 2 versions informatiques (CD, DVD, Clé USB).</t>
  </si>
  <si>
    <t>1.11.1</t>
  </si>
  <si>
    <t>1.11.2</t>
  </si>
  <si>
    <t>1.11.3</t>
  </si>
  <si>
    <t>1.11.4</t>
  </si>
  <si>
    <t>1.11.5</t>
  </si>
  <si>
    <t>1.11.6</t>
  </si>
  <si>
    <t>1.11.7</t>
  </si>
  <si>
    <t>1.11.8</t>
  </si>
  <si>
    <t>1.11.9</t>
  </si>
  <si>
    <t>1.11.10</t>
  </si>
  <si>
    <t>1.11.11</t>
  </si>
  <si>
    <t>1.11.12</t>
  </si>
  <si>
    <t>Montant du chantier compris entre 2 000 001 € HT et 4 000 000€ HT</t>
  </si>
  <si>
    <t>1.11.13</t>
  </si>
  <si>
    <t>1.12</t>
  </si>
  <si>
    <t>ETUDES D'EXECUTION</t>
  </si>
  <si>
    <t>Ces prix rémunèrent au forfait, en fonction du montant des travaux, la réalisation des études d'exécution des travaux commandés, jusqu'à l'approbation par le maître d'œuvre ou le maître d'ouvrage. Ils comprennent notamment  :</t>
  </si>
  <si>
    <t>˗ les recherches auprès des concessionnaires (Déclaration d'Intention de Commencer les Travaux),</t>
  </si>
  <si>
    <t>˗ la rédaction d'un Plan d'Assurance Qualité, d'un Plan Particulier de Sécurité et de Protection de la Santé et d'un Plan de Respect de l'Environnement, conformément au C.C.T.P.,</t>
  </si>
  <si>
    <t>˗ l'établissement des devis, factures ou mémoires, que ceux-ci soient ou ne soient pas suivi de travaux,</t>
  </si>
  <si>
    <t>˗ l'établissement d'un planning (y compris sa mise à jour durant les travaux) et d'un phasage des travaux,</t>
  </si>
  <si>
    <t>˗ la réalisation des plans de signalisation de chantier,</t>
  </si>
  <si>
    <t>˗ le programme de gestion de la circulation,</t>
  </si>
  <si>
    <t>˗ la réalisation des procédures d'exécution et des notes de calculs nécessaires à la réalisation des travaux,</t>
  </si>
  <si>
    <t>˗ la réalisation des études de détail et des plans d'exécution nécessaires à la réalisation des travaux (plans de coffrages, ferraillage, vue en plan des travaux, profils en long, …),</t>
  </si>
  <si>
    <t>˗ les opérations topographiques  pour l'ensemble des opérations  de  piquetage nécessaires à la réalisation du chantier ainsi que tous les calculs complémentaires,</t>
  </si>
  <si>
    <t>˗ les plans d'évacuation des matériaux,</t>
  </si>
  <si>
    <t>˗ les plans d'approvisionnement des fournitures,</t>
  </si>
  <si>
    <t>˗ la mise à disposition d'un journal de chantier tenu à jour pendant toute la durée du chantier,</t>
  </si>
  <si>
    <t>˗ la fourniture de tous les documents d'exécution déposés pour VISA sur la plateforme collaborative et sous format papier (2 exemplaires papier) et la fourniture après validation du maître d'œuvre sous format papier (2 exemplaires) et sous version informatique (plateforme collaborative) de tous les documents visés,</t>
  </si>
  <si>
    <t>˗ les échanges avec le maître d'œuvre et le maître d'ouvrage pour le VISA des plans et documents, y compris toutes réunions de travail.</t>
  </si>
  <si>
    <t>Il pourra être envisagé la mutualisation des études à l'occasion de l'exécution d'autres chantier à proximité. Ce libre-arbitre sera laissé à la discrétion du maître d'ouvrage.</t>
  </si>
  <si>
    <t>1.12.1</t>
  </si>
  <si>
    <t>1.12.2</t>
  </si>
  <si>
    <t>1.12.3</t>
  </si>
  <si>
    <t>1.12.4</t>
  </si>
  <si>
    <t>1.12.5</t>
  </si>
  <si>
    <t>1.12.6</t>
  </si>
  <si>
    <t>1.12.7</t>
  </si>
  <si>
    <t>1.12.8</t>
  </si>
  <si>
    <t>1.12.9</t>
  </si>
  <si>
    <t>1.12.10</t>
  </si>
  <si>
    <t>1.12.11</t>
  </si>
  <si>
    <t>1.12.12</t>
  </si>
  <si>
    <t>Montant du chantier compris entre 2 000 001 € HT  et 4 000 000€ HT</t>
  </si>
  <si>
    <t>1.12.13</t>
  </si>
  <si>
    <t>1.13</t>
  </si>
  <si>
    <t>DOSSIER DE RECOLEMENT</t>
  </si>
  <si>
    <t>Ces prix rémunèrent au forfait la réalisation du dossier des ouvrages exécutés jusqu'à l'approbation du maître d'oeuvre. Ils comprennent notamment  :</t>
  </si>
  <si>
    <t>˗ la fourniture du dossier des ouvrages exécutés sous format papier (2 exemplaires papier) et sous format informatique (2 Clés USB) conformément aux prescriptions du C.C.T.P. Le dossier doit notamment comprendre :</t>
  </si>
  <si>
    <t xml:space="preserve">            ˗ une présentation des travaux réalisés et des différents interlocuteurs,</t>
  </si>
  <si>
    <t xml:space="preserve">            ˗ un sommaire,</t>
  </si>
  <si>
    <t xml:space="preserve">            ˗ les documents d'exécution, demandes d'agrément et leurs VISAS,</t>
  </si>
  <si>
    <t xml:space="preserve">            ˗ les fiches branchements, dont le modèle est annexé,</t>
  </si>
  <si>
    <t xml:space="preserve">            ˗ les plans de récolement respectant la légende établie par Vallée Sud - Grand Paris,</t>
  </si>
  <si>
    <t xml:space="preserve">            ˗ la fourniture d'une fiche de synthèse dument complétée, dont le modèle est annexé,</t>
  </si>
  <si>
    <t>˗ les échanges avec le maître d'œuvre et le maître d'ouvrage.</t>
  </si>
  <si>
    <t>Il pourra être envisagé la mutualisation des dossiers à l'occasion de l'exécution d'autres chantiers à proximité. Ce libre-arbitre sera laissé à la discrétion du maître d'ouvrage.</t>
  </si>
  <si>
    <t>1.13.1</t>
  </si>
  <si>
    <t>1.13.2</t>
  </si>
  <si>
    <t>1.13.3</t>
  </si>
  <si>
    <t>1.13.4</t>
  </si>
  <si>
    <t>1.13.5</t>
  </si>
  <si>
    <t>1.13.6</t>
  </si>
  <si>
    <t>1.13.7</t>
  </si>
  <si>
    <t>1.13.8</t>
  </si>
  <si>
    <t>1.13.9</t>
  </si>
  <si>
    <t>1.13.10</t>
  </si>
  <si>
    <t>1.13.11</t>
  </si>
  <si>
    <t>1.13.12</t>
  </si>
  <si>
    <t>1.13.13</t>
  </si>
  <si>
    <t>1.14</t>
  </si>
  <si>
    <t>ENTRETIEN DU MARQUAGE PIQUETAGE DES RESEAUX</t>
  </si>
  <si>
    <t xml:space="preserve">Ce prix rémunère au mètre carré de voirie, l'entretien du marquage piquetage des réseaux réalisé par le maitre d'ouvrage avant le démarrage des travaux, et ce quel qu'en soit le phasage. </t>
  </si>
  <si>
    <t xml:space="preserve">Cette prestation comprend :  </t>
  </si>
  <si>
    <t xml:space="preserve"> -le maintien et l'entretien de la détection et marquage au sol des réseaux réalisée au préalable par la Maîtrise d'ouvrage pendant toute la durée des travaux.</t>
  </si>
  <si>
    <t>1.14.1</t>
  </si>
  <si>
    <t>Surface de chantier inférieur à 250 m²</t>
  </si>
  <si>
    <t>LE METRE CARRE</t>
  </si>
  <si>
    <t>M²</t>
  </si>
  <si>
    <t>1.14.2</t>
  </si>
  <si>
    <t>Suface de chantier supérieur à 251 m²</t>
  </si>
  <si>
    <t>1.15</t>
  </si>
  <si>
    <t>FOURNITURE ET POSE DE LA PLANCHE D'ESSAI</t>
  </si>
  <si>
    <t>Ce prix rémunère au forfait la réalisation, y compris fournitures nécessaires, d'une planche d'essai de 20m² sur le lieu défini par le Maître d'ouvrage comprenant :
˗l'implantation,
-les terrassements,
-la pose des différents revêtements et la réalisation des ouvrages suivant les prescriptions du CCTP (y compris structures, lit de pose, habillage et jointement)
-la démolition de la plnache d'essai y compris évacuation des gravats
-le nettoyage et toutes petites fournitures nécessaires</t>
  </si>
  <si>
    <t>2</t>
  </si>
  <si>
    <t>ESPACES VERTS ET MOBILIER URBAIN</t>
  </si>
  <si>
    <t>2.1</t>
  </si>
  <si>
    <t xml:space="preserve">ESPACES VERTS </t>
  </si>
  <si>
    <t>Abattage d'arbres de moins de 10 mètres de hauteur</t>
  </si>
  <si>
    <t>Ces prix rémunèrent l'abattage d'arbres à l'unité de taille inférieure à 10 mètres de hauteur, dans les règles de l'art.</t>
  </si>
  <si>
    <t>Ils comprennent également la main d'oeuvre, le matériel et  l'évacuation des déchets de coupes de bois.</t>
  </si>
  <si>
    <t>2.1.1.1</t>
  </si>
  <si>
    <t>Classe de diamètre : 5 à 15 cm (mesuré à 1,5 m de hauteur)</t>
  </si>
  <si>
    <t>2.1.1.2</t>
  </si>
  <si>
    <t>Classe de diamètre : 16 à 30 cm (mesuré à 1,5 m de hauteur)</t>
  </si>
  <si>
    <t>2.1.1.3</t>
  </si>
  <si>
    <t>Classe de diamètre : 31 à 65 cm (mesuré à 1,5 m de hauteur)</t>
  </si>
  <si>
    <t>Abattage d'arbres de 10 m à 20 m</t>
  </si>
  <si>
    <t xml:space="preserve">Ces prix rémunèrent l'abattage d'arbres à l'unité de taille comprise entre 10 mètres et 20 mètres de hauteur, dans les règles de l'art. </t>
  </si>
  <si>
    <t>Ils comprennent également la main d'oeuvre, le matériel et l'évacuation des déchets de coupes de bois.</t>
  </si>
  <si>
    <t>2.1.2.1</t>
  </si>
  <si>
    <t>2.1.2.2</t>
  </si>
  <si>
    <t>Plus-value pour Dessouchage</t>
  </si>
  <si>
    <t>Ce prix rémunère la plus-value pour les opérations de dessouchage.</t>
  </si>
  <si>
    <t>Elagage d'arbres</t>
  </si>
  <si>
    <r>
      <t xml:space="preserve">Ce prix rémunère l'élagage d'un arbre jusqu'à une hauteur </t>
    </r>
    <r>
      <rPr>
        <sz val="10"/>
        <rFont val="Calibri"/>
        <family val="2"/>
      </rPr>
      <t>≤</t>
    </r>
    <r>
      <rPr>
        <sz val="10"/>
        <rFont val="Arial"/>
        <family val="2"/>
      </rPr>
      <t xml:space="preserve"> 6 mètres, dans les règles de l'art. 
Il comprend également la main d'oeuvre, le matériel, le chargement sur engins de transport et l'évacuation en décharge agréée (droits de décharge compris).</t>
    </r>
  </si>
  <si>
    <t>Débroussaillage</t>
  </si>
  <si>
    <t>Ce prix rémunère au mètre carré, le débroussaillage de la zone de travaux dans les règles de l'art. 
Il comprend également la main d'oeuvre, le matériel, le chargement sur engins de transport et l'évacuation en décharge agréée (droits de décharge compris)</t>
  </si>
  <si>
    <t>M2</t>
  </si>
  <si>
    <t>2.1.6</t>
  </si>
  <si>
    <t>Abattage de haie</t>
  </si>
  <si>
    <t>Ce prix rémunère au mètre linéaire, l'abbatage de haies dans les règles de l'art, y compris enlèvement des souches.
Il comprend également la main d'oeuvre, le matériel, le chargement sur engins de transport et l'évacuation en décharge agréée (droits de décharge compris).</t>
  </si>
  <si>
    <t>LE METRE LINEAIRE :</t>
  </si>
  <si>
    <t>2.1.7</t>
  </si>
  <si>
    <t>Réalisation d'une dalle de répartition pour fosse d'arbre</t>
  </si>
  <si>
    <t>Ce prix rémunère au mètre carré la réalisation d'une dalle de répartition en béton d'épaisseur 20 cm ferraillée et comprend notamment :</t>
  </si>
  <si>
    <t>- réalisation de la dalle en béton ferraillée coulée en place,</t>
  </si>
  <si>
    <t>- la main d'oeuvre, le matériel, nécessaire.</t>
  </si>
  <si>
    <t>2.1.8</t>
  </si>
  <si>
    <t>Réalisation d'une résine drainée en pied d'arbre</t>
  </si>
  <si>
    <t>Ce prix rémunère au mètre carré la réalisation d'une résine drainée en pied d'arbre et comprend notamment :</t>
  </si>
  <si>
    <t>- les terrassements nécessaires en pied d'arbre pour aplanir la surface à - 3 cm du niveau fini,</t>
  </si>
  <si>
    <t>- la fourniture et la mise en œuvre d'un géotextile,</t>
  </si>
  <si>
    <t>- la fourniture et la mise en œuvre d'agrégats non liés et secs sur 3 cm en laissant un espace de croissance en pied d'arbre,</t>
  </si>
  <si>
    <t>- la fourniture, le mélange de la résine et du durcisseur de type 723 LANKOPOXY ou équivalent au malaxeur mécanique,</t>
  </si>
  <si>
    <t>- la réalisation du mélange précédent avec les granulats secs et propres choisis,</t>
  </si>
  <si>
    <t>- la mise en place du mélange sur la couche non liée y compris damage à la taloche humidifiée avec le diluant adapté au produit.</t>
  </si>
  <si>
    <t>LE METRE CARRE :</t>
  </si>
  <si>
    <t>2.1.9</t>
  </si>
  <si>
    <t>Fourniture de végétaux</t>
  </si>
  <si>
    <t>Ce prix s'applique à l'unité et rémunère notamment :</t>
  </si>
  <si>
    <t>- la fourniture des végétaux,</t>
  </si>
  <si>
    <t>- le transport à pied d'oeuvre,</t>
  </si>
  <si>
    <t>- le déchargement délicat et la protection provisoire avant plantation,</t>
  </si>
  <si>
    <t>- la réception des plantes par le maître d'œuvre ou le maître d'ouvrage avant mise en terre</t>
  </si>
  <si>
    <t>2.1.9.1</t>
  </si>
  <si>
    <t>Fourniture d'arbres tiges</t>
  </si>
  <si>
    <t>Abréviations :</t>
  </si>
  <si>
    <t>T=Tige</t>
  </si>
  <si>
    <t>20/25=Circonférence du tronc à 1 m du collet en cm</t>
  </si>
  <si>
    <t>tr=Transplantation</t>
  </si>
  <si>
    <t>M=Motte ; MG = Motte grillagée, RN=Racines Nue</t>
  </si>
  <si>
    <t>HSC=Hauteur sous couronne (2,20m par défaut)</t>
  </si>
  <si>
    <t>2.1.9.1.1</t>
  </si>
  <si>
    <t>Acer pseudoplatanus "Erectum" - T25/30 - 4xtr - MG</t>
  </si>
  <si>
    <t>2.1.9.1.2</t>
  </si>
  <si>
    <t>Acer pseudoplatanus - T20/25 - 4xtr - MG</t>
  </si>
  <si>
    <t>2.1.9.1.3</t>
  </si>
  <si>
    <t>Pyrus calleryana "Chantecleer" - T20/25 - 4xtr - MG</t>
  </si>
  <si>
    <t>2.1.9.1.4</t>
  </si>
  <si>
    <t>Fraxinus angustifolia 'Raywood' - MG - T - 18/20</t>
  </si>
  <si>
    <t>2.1.9.1.5</t>
  </si>
  <si>
    <t>Gleditsia triacanthos ' Inermis' - MG - T - 18/20</t>
  </si>
  <si>
    <t>2.1.9.1.6</t>
  </si>
  <si>
    <t>Celtis australis - MG - T - 18/20</t>
  </si>
  <si>
    <t>2.1.9.2</t>
  </si>
  <si>
    <t>Fourniture d'arbres cépées et formes naturelles</t>
  </si>
  <si>
    <t>CP=Cépée ; CPr = Cépée remontée ; 350/400 = Hauteur (en cm) ; L = Largeur (cm)</t>
  </si>
  <si>
    <t>TBB=Tige basse branchue ou forme naturelle ; 20/25=Circonférence du tronc à 1 m du collet en cm</t>
  </si>
  <si>
    <t>Br=nombre de troncs (3 par défaut)</t>
  </si>
  <si>
    <t>2.1.9.2.1</t>
  </si>
  <si>
    <t>Acer campestre - CP 250/300 - 3xtr - L 100/150 - MG - Solitaire</t>
  </si>
  <si>
    <t>2.1.9.2.2</t>
  </si>
  <si>
    <t>Malus x Everest "Perpetu" - CP 250/300 - 3xtr - L 100/150 - MG Solitaire</t>
  </si>
  <si>
    <t>2.1.9.3</t>
  </si>
  <si>
    <t>Fourniture d'arbustes, vivaces et graminées</t>
  </si>
  <si>
    <t>V9=godet de 9x9 cm</t>
  </si>
  <si>
    <t>M4=Motte anti-chignons 7x7x15 cm</t>
  </si>
  <si>
    <t>P32 F9=Fertipot diamètre 7 cm x H 9 cm (plaque biodégradable de 32 u)</t>
  </si>
  <si>
    <t>C2L=Conteneur 2L ; C=Conteneur</t>
  </si>
  <si>
    <t>2.1.9.3.1</t>
  </si>
  <si>
    <t>Carex pendula - V9</t>
  </si>
  <si>
    <t>2.1.9.3.2</t>
  </si>
  <si>
    <t>Molinia arundinacea "Karl Foerster" - V9</t>
  </si>
  <si>
    <t>2.1.9.3.3</t>
  </si>
  <si>
    <t>Hemerocallis hybrides "Stella d'Oro" - V9</t>
  </si>
  <si>
    <t>2.1.9.3.4</t>
  </si>
  <si>
    <t>Lythrum salicaria - V9</t>
  </si>
  <si>
    <t>2.1.9.3.5</t>
  </si>
  <si>
    <t>Iris sibirica</t>
  </si>
  <si>
    <t>2.1.9.3.6</t>
  </si>
  <si>
    <t>Pennisetum alopecuroides "Herbstzauber" - V9</t>
  </si>
  <si>
    <t>2.1.9.3.7</t>
  </si>
  <si>
    <t>Petasites hybridus - V9</t>
  </si>
  <si>
    <t>2.1.9.3.8</t>
  </si>
  <si>
    <t>Salix purpurea "Nana" 60/100</t>
  </si>
  <si>
    <t>2.1.10</t>
  </si>
  <si>
    <t>Plantation des végétaux et garantie de reprise</t>
  </si>
  <si>
    <t>Ce prix rémunère à l'unité la platantion des végétaux et la garantie de reprise et comprend notamment :</t>
  </si>
  <si>
    <t>- la taille du végétal avant plantation et après la réception par le mapitre d'œuvre ou le maitre d'ouvrage,</t>
  </si>
  <si>
    <t>- le creusement du trou au sein de la terre végétale préalablement mis dans la fosse,</t>
  </si>
  <si>
    <t>- un complément 0,5 m3 de tourbe par arbres acidophiles,</t>
  </si>
  <si>
    <t>- la mise en place de la plante de façon parfaitement verticale,</t>
  </si>
  <si>
    <t>- le remblaiement en terre végétale de la motte ou de l'appareil racinaire,</t>
  </si>
  <si>
    <t>- la création de la cuvette et l'arrosage,</t>
  </si>
  <si>
    <t>- la garantie de reprise des végétaux plantés pendant 1 an à compter de la réception,</t>
  </si>
  <si>
    <t>- le remplacement de tous les végétaux morts ou chétifs dont l'état a été constaté durant l'année de garantie,</t>
  </si>
  <si>
    <t>- toutes sujétions, tout matériels, matériaux, travaux et main d'œuvre nécessaire à la réalisation das les règles de l'art et les normes en vigueur pour la bonne reprise des végétaux.</t>
  </si>
  <si>
    <t>2.1.10.1</t>
  </si>
  <si>
    <t>Plantation d'arbres tige</t>
  </si>
  <si>
    <t>2.1.10.1.1</t>
  </si>
  <si>
    <t>Arbre tige 25/30</t>
  </si>
  <si>
    <t>2.1.10.1.2</t>
  </si>
  <si>
    <t>Arbre tige 20/25</t>
  </si>
  <si>
    <t>2.1.10.2</t>
  </si>
  <si>
    <t>Plantation d'arbres cépée et forme naturelle</t>
  </si>
  <si>
    <t>2.1.10.2.1</t>
  </si>
  <si>
    <t>Arbres Hauteur 250/300</t>
  </si>
  <si>
    <t>2.1.10.3</t>
  </si>
  <si>
    <t>Plantation d'arbuste, graminées et vivaces</t>
  </si>
  <si>
    <t>2.1.11</t>
  </si>
  <si>
    <t>Travaux de parachèvement</t>
  </si>
  <si>
    <t>2.1.11.1</t>
  </si>
  <si>
    <t>Travaux de parachèvement des arbres Ti et CP</t>
  </si>
  <si>
    <t>Ce prix s'applique à l'unité et comprend notamment :</t>
  </si>
  <si>
    <t>- une taille de formation,</t>
  </si>
  <si>
    <t xml:space="preserve">- un arrosage à raison de 300 litres par arbre et par passage, </t>
  </si>
  <si>
    <t>- le désherbage des pieds d'arbres,</t>
  </si>
  <si>
    <t>- les traitements phytosanitaires si nécessaire,</t>
  </si>
  <si>
    <t>- le contrôle et remise en état des tuteurs et attaches si nécessaire,</t>
  </si>
  <si>
    <t>- une application d'engrais type Floranid arbres à raison de 250 gr/arbre,</t>
  </si>
  <si>
    <t>- toutes les prestations d'entretien favorisant la reprise des végétaux entre le moment de la plantation et la réception.</t>
  </si>
  <si>
    <t>2.1.11.2</t>
  </si>
  <si>
    <t>Travaux de parachèvement des surfaces arbustives, de vivaces et de graminées</t>
  </si>
  <si>
    <t>Ce prix s'applique au mètre carré et comprend notamment :</t>
  </si>
  <si>
    <t xml:space="preserve">- un arrosage à raison de 50 litres par arbuste et 15 litres par graminée, vivaces , bulbes par arrosage, </t>
  </si>
  <si>
    <t>- le désherbage et nettoyage des massifs, un rammasage des feuilles,</t>
  </si>
  <si>
    <t>- une application d'engrais type Floranid arbres à raison de 50 gr/végétal,</t>
  </si>
  <si>
    <t>2.1.12</t>
  </si>
  <si>
    <t>Travaux de confortement</t>
  </si>
  <si>
    <t>2.1.12.1</t>
  </si>
  <si>
    <t>Travaux de confortement des arbres Ti et CP</t>
  </si>
  <si>
    <t xml:space="preserve">- un arrosage à raison de 300 litres par arbre et par passage (minimum 6 passages par an), </t>
  </si>
  <si>
    <t>- toutes les prestations d'entretien favorisant la reprise des végétaux pendant les 24 mois suivant la réception.</t>
  </si>
  <si>
    <t>2.1.12.2</t>
  </si>
  <si>
    <t>Travaux de confortement des surfaces arbustives, de vivaces et de graminées</t>
  </si>
  <si>
    <t xml:space="preserve">- un arrosage à raison de 50 litres par arbuste et 15 litres par graminée, vivaces , bulbes par arrosage (minimum 6 passages par an), </t>
  </si>
  <si>
    <t>2.1.13</t>
  </si>
  <si>
    <t>Accessoire à la plantation</t>
  </si>
  <si>
    <t>2.1.13.1</t>
  </si>
  <si>
    <t>Tuteurs</t>
  </si>
  <si>
    <t>2.1.13.1.1</t>
  </si>
  <si>
    <t>Simple tuteurage</t>
  </si>
  <si>
    <t>Ce prix rémunère à l'unité la fourniture,et mise en place d'un tuteur et rémunère notamment :</t>
  </si>
  <si>
    <t>- la fourniture et mise en place d'un tuteur par arbre en pin traité,</t>
  </si>
  <si>
    <t>- la founiture et mise en place de tous les accessoires (ligatures ou colliers et fixations).</t>
  </si>
  <si>
    <t>2.1.13.1.2</t>
  </si>
  <si>
    <t>Triple tuteurage</t>
  </si>
  <si>
    <t>Ce prix rémunère à l'unité la fourniture,et mise en place de 3 tuteurs et rémunère notamment :</t>
  </si>
  <si>
    <t>- la fourniture et mise en place de 3 tuteurs par arbre en pin traité,</t>
  </si>
  <si>
    <t>2.1.13.1.3</t>
  </si>
  <si>
    <t>Quadruple tuteurage</t>
  </si>
  <si>
    <t>Ce prix rémunère à l'unité la fourniture,et mise en place de 4 tuteurs et rémunère notamment :</t>
  </si>
  <si>
    <t>- la fourniture et mise en place de 4 tuteurs par arbre en pin traité,</t>
  </si>
  <si>
    <t>2.1.13.2</t>
  </si>
  <si>
    <t>Protection des troncs</t>
  </si>
  <si>
    <t>Ce prix rémunère à l'unité la fourniture et mise en place d'une protection des troncs en natte de jonc et rémunère notamment :</t>
  </si>
  <si>
    <t>- la fourniture et mise en place d'une natte de jonc sur toute la périphérie du tronc depuis la base du tronc jusqu'à une hauteur de 2 m,</t>
  </si>
  <si>
    <t>- la founiture et mise en place de tous les accessoires de fixation,</t>
  </si>
  <si>
    <t>- toutes sujétions, tous matériels, matériaux, travaux et main d'œuvre nécessaires à la réalisation dans les règles de l'art et au bon fonctionnement de l'ensemble.</t>
  </si>
  <si>
    <t>2.1.14</t>
  </si>
  <si>
    <t>Fourniture et mise en oeuvre d'une fosse d'arbre</t>
  </si>
  <si>
    <t>Ce prix rémunère à l'unité la réalisation d'une fosse d'arbre 3x3x1,50m et la mise en place éventuelle d'un tissu anti-racinaire. Il comprend :
l'implantation, les terrassements mécaniques, ou par aspiratrice ou manuellement lorsque des réseaux se trouvent à proximité, l'évacuation des terres excédentaires, la fourniture et la pose d'une canalisation en PVC annelé perforé Ø60 (L:3.00m), la fourniture et la pose d'un tissu anti-racinaire type Tree Root Guiding des Ets Greenmax ou similaire lorsqu'un réseau existant ou projeté se trouve à moins de  2m de l'arbre. Les plans d'exécution et de détail, l'implantation, la fourniture et la mise en place d'un géotextile sur la terre végétale.</t>
  </si>
  <si>
    <t>2.1.15</t>
  </si>
  <si>
    <t>Fourniture et mise en œuvre de grille d'arbre 1500x1500 quel qu'en soit le modèle</t>
  </si>
  <si>
    <t>Ce prix rémunère à l'unité la fourniture et la mise en place de grille d'arbre en acier, RAL 7022, modèle Galets de forme carrée et dimension 1,50x1,50m, avec trappe d'irrigation,  y compris cadre support et accessoires de raidissements, calage et scellement.</t>
  </si>
  <si>
    <t>2.1.16</t>
  </si>
  <si>
    <t>Fourniture et mise en eouvre de grille d'arbre 1225x1225  quel qu'en soit le modèle</t>
  </si>
  <si>
    <t>Ce prix rémunère à l'unité la fourniture à pied d'œuvre de grille d'arbre 1225x1225 pour arbre existant, au RAL défini par le maître d'ouvrage.</t>
  </si>
  <si>
    <t>2.1.17</t>
  </si>
  <si>
    <t>Décapage de terre végétale et évacuation en décharge</t>
  </si>
  <si>
    <t>Ce prix rémunère au mètre cube le nettoyage du terrain, comprenant :</t>
  </si>
  <si>
    <t>˗ le nettoyage de l'ensemble de l'opération, de tous les détritus, déchets ou objets divers, quels qu'ils soient, ainsi que le fauchage de la végétation et le débroussaillage,</t>
  </si>
  <si>
    <t>˗ le relevage des détritus, déchets ou objets divers, produits du fauchage et débroussaillage, le chargement sur engins de transport et l'évacuation en décharge agréée (droits de décharge compris).</t>
  </si>
  <si>
    <t>LE METRE CUBE</t>
  </si>
  <si>
    <t>M3</t>
  </si>
  <si>
    <t>Décapage de terre végétale et mise en stock pour les besoins futurs des espaces verts</t>
  </si>
  <si>
    <t>Ce prix rémunère au mètre cube le décapage de terre végétale et mise en stock pour les besoins futurs des espaces verts. Ce prix comprend l'enlèvement de la terre végétale sur toute l'emprise du projet sur une épaisseur moyenne de 0,25 m, l'élimination des produits étrangers et leur évacuation en décharge, droit de décharge inclus, le chargement, le transport, le déchargement et mise en dépôt dans l'emprise du chantier.</t>
  </si>
  <si>
    <t>2.1.19</t>
  </si>
  <si>
    <t>Fourniture et mise en œuvre de terre végétale</t>
  </si>
  <si>
    <t xml:space="preserve">Ce prix rémunère au mètre cube la fourniture de terre végétale. Il comprend :
</t>
  </si>
  <si>
    <t>˗ le chargement des matériaux,</t>
  </si>
  <si>
    <t>˗ le transport des matériaux,</t>
  </si>
  <si>
    <t>˗ la fourniture et déchargement à pied d'œuvre des matériaux,</t>
  </si>
  <si>
    <t>Ce prix sera réglé au mètre cube calculé pour une épaisseur définie et pour une largeur constatée.</t>
  </si>
  <si>
    <t>2.1.20</t>
  </si>
  <si>
    <t>Fourniture et mise en œuvre de terre végétale franche</t>
  </si>
  <si>
    <t>Ce prix rémunère au mètre cube la fourniture et mise en œuvre de terre végétale franche dans les fosses de plantation, suivant les prescriptions du CCTP. Il comprend:
Si nécessaire la réalisation d'une couche drainante en fond de fosse, la fourniture et mise en œuvre de terre végétale d'apport franche yc amendements correctifs si nécessaire. La terre végétale fournie sera de bonne qualité agronomique. Elle devra être franche et homogène, exempte de pierres, de débris de végétaux, rhizomes, animaux parasites et de corps étrangers. Elle devra avoir une composition granulométrique bien équilibrée et sera finement broyée. Les terres de jardins enrichies de déchets urbains sont interdites ainsi que les terres maraîchères et toutes terres présentant des déchets non dégradables. L'entreprise a interdiction d'utiliser de la terre provenant de sites avec des espèces invasives. Avant toute fourniture et mise en œuvre sur le chantier, la terre végétale doit faire l’objet d’une identification complète.</t>
  </si>
  <si>
    <t>2.1.21</t>
  </si>
  <si>
    <t>Mise en oeuvre de terre végétale fournie ou reprise en stock</t>
  </si>
  <si>
    <t xml:space="preserve">Ce prix rémunère au mètre cube la mise en oeuvre de terre végétale fournie ou reprise en stock. Il comprend :
</t>
  </si>
  <si>
    <t>˗ la reprise en stock, le transport et le déchargement sur site,</t>
  </si>
  <si>
    <t>˗ le réglage des terres aux cotes du projet,</t>
  </si>
  <si>
    <t>˗ la préparation de la terre végétale, en vue de recevoir un engazonnement (herssage, ratissage, roulage).</t>
  </si>
  <si>
    <t>2.1.22</t>
  </si>
  <si>
    <t>Mise en oeuvre de compost végétal (épaisseur 5 cm) pour amender la terre végétale reprise sur site</t>
  </si>
  <si>
    <t>Ce prix rémunère au mètre carré la fourniture et mise en œuvre de compost végétal. Il comprend :</t>
  </si>
  <si>
    <t>˗ la fourniture d'engrais organique base 50 % taux de matière organique,</t>
  </si>
  <si>
    <t>˗ le chargement, le transport et la fourniture du compost végétal ainsi que les frais correspondants,</t>
  </si>
  <si>
    <t>˗ l'analyse par un spécialiste des mélanges terreux rapportés sur le site,</t>
  </si>
  <si>
    <t>˗ le réglage sur le site de destination selon les indications de la direction des travaux,</t>
  </si>
  <si>
    <t>˗ tous travaux de mélange homogène au substrat,</t>
  </si>
  <si>
    <t>˗ la main d'œuvre, le nettoyage,</t>
  </si>
  <si>
    <t>˗ toutes sujétions pour une réalisation dans les règles de l'art, les normes en vigueurs.</t>
  </si>
  <si>
    <t>2.1.23</t>
  </si>
  <si>
    <t>Engazonnement</t>
  </si>
  <si>
    <t>Ces prix rémunèrent l'engazonnement mécanique ou manuel au mètre carré et comprennent :</t>
  </si>
  <si>
    <t>˗ la préparation de la terre végétale, en vue de recevoir un engazonnement (herssage, ratissage, roulage),</t>
  </si>
  <si>
    <t>˗ l'engazonnement du terrain préparé.</t>
  </si>
  <si>
    <t>2.1.23.1</t>
  </si>
  <si>
    <t>Engazonnement mécanique</t>
  </si>
  <si>
    <t>2.1.23.2</t>
  </si>
  <si>
    <t>Engazonnement manuel</t>
  </si>
  <si>
    <t>2.1.24</t>
  </si>
  <si>
    <t>Protection anti-racinaire</t>
  </si>
  <si>
    <t>Ce prix rémunère au mètre carré la fourniture et mise en œuvre d’un film anti-racine, membrane non tissée 100% polypropylène de 325 g/m².</t>
  </si>
  <si>
    <t>2.1.25</t>
  </si>
  <si>
    <t>Barrière anti-racine</t>
  </si>
  <si>
    <t xml:space="preserve">Ce prix rémunère à l'unité la fourniture et pose d'une barrière anti-racine dans les fosses des arbres. La barrière sera plaquée sur le côté de la fosse qui sera à proximité d'un réseau. </t>
  </si>
  <si>
    <t>2.1.26</t>
  </si>
  <si>
    <t>Analyse de terre végétale</t>
  </si>
  <si>
    <t>Ce prix rémunère à l'unité la réalisation de contrôle par analyse laboratoire de la terre végétale franche après mise en œuvre. L’entreprise contrôlera systématiquement la qualité et la conformité de la terre qu’elle mettra en œuvre, elle ne pourra pas alléguer ultérieurement d’un quelconque défaut de celle-ci pour justifier du dépérissement des végétaux. Un contrôle par analyse laboratoire toutes les 20 fosses sera exigé. L’analyse physico-chimique d’un échantillon moyen représentatif qui sera prélevé comme suit : L’entreprise prélèvera sur la terre végétale mise en œuvre toutes les 20 fosses des échantillons d’environ 2 litres. Chaque échantillon de 2 litres sera envoyé au laboratoire agréé pour analyse. Ces analyses physico-chimiques de contrôle après mise en œuvre seront effectuées par un laboratoire au choix du maître d’œuvre et à la charge de l’entrepreneur, afin de s’assurer de la parfaite conformité de la terre mise en œuvre.</t>
  </si>
  <si>
    <t>2.1.27</t>
  </si>
  <si>
    <t>Protection des fosses d'arbres</t>
  </si>
  <si>
    <t>Ce prix rémunère à l'unité la protection des fosses d'arbres réalisées. Il comprend: 
La fourniture et la pose de 4 pieux, enfoncés au minimum de 0,80m dans le sol et dépassant de 1,70m, positionnés aux quatre coins de la fosse avec un écartement de 1,40m, la fourniture et la pose de 4 demi-traverses fixées sur les pieux à l’aide d’un tire-fond Ø 8/100. Les piquets, tuteurs, rondins, pieux divers, doivent être en bois Classe 4 (norme NF EN 335‐1) catégorie usage extérieur, non traités, issu de foret certifiée PEFC. Les pieux servant à réaliser les travaux de protection de fouille sont épointés et mesurent 2m50 de longueur minimum pour un diamètre de 10cm.Les traverses sont des demi‐rondins de 10cm de diamètre. L'enlèvement et l'évacuation des protections lorsque c'est nécessaire.</t>
  </si>
  <si>
    <t>2.1.28</t>
  </si>
  <si>
    <t>Protection des fosses de plantation</t>
  </si>
  <si>
    <t>Ce prix rémunère au mètre carré la protection des fosses de plantation réalisées. Il comprend: 
La fourniture et la mise en œuvre de bâche, dans un matériau adapté, imperméable et protégeant la fosse de toutes souillures, y compris celles pouvant être occasionnées par les travaux du titulaire ou d’un tiers. Le film isolant doit être résistant aux frottements et aux déchirures. Le film utilisé est polyéthylène et a une épaisseur minimale de 150 microns (µ). La fourniture et mise en œuvre d'une couche de grave 0/20 sur 10cm d'épaisseur sur la bâche. L'enlèvement et l'évacuation des protections lorsque c'est nécessaire.</t>
  </si>
  <si>
    <t>2.2</t>
  </si>
  <si>
    <t>MOBILIER URBAIN</t>
  </si>
  <si>
    <t>Dépose de mobilier urbain</t>
  </si>
  <si>
    <t>Ces prix rémunèrent à l'unité ou au mètre linéaire la dépose, le décrottage et stockage sur site ou le chargement et l'évacuation au dépôt désigné par le maître d'ouvrage, de poteaux, potelets, bornes, boules, grilles d'arbre, bancs, barrières, poubelles, jardinières, arceau de parking, appui vélo, borne rétractable, glissière bois, horodateur, coussin berlinois, clôture et portillon, ....</t>
  </si>
  <si>
    <t>Les prix comprennent également la démolition des maçonneries de scellement quel qu’en soit le nombre.</t>
  </si>
  <si>
    <t>2.2.1.1</t>
  </si>
  <si>
    <t>Dépose de potelet (quel que soit le type)</t>
  </si>
  <si>
    <t>2.2.1.2</t>
  </si>
  <si>
    <t>Dépose de borne (quelle que soit le type)</t>
  </si>
  <si>
    <t>2.2.1.3</t>
  </si>
  <si>
    <t>Dépose de boule (quelle que soit le type)</t>
  </si>
  <si>
    <t>2.2.1.4</t>
  </si>
  <si>
    <t>Dépose de grille d'arbre (quelle que soit le type)</t>
  </si>
  <si>
    <t>2.2.1.5</t>
  </si>
  <si>
    <t>Dépose de banc (quel que soit le type)</t>
  </si>
  <si>
    <t>2.2.1.6</t>
  </si>
  <si>
    <t>Dépose de barrière (quelle que soit le type)</t>
  </si>
  <si>
    <t>2.2.1.7</t>
  </si>
  <si>
    <t>Dépose de poubelle (quelle que soit le type)</t>
  </si>
  <si>
    <t>2.2.1.8</t>
  </si>
  <si>
    <t>Dépose de jardinière (quelle que soit le type)</t>
  </si>
  <si>
    <t>2.2.1.9</t>
  </si>
  <si>
    <t>Dépose d'arceau de parking (quel que soit le type)</t>
  </si>
  <si>
    <t>2.2.1.10</t>
  </si>
  <si>
    <t>Dépose d'une borne rétractable (quelle que soit le type)</t>
  </si>
  <si>
    <t>2.2.1.11</t>
  </si>
  <si>
    <t>Dépose de glissière bois (quelle que soit le type)</t>
  </si>
  <si>
    <t>2.2.1.12</t>
  </si>
  <si>
    <t>Dépose de gabions (quel que soit le modèle)</t>
  </si>
  <si>
    <t>Ce prix rémunère la dépose soignée de gabions existants. Il comprend : 
L’amenée et le repli du matériel et personnel nécessaire à l’exécution de la tâche, la dépose soignée des gabions, l'évacuation et le stockage des gabions dans un endroit indiqué par le maître d'œuvre, toutes sujétions de réalisation.</t>
  </si>
  <si>
    <t>2.2.1.13</t>
  </si>
  <si>
    <t>Dépose de maçonnerie</t>
  </si>
  <si>
    <t>Ce prix rémunère la démolition d'ouvrages de maçonnerie (jardinières, murets...), le chargement et l'évacuation des éventuels dépôts de matériaux et déchets divers présents dans l'emprise du chantier.</t>
  </si>
  <si>
    <t>2.2.1.14</t>
  </si>
  <si>
    <t>Dépose d'horodateur (quel que soit le type)</t>
  </si>
  <si>
    <t>2.2.1.15</t>
  </si>
  <si>
    <t>Dépose d'appui vélo (quel que soit le type)</t>
  </si>
  <si>
    <t>2.2.1.16</t>
  </si>
  <si>
    <t>Dépose de coussin berlinois (quel que soit le type)</t>
  </si>
  <si>
    <t>2.2.1.17</t>
  </si>
  <si>
    <t>Démolition d'une logette y compris dalle support</t>
  </si>
  <si>
    <t>2.2.1.18</t>
  </si>
  <si>
    <t>Démolition d'un kiosque y compris support existant</t>
  </si>
  <si>
    <t>2.2.1.19</t>
  </si>
  <si>
    <t>Dépose de clôture et portillon</t>
  </si>
  <si>
    <t>2.2.1.20</t>
  </si>
  <si>
    <t xml:space="preserve">Dépose poteau pour jardinière </t>
  </si>
  <si>
    <t>Dépose de poteau (quel que soit le type)</t>
  </si>
  <si>
    <t>Dépose de panneau</t>
  </si>
  <si>
    <t>Ces prix rémunèrent à l'unité la dépose, le décrottage et stockage sur site ou le chargement et l'évacuation au dépôt désigné par le maître d'ouvrage, de panneaux de signalisation.</t>
  </si>
  <si>
    <t>Les prix comprennent également la démolition des massifs de scellement quel qu’en soit le nombre.</t>
  </si>
  <si>
    <t>2.2.3.1</t>
  </si>
  <si>
    <t>Dépose de panneau de signalisation (quel que soit le type)</t>
  </si>
  <si>
    <t>2.2.3.2</t>
  </si>
  <si>
    <t>Dépose de panneau d'information existant (quel que soit le type)</t>
  </si>
  <si>
    <t>2.2.3.3</t>
  </si>
  <si>
    <t>Déplacement de panneau d'information existant (quel que soit le type)</t>
  </si>
  <si>
    <t>Dépose de candélabre</t>
  </si>
  <si>
    <t>Ce prix rémunère à l'unité la dépose d'un candélabre de hauteur comprise entre 6 m et 15 m</t>
  </si>
  <si>
    <t>Il comprend notamment :</t>
  </si>
  <si>
    <t>˗ l'amenée et le repli de tout matériel nécessaire à la bonne exécution,</t>
  </si>
  <si>
    <t>˗ la mise hors tension pendant les interventions,</t>
  </si>
  <si>
    <t>˗ la dépose/démolition soignée du massif béton et l'évacuation en décharge (droit de décharge inclus),</t>
  </si>
  <si>
    <t>˗ la dépose soignée (y compris protection) du candélabre et sa réutilisation en éclairage provisoire,</t>
  </si>
  <si>
    <t>˗ la mise en place d'un éclairage provisoire, tous raccordements, câbles, réglages et confection/pose de massif provisoire inclus,</t>
  </si>
  <si>
    <t>˗ les sujétions particulières d'exécution.</t>
  </si>
  <si>
    <t>Dépose de feu tricolore</t>
  </si>
  <si>
    <t>Ce prix rémunère à l'unité la dépose d'un feu tricolore.</t>
  </si>
  <si>
    <t>˗ la dépose soignée (y compris protection) du feu et son stockage au dépôt indiqué par le maître d'ouvrage,</t>
  </si>
  <si>
    <t>Dépose de feu piéton</t>
  </si>
  <si>
    <t>Ce prix rémunère à l'unité la dépose d'un feu piéton.</t>
  </si>
  <si>
    <t>Pose de mobilier urbain</t>
  </si>
  <si>
    <t>Ces prix rémunèrent à l'unité ou au mètre linéaire  :</t>
  </si>
  <si>
    <t>˗ la pose ou la repose, le chargement, le transport et le déchargement de mobilier tels que : poteaux, potelets, bornes, boules, grilles d'arbre, bancs, barrières, poubelles, jardinières, arceau de parking, borne rétractable, glissière bois, horodateur, coussin berlinois, ...</t>
  </si>
  <si>
    <t>˗ toutes les fixations, scellements nécessaires à la pose ou la repose,</t>
  </si>
  <si>
    <t>˗ le personnel, matériel et matériaux nécessaires à l'exécution des travaux.</t>
  </si>
  <si>
    <t>2.2.7.1</t>
  </si>
  <si>
    <t>Fourniture et pose de potelet fixe Jupiter des Ets Seri ou similaire</t>
  </si>
  <si>
    <t>Ce prix rémunère à l'unité la fourniture et la pose de potelet amovible type Jupiter, RAL  défini par le maître d'ouvrage, des Ets Seri ou similaire. Il comprend :
La fourniture et la pose de potelet, l'implantation, le scellement dans des plots en béton de 50l environ, la mise à la terre si nécessaire.</t>
  </si>
  <si>
    <t>2.2.7.2</t>
  </si>
  <si>
    <t>Fourniture et pose de  potelet fixe PMR Jupiter des Ets Seri ou similaire</t>
  </si>
  <si>
    <t>Ce prix rémunère à l'unité la fourniture et la pose de potelet amovible type Jupiter, au RAL défini par le maître d'ouvrage des Ets Seri ou similaire. Il comprend :
La fourniture et la pose de potelet, l'implantation, le scellement dans des plots en béton de 50l environ, la mise à la terre si nécessaire.</t>
  </si>
  <si>
    <t>2.2.7.3</t>
  </si>
  <si>
    <t>Fourniture et pose de potelet amovible Jupiter des Ets Seri ou similaire</t>
  </si>
  <si>
    <t>Ce prix rémunère à l'unité la fourniture et la pose de potelet amovible type Jupiter,au RAL défini par le maître d'ouvrage,  des Ets Seri ou similaire. Il comprend :
La fourniture et la pose de potelet, l'implantation, le scellement dans des plots en béton de 50l environ, la mise à la terre si nécessaire.</t>
  </si>
  <si>
    <t>2.2.7.4</t>
  </si>
  <si>
    <t>Fourniture et pose de potelet amovible PMR Jupiter des Ets Seri ou similaire</t>
  </si>
  <si>
    <t>Ce prix rémunère à l'unité la fourniture et la pose de potelet amovible PMR type Jupiter, au RAL défini par le maître d'ouvrage,des Ets Seri ou similaire. Il comprend :
La fourniture et la pose de potelet, l'implantation, le scellement dans des plots en béton de 50l environ, la mise à la terre si nécessaire.</t>
  </si>
  <si>
    <t>2.2.7.5</t>
  </si>
  <si>
    <t>Fourniture et pose de potelet rabattable PMR Jupiter des Ets Seri ou similaire</t>
  </si>
  <si>
    <t>Ce prix rémunère à l'unité la fourniture et la pose de potelet amovible type Jupiter, au RAL défini par le maître d'ouvrage, des Ets Seri ou similaire. Il comprend :
La fourniture et la pose de potelet, l'implantation, le scellement dans des plots en béton de 50l environ, la mise à la terre si nécessaire.</t>
  </si>
  <si>
    <t>2.2.7.6</t>
  </si>
  <si>
    <t>Pose de potelet (quel que soit le type)</t>
  </si>
  <si>
    <t>2.2.7.7</t>
  </si>
  <si>
    <t>Pose de borne (quel que soit le type)</t>
  </si>
  <si>
    <t>2.2.7.8</t>
  </si>
  <si>
    <t>Pose de boule (quel que soit le type)</t>
  </si>
  <si>
    <t>2.2.7.9</t>
  </si>
  <si>
    <t>Pose de grille d'arbre (quel que soit le type)</t>
  </si>
  <si>
    <t>2.2.7.10</t>
  </si>
  <si>
    <t>Pose de banc (quel que soit le type)</t>
  </si>
  <si>
    <t>2.2.7.11</t>
  </si>
  <si>
    <t>Pose et fourniture de banquette large type IDYLLE des Ets SINEUGRAFF ou similaire</t>
  </si>
  <si>
    <t>Ce prix rémunère à l'unité la fourniture à pied d'œuvre d'une banquette large en bois exotique type IDYLLE de dimension 0,692x1,78m et de hauteur 0,448m des Ets SINEUGRAFFou similaire au RAL défini par le maître d'ouvrage.</t>
  </si>
  <si>
    <t>2.2.7.12</t>
  </si>
  <si>
    <t>Pose de barrière (quel que soit le type)</t>
  </si>
  <si>
    <t>2.2.7.13</t>
  </si>
  <si>
    <t>Pose de poubelle (quel que soit le type)</t>
  </si>
  <si>
    <t>2.2.7.14</t>
  </si>
  <si>
    <t>Pose d'appui vélo (quel que soit le type)</t>
  </si>
  <si>
    <t>2.2.7.15</t>
  </si>
  <si>
    <t>Réalisation d'une jardinière en meulières largeur 0,40 m, hauteur 0,25 à 0,60 m</t>
  </si>
  <si>
    <t>Ce prix rémunère au mètre linéaire la réalisation de jardinière en parpaing et habillage moellons en meulières sur la face vue, de largeur 0,40m et de hauteur variable de 0,25 à 0,60m. Il comprend :
Les calculs de dimensionnement et plans d'exécution, l'implantation, les terrassements y compris évacuation, la fourniture et la mise en œuvre d'un béton de propreté, la réalisation hors gel de la semelle de fondation, ferraillée, en béton B25 vibré, le coffrage, le ferraillage, l'élévation de la jardinière en parpaings de 20, dernier rang réalisé en parpaings à bancher, pour réalisation du chainage en tête, la réalisation d'un drainage périphérique en pied de jardinière, y compris raccordement au réseau EP, la fourniture, la fourniture, l'amenée à pied d'œuvre de blocs de meulières, la fourniture et la mise en œuvre du mortier de montage, l'appareillage des blocs, y compris dispositifs de solidarisation avec l'âme en béton armé, la réalisation des joints beurrés ton pierre, le remblaiement en tout-venant puis en terre végétale et le réglage des terres à l'arrière du mur. NOTA : L'Entreprise devra les vérifications de dimensionnement de cet ouvrage avec note de calcul et plan d'exécution.</t>
  </si>
  <si>
    <t>2.2.7.16</t>
  </si>
  <si>
    <t>Pose de jardinière (quel que soit le type)</t>
  </si>
  <si>
    <t>2.2.7.17</t>
  </si>
  <si>
    <t>Pose d'arceau de parking (quel que soit le type)</t>
  </si>
  <si>
    <t>2.2.7.18</t>
  </si>
  <si>
    <t>Pose de ganivelle</t>
  </si>
  <si>
    <t>2.2.7.19</t>
  </si>
  <si>
    <t>Pose d'une borne rétractable (y compris raccordement électrique)</t>
  </si>
  <si>
    <t>Comprenant :</t>
  </si>
  <si>
    <t>˗ l’implantation de la borne,</t>
  </si>
  <si>
    <t>- la fourniture et la pose des fourreaux et câbles nécessaires,</t>
  </si>
  <si>
    <t>- les raccordements et la mise en service,</t>
  </si>
  <si>
    <t>˗ la confection des massifs de scellement en béton y compris toutes sujétions,</t>
  </si>
  <si>
    <t>˗ le scellement de la borne et toutes les sujétions de mise en place et de calage,</t>
  </si>
  <si>
    <t>˗ l’essai de rétractabilité une fois la borne posée,</t>
  </si>
  <si>
    <t>˗ la protection du mobilier jusqu'à réception.</t>
  </si>
  <si>
    <t>Ce prix ne comprend pas la démolition/réfection de voirie, les terrassements, le remblaiement</t>
  </si>
  <si>
    <t>2.2.7.20</t>
  </si>
  <si>
    <t>Pose de glissière bois (quel que soit le type)</t>
  </si>
  <si>
    <t>2.2.7.21</t>
  </si>
  <si>
    <t>Pose d'horodateur (quel que soit le type)</t>
  </si>
  <si>
    <t>2.2.7.22</t>
  </si>
  <si>
    <t>Pose de coussin berlinois haute résistance</t>
  </si>
  <si>
    <t>2.2.7.22.1</t>
  </si>
  <si>
    <t>Pose de coussin berlinois haute résistance en plastique muni de dents de requin</t>
  </si>
  <si>
    <t>2.2.7.22.2</t>
  </si>
  <si>
    <t>Pose de coussin berlinois haute résistance en béton</t>
  </si>
  <si>
    <t>Pose de panneau de signalisation et supports</t>
  </si>
  <si>
    <t>Ces prix rémunèrent à l'unité  :</t>
  </si>
  <si>
    <t>˗ la pose ou la repose, le chargement, le transport et le déchargement de panneau de signalisation, d'information, …</t>
  </si>
  <si>
    <t>2.2.8.1</t>
  </si>
  <si>
    <t>Pose de support (quel que soit le type)</t>
  </si>
  <si>
    <t>2.2.8.2</t>
  </si>
  <si>
    <t>Pose de panneau sur support (quel que soit le type)</t>
  </si>
  <si>
    <t>2.2.8.3</t>
  </si>
  <si>
    <t>Pose de mât en pleine terre</t>
  </si>
  <si>
    <t>2.2.8.4</t>
  </si>
  <si>
    <t>Pose de mât sur surface en enrobé</t>
  </si>
  <si>
    <t>2.2.8.5</t>
  </si>
  <si>
    <t>Pose de mât sur surface en béton</t>
  </si>
  <si>
    <t>2.2.8.6</t>
  </si>
  <si>
    <t>Pose de balise souple autorelevable</t>
  </si>
  <si>
    <t>2.2.8.8</t>
  </si>
  <si>
    <t>Pose de balise J12</t>
  </si>
  <si>
    <t>2.2.9</t>
  </si>
  <si>
    <t>Fourniture de mobilier urbain</t>
  </si>
  <si>
    <t>Ces prix rémunèrent à l'unité ou au mètre linéaire la fourniture à pied d'œuvre de mobilier urbain peint au RAL défini par le maître d'ouvrage.</t>
  </si>
  <si>
    <t>2.2.9.1</t>
  </si>
  <si>
    <t>Fourniture de potelet à gorge</t>
  </si>
  <si>
    <t>2.2.9.2</t>
  </si>
  <si>
    <t>Fourniture de potelet tête à boule</t>
  </si>
  <si>
    <t>2.2.9.3</t>
  </si>
  <si>
    <t>Fourniture de potelet fixe à boule, diamètre 76 mm, hauteur hors sol 900 mm</t>
  </si>
  <si>
    <t>2.2.9.4</t>
  </si>
  <si>
    <t>Fourniture de potelet type Champs Elysées</t>
  </si>
  <si>
    <t>2.2.9.5</t>
  </si>
  <si>
    <t>Fourniture de potelet Zénith DN70 fixe</t>
  </si>
  <si>
    <t>2.2.9.6</t>
  </si>
  <si>
    <t>Fourniture de potelet à gorge amovible</t>
  </si>
  <si>
    <t>2.2.9.7</t>
  </si>
  <si>
    <t>Fourniture de potelet tête à boule amovible</t>
  </si>
  <si>
    <t>2.2.9.8</t>
  </si>
  <si>
    <t>Fourniture de potelet type Champs Elysées amovible</t>
  </si>
  <si>
    <t>2.2.9.9</t>
  </si>
  <si>
    <t>Fourniture de potelet Zénith DN70 amovible</t>
  </si>
  <si>
    <t>2.2.9.10</t>
  </si>
  <si>
    <t>Fourniture de potelet à gorge PMR</t>
  </si>
  <si>
    <t>2.2.9.11</t>
  </si>
  <si>
    <t>Fourniture de potelet fixe à boule, diamètre 76 mm, PMR, hauteur hors sol 1200mm</t>
  </si>
  <si>
    <t>2.2.9.12</t>
  </si>
  <si>
    <t>Fourniture de potelet type Champs Elysées PMR</t>
  </si>
  <si>
    <t>2.2.9.13</t>
  </si>
  <si>
    <t>Fourniture de potelet Zénith DN70 PMR fixe</t>
  </si>
  <si>
    <t>2.2.9.14</t>
  </si>
  <si>
    <t>Fourniture de potelet fixe 3 gorges diamètre 101,6 mm, hauteur hors sol 800 mm, hauteur hors tout 1100 mm</t>
  </si>
  <si>
    <t>2.2.9.15</t>
  </si>
  <si>
    <t>Fourniture de potelet à gorge PMR amovible</t>
  </si>
  <si>
    <t>2.2.9.16</t>
  </si>
  <si>
    <t>Fourniture de potelet tête à boule PMR amovible</t>
  </si>
  <si>
    <t>2.2.9.17</t>
  </si>
  <si>
    <t>Fourniture de potelet type Champs Elysées PMR amovible</t>
  </si>
  <si>
    <t>2.2.9.18</t>
  </si>
  <si>
    <t>Fourniture de potelet Zénith DN70 PMR amovible</t>
  </si>
  <si>
    <t>2.2.9.19</t>
  </si>
  <si>
    <t>Fourniture de potelet à gorge à mémoire de forme</t>
  </si>
  <si>
    <t>2.2.9.20</t>
  </si>
  <si>
    <t>Fourniture de potelet à boule à mémoire de forme</t>
  </si>
  <si>
    <t>2.2.9.21</t>
  </si>
  <si>
    <t>Fourniture de potelet type Champs Elysées à mémoire de forme</t>
  </si>
  <si>
    <t>2.2.9.22</t>
  </si>
  <si>
    <t>Fourniture de potelet à gorge à mémoire de forme PMR</t>
  </si>
  <si>
    <t>2.2.9.23</t>
  </si>
  <si>
    <t>Fourniture de potelet à boule à mémoire de forme PMR</t>
  </si>
  <si>
    <t>2.2.9.24</t>
  </si>
  <si>
    <t>Fourniture de potelet type Champs Elysées à mémoire de forme PMR</t>
  </si>
  <si>
    <t>2.2.9.25</t>
  </si>
  <si>
    <t>Fourniture de potelet fixe colonne, diamètre 76 mm, hauteur hors sol 900 mm</t>
  </si>
  <si>
    <t>2.2.9.26</t>
  </si>
  <si>
    <t>Fourniture de potelet fixe colonne bombé à mémoire de forme, diamètre 76 mm, hauteur hors sol 1200 mm</t>
  </si>
  <si>
    <t>2.2.9.27</t>
  </si>
  <si>
    <t>Fourniture de potelet à tête pyramidale, diamètre 76mm, hauteur hors sol 900mm</t>
  </si>
  <si>
    <t>2.2.9.28</t>
  </si>
  <si>
    <t>Fourniture et pose de potelets bois 20x20, hauteur hors sol 50cm</t>
  </si>
  <si>
    <t>Ce prix rémunère la fourniture et la pose de potelet en bois de section carrée 20x20cm. Il comprend :
l'implantation, les terrassements y compris évacuation, la fourniture et l'amenée à pied d'œuvre de potelets de bois de section carrée 20x20cm en pin traité classe IV, la pose et le scellement par plots de béton de 50l, hauteur hors sol 1,00 m, le remblaiement de la fouille en tout-venant compacté.</t>
  </si>
  <si>
    <t>2.2.9.29</t>
  </si>
  <si>
    <t>Fourniture de banc modèle Theoreme OU San Lorenzo de HENRY</t>
  </si>
  <si>
    <t>2.2.9.30</t>
  </si>
  <si>
    <t>Fourniture de banc modèle Mora</t>
  </si>
  <si>
    <t>2.2.9.31</t>
  </si>
  <si>
    <t>Fourniture de banc modèle Samoa</t>
  </si>
  <si>
    <t>2.2.9.32</t>
  </si>
  <si>
    <t>Fourniture de banc type Emau de Mmcité ou similaire</t>
  </si>
  <si>
    <t>2.2.9.33</t>
  </si>
  <si>
    <t>Fourniture de fauteuil type Emau de Mmcité ou similaire</t>
  </si>
  <si>
    <t>2.2.9.34</t>
  </si>
  <si>
    <t>Fourniture d'assis-debout Halifax des Ets Aréa</t>
  </si>
  <si>
    <t>Ce prix rémunère à l'unité la fourniture et la pose d'assis-debout type Halifax, de dimension 0,26x1,26m et de hauteur 0,72m des Ets Aréa ou similaire au RAL défini par le maître d'ouvrage. Il comprend:
La fourniture et la pose de l'assis-debout, l'implantation, le scellement suivant les prescriptions du constructeur, la mise à la terre si nécessaire.</t>
  </si>
  <si>
    <t>2.2.9.35</t>
  </si>
  <si>
    <t>Fourniture de barrière losange fixe</t>
  </si>
  <si>
    <t>2.2.9.36</t>
  </si>
  <si>
    <t>Fourniture de barrière losange amovible</t>
  </si>
  <si>
    <t>2.2.9.37</t>
  </si>
  <si>
    <t>Fourniture de barrière modèle Croix de Saint-André fixe</t>
  </si>
  <si>
    <t>2.2.9.38</t>
  </si>
  <si>
    <t>Fourniture de barrière Croix Saint-André L=0,83m</t>
  </si>
  <si>
    <t>2.2.9.39</t>
  </si>
  <si>
    <t>Fourniture de barrière Croix Saint-André L=1,63m</t>
  </si>
  <si>
    <t>2.2.9.40</t>
  </si>
  <si>
    <t xml:space="preserve">Fourniture de barrière Croix Saint-André L=1,63m, grillagée </t>
  </si>
  <si>
    <t>2.2.9.41</t>
  </si>
  <si>
    <t>Fourniture de barrière Croix Saint-André, double lisse, avec anneaux L= 1m</t>
  </si>
  <si>
    <t>2.2.9.42</t>
  </si>
  <si>
    <t>Fourniture de barrière Croix Saint-André, double lisse, avec anneaux L= 2m</t>
  </si>
  <si>
    <t>2.2.9.43</t>
  </si>
  <si>
    <t>Fourniture de barrière modèle Croix de Saint-André amovible</t>
  </si>
  <si>
    <t>2.2.9.44</t>
  </si>
  <si>
    <t>Fourniture de barrière fixe pointe diamant 1m à sceller</t>
  </si>
  <si>
    <t>2.2.9.45</t>
  </si>
  <si>
    <t>Fourniture de barrière fixe pointe diamant 2m à sceller</t>
  </si>
  <si>
    <t>2.2.9.46</t>
  </si>
  <si>
    <t>Fourniture de barrières type Bourg la Reine double lisse pointe diamant 1m</t>
  </si>
  <si>
    <t>2.2.9.47</t>
  </si>
  <si>
    <t>Fourniture de barrières type Bourg la Reine double lisse pointe diamant 2m</t>
  </si>
  <si>
    <t>2.2.9.48</t>
  </si>
  <si>
    <t>Fourniture de barrière modèle Canberra de INGENIA fixe</t>
  </si>
  <si>
    <t>2.2.9.49</t>
  </si>
  <si>
    <t>Fourniture de barrière modèle Canberra de INGENIA amovible</t>
  </si>
  <si>
    <t>2.2.9.50</t>
  </si>
  <si>
    <t>Fourniture de barrière Tiby des Ets Univers &amp; Cité ou similaire</t>
  </si>
  <si>
    <t>Ce prix rémunère au mètre linéaire la fourniture et la pose de barrière type Tiby des Ets Univers &amp; Cité ou similaire, au RAL défini par le maître d'ouvage, longueur 1,00 ou 1,50m, y compris scellement sur plots en béton de 50 l et mise à la terre si nécessaire.</t>
  </si>
  <si>
    <t>2.2.9.51</t>
  </si>
  <si>
    <t>Fourniture de barrière pivotante double ventaux largeur variable</t>
  </si>
  <si>
    <t>2.2.9.52</t>
  </si>
  <si>
    <t>Fourniture de corbeille avec sceau 30l à spiter</t>
  </si>
  <si>
    <t>2.2.9.53</t>
  </si>
  <si>
    <t>Fourniture de corbeilleTulip</t>
  </si>
  <si>
    <t>2.2.9.54</t>
  </si>
  <si>
    <t>Fourniture de corbeille Tulip 2020 (vigipirate) ou Jasmin de SERI</t>
  </si>
  <si>
    <t>2.2.9.55</t>
  </si>
  <si>
    <t>Fourniture de corbeille Tulipe double flux</t>
  </si>
  <si>
    <t>2.2.9.56</t>
  </si>
  <si>
    <t>Fourniture de corbeille bi-flux Easy des Ets Aéa ou similaire</t>
  </si>
  <si>
    <t>Ce prix rémunère à l'unité la fourniture et la pose de corbeille bi-flux type Easy personnalisée  des Ets Aréa ou similaire, RAL défini  par le maître d'ouvrage, y compris scellement sur plots en béton de 50 l et mise à la terre si nécessaire.</t>
  </si>
  <si>
    <t>2.2.9.57</t>
  </si>
  <si>
    <t>Fourniture d'appui vélo modèle Agora de AREA</t>
  </si>
  <si>
    <t>2.2.9.58</t>
  </si>
  <si>
    <t>Fourniture d'appui vélo modèle Buis de INGENIA</t>
  </si>
  <si>
    <t>2.2.9.59</t>
  </si>
  <si>
    <t>Fourniture de support véloépingle type robiga, largeur 580 mm, hauteur totale 1150 mm</t>
  </si>
  <si>
    <t>2.2.9.60</t>
  </si>
  <si>
    <t>Fourniture de ganivelle</t>
  </si>
  <si>
    <t>2.2.9.61</t>
  </si>
  <si>
    <t>Fourniture d'une borne rétractable (conforme à la fiche technique fournie en annexe )</t>
  </si>
  <si>
    <t>2.2.9.62</t>
  </si>
  <si>
    <t>Fourniture de glissière bois</t>
  </si>
  <si>
    <t>2.2.9.63</t>
  </si>
  <si>
    <t>Fourniture d'appui vélo (quel que soit le type)</t>
  </si>
  <si>
    <t>2.2.9.64</t>
  </si>
  <si>
    <t>Fourniture d'appui vélo Lucine des Ets Séri ou similaire</t>
  </si>
  <si>
    <t>Ce prix rémunère à l'unité la fourniture et la pose d'appui vélo type Lucine des Ets Séri ou similaire, au RAL indiqué par le maître d'ouvrage, y compris scellement sur plots en béton de 50 l et mise à la terre si nécessaire.</t>
  </si>
  <si>
    <t>2.2.9.65</t>
  </si>
  <si>
    <t>Fourniture d'appui moto Lucine des Ets Séri ou similaire</t>
  </si>
  <si>
    <t>Ce prix rémunère à l'unité la fourniture et la pose d'appui vélo type Lucine des Ets Séri ou similaire,au RAL indiqué par le maître d'ouvrage, y compris scellement sur plots en béton de 50 l et mise à la terre si nécessaire.</t>
  </si>
  <si>
    <t>2.2.9.66</t>
  </si>
  <si>
    <t>Fourniture de coussin berlinois haute résistance</t>
  </si>
  <si>
    <t>Ce prix rémunère à l'unité la fourniture de coussin berlinois haute résistance en cahoutchouc muni de dents de requin ou dé béton. Ce prix comprend la fourniture de toutes les fixations nécessaires.</t>
  </si>
  <si>
    <t>2.2.9.66.1</t>
  </si>
  <si>
    <t>Fourniture de coussin berlinois haute résistance en plastique muni de dents de requin</t>
  </si>
  <si>
    <t>2.2.9.66.2</t>
  </si>
  <si>
    <t>Fourniture de coussin berlinois haute résistance en béton</t>
  </si>
  <si>
    <t>2.2.10</t>
  </si>
  <si>
    <t xml:space="preserve">Fourniture et pose de lice basse type Zénith </t>
  </si>
  <si>
    <t>Ce prix rémunère au mètre linéaire la fourniture et pose de lice basse de longueur variable selon plan de détails et de hauteur 0,30m, type Zénith, RAL selon choix commune, tout autour des espaces verts, y compris les pièces sur mesure dans les angles. Il comprend:
La fourniture et pose des lices basses, la réalisation des terrassements et l'évacuation en décharges, la fixation et la réalisation du massif, toutes sujétions de raccordement et d'ajustement, notamment pour pose en angle.</t>
  </si>
  <si>
    <t>2.2.11</t>
  </si>
  <si>
    <t>Fourniture et pose de clôture barreaudée</t>
  </si>
  <si>
    <t>Ce prix rémunère au mètre linéaire la fourniture et la pose droite d'éléments de clôture barreaudée h 1,00m et 1,50m, suivant plan d'élévation, RAL selon choix commune. Il comprend :
Les notes de calcul, dimensionnement et plans d'EXE suivant détails joints au dossier, l'implantation,  la fabrication en usine, la galvanisation à chaud, et le thermolaquage, l'amenée à pied d'œuvre, l'implantation, la mise en place des éléments de clôture sur le mur, y compris étaiement, le scellement des poteaux et jambes de forces au béton dosé à 350 kg/m3, y compris carottage préalable si nécessaire, la dépose des étaiements, toutes sujétions de raccordement sur les poteaux ou portails, les essais.
NOTA : l'Entreprise devra les vérifications de dimensionnement de cet ouvrage avec note de calcul et plan d'exécution.</t>
  </si>
  <si>
    <t>2.2.11.1</t>
  </si>
  <si>
    <t>Clôture barreaudée h 1m pose droite</t>
  </si>
  <si>
    <t>2.2.11.2</t>
  </si>
  <si>
    <t>Clôture barreaudée h 1m pose suivant la pente</t>
  </si>
  <si>
    <t>2.2.11.3</t>
  </si>
  <si>
    <t>Clôture barreaudée h 1,5m pose droite</t>
  </si>
  <si>
    <t>2.2.11.4</t>
  </si>
  <si>
    <t>Clôture barreaudée h 1,5m pose suivant la pente</t>
  </si>
  <si>
    <t>2.2.12</t>
  </si>
  <si>
    <t>Fourniture et pose de portillon barreaudé h 1,50m largeur 1,50m</t>
  </si>
  <si>
    <t>Ce prix rémunère à l'unité la fourniture et la pose d'un portillon barreaudé pivotant manuel 1 vantail, hauteur 1,50 m, largeur 1,50m , RAL selon choix commune. Il comprend:
La fourniture et la pose d'un portillon composé de deux poteaux acier 40x10 et de 1 vantail asymétriques, hauteur 1,50 m largeur 1,50m, scellés dans le sol par plot béton de 50l minimum  y compris terrassements et évacuation, la fourniture et la pose d'un barillet agréé par les services de la commune. Les gonds seront réalisés de manière à avoir un angle de 10° par rapport à la verticale pour que lors de l'ouverture du portillon, il tende à se ramener à sa position fermée.</t>
  </si>
  <si>
    <t>2.2.13</t>
  </si>
  <si>
    <t>Fourniture de panneau de signalisation et supports</t>
  </si>
  <si>
    <t>Ces prix rémunèrent à l'unité, la fourniture à pied d'œuvre de panneau définitif de signalisation verticale sur mât, peint au RAL défini par le maître d'ouvrage.</t>
  </si>
  <si>
    <t>2.2.13.1</t>
  </si>
  <si>
    <t>Fourniture de panneau de police</t>
  </si>
  <si>
    <t>2.2.13.2</t>
  </si>
  <si>
    <t>Fourniture de panneau de rue</t>
  </si>
  <si>
    <t>2.2.13.3</t>
  </si>
  <si>
    <t>Fourniture de panneau de type A</t>
  </si>
  <si>
    <t>2.2.13.4</t>
  </si>
  <si>
    <t>Fourniture de panneau de type B</t>
  </si>
  <si>
    <t>2.2.13.5</t>
  </si>
  <si>
    <t>Fourniture de panneau de type AB</t>
  </si>
  <si>
    <t>2.2.13.6</t>
  </si>
  <si>
    <t>Fourniture de panneau de type C et CE</t>
  </si>
  <si>
    <t>2.2.13.7</t>
  </si>
  <si>
    <t>Fourniture de panneau de type "prescription zonale"</t>
  </si>
  <si>
    <t>2.2.13.8</t>
  </si>
  <si>
    <t>Fourniture de pannonceau de type M</t>
  </si>
  <si>
    <t>2.2.13.9</t>
  </si>
  <si>
    <t>Fourniture de mât section cylindrique ou rectangulaire hauteur inférieure ou égale à 2,5 m</t>
  </si>
  <si>
    <t>2.2.13.10</t>
  </si>
  <si>
    <t>Fourniture de mât section cylindrique ou rectangulaire hauteur supérieure à 2,5 m</t>
  </si>
  <si>
    <t>2.2.13.11</t>
  </si>
  <si>
    <t>Fourniture de balise souple autorelevable</t>
  </si>
  <si>
    <t>2.2.13.12</t>
  </si>
  <si>
    <t>Fourniture de balise J12</t>
  </si>
  <si>
    <t>2.2.13.13</t>
  </si>
  <si>
    <t>Plus-value pour peinture de l'arrière des panneaux au RAL défini par le maître d'ouvrage</t>
  </si>
  <si>
    <t>2.2.14</t>
  </si>
  <si>
    <t>Fourniture et pose de bande podo-tactile collée</t>
  </si>
  <si>
    <t>Ce prix rémunère au mètre carré, quelles que soient les sujétions dues à la présence d’obstacles physiques :</t>
  </si>
  <si>
    <t>˗ la fourniture, le chargement, le transport et le déchargement sur le site,</t>
  </si>
  <si>
    <t>˗ la préparation du support et son nivellement,</t>
  </si>
  <si>
    <t>˗ la pose sur constitution existante y compris coupe de sciage,</t>
  </si>
  <si>
    <t>˗ la fourniture, le transport et la mise en œuvre d’une assise en béton de 15 cm d’épaisseur,</t>
  </si>
  <si>
    <t>˗ le personnel et matériel nécessaires à l'exécution des travaux,</t>
  </si>
  <si>
    <t>˗ le balisage nécessaire à la sécurité du personnel et des usagers.</t>
  </si>
  <si>
    <t>2.2.15</t>
  </si>
  <si>
    <t>Fourniture et pose de revêtement de dalle podo-tactile</t>
  </si>
  <si>
    <t>Ces prix rémunèrent au mètre carré, quelles que soient les sujétions dues à la présence d’obstacles physiques :</t>
  </si>
  <si>
    <t>˗ la fourniture, le transport et la mise en œuvre des matériaux de jointoiement et de scellement,</t>
  </si>
  <si>
    <t>2.2.15.1</t>
  </si>
  <si>
    <t>Fourniture et pose de revêtement de dalle podo-tactile en béton</t>
  </si>
  <si>
    <t>2.2.15.2</t>
  </si>
  <si>
    <t>Fourniture et pose de revêtement de dalle podo-tactile en pierre naturelle</t>
  </si>
  <si>
    <t>2.2.16</t>
  </si>
  <si>
    <t>Fourniture et pose de dalles de luserne ép 8cm, y compris lit de pose et hydrofuge anti-tâche</t>
  </si>
  <si>
    <t xml:space="preserve">Ce prix rémunère au mètre carré la fourniture et la pose de dalles luserne posées en opus de 20x53cm et 30x80cm flammées, épaisseur 0,08 m, suivant calepinage du maître d'oeuvre. Comprenant :
˗ l'implantation,
˗ la fourniture et le transport sur le chantier,
- la pose des dalles sur mortier épaisseur 4 cm,
- la réalisation des joints au mortier, avec incorporation de Sikalatex, largeur maximum 8 mm
-la fourniture et pose de joints de fractionnement tous les 50m² de type Esodal DS des Ets Esope Continental ou similaire. 
-la fourniture et mise en place de produit hydrofuge anti-tâche, en section courante et en caniveau
</t>
  </si>
  <si>
    <t>2.2.17</t>
  </si>
  <si>
    <t>Fourniture et pose de dalles de luserne ép 12cm, y compris lit de pose et hydrofuge anti-tâche</t>
  </si>
  <si>
    <t>2.2.18</t>
  </si>
  <si>
    <t>Fourniture et pose de clou inox diam 100mm</t>
  </si>
  <si>
    <t>Ce prix rémunère à l'unité la fourniture et la pose de clou à ancrer en inox 316L, DN 100, de type Spirale des Ets SIG France ou similaire, y compris le scellement dans un massif en béton de 1l environ,</t>
  </si>
  <si>
    <t>2.2.19</t>
  </si>
  <si>
    <t>Fourniture et pose de bande de guidage</t>
  </si>
  <si>
    <t>Ce prix rémunère au mètre linéaire la fourniture et la pose de bande de guidage plastique thermocollable. Il comprend :
la fourniture et l'amenée à pied d'œuvre de la bande de guidage, l'implantation, le nettoyage préalable du support, le collage proprement dit des bandes, y compris découpe si nécessaire.</t>
  </si>
  <si>
    <t>2.2.20</t>
  </si>
  <si>
    <t>Fourniture et pose de panneau d'information</t>
  </si>
  <si>
    <t>Ce prix rémunère à l'unité la fourniture et la pose de panneau d'information type vitrine 2000 simple face sur poteaux, largeur 2m des Ets France Collectivités ou similaire. La vitrine simple battante ou levante, sera en plexichocs ou verre sécurisé d'épaisseur 4mm avec 2 serrures de sécurité. Il comprend:
La fourniture et la pose du panneau d'information, l'implantation, le scellement suivant les prescriptions du constructeur, la mise à la terre si nécessaire.</t>
  </si>
  <si>
    <t>2.2.21</t>
  </si>
  <si>
    <t>Pose de candélabre</t>
  </si>
  <si>
    <t>Ce prix rémunère à l'unité la pose d'un candélabre de hauteur comprise entre 6 m et 15 m.</t>
  </si>
  <si>
    <t>˗ la fourniture, le transport et la mise en oeuvre d'un nouveau massif béton (préfabriqué ou coulé en place), y compris note de calcul de dimensionnement,</t>
  </si>
  <si>
    <t>˗ la pose du candélabre sur le nouveau massif, y compris tous les raccordements, câbles, réglages, fixations nécessaires, la mise en service et les essais nécessaires.</t>
  </si>
  <si>
    <t>2.2.22</t>
  </si>
  <si>
    <t>Pose de feu tricolore</t>
  </si>
  <si>
    <t>Ce prix rémunère à l'unité la pose d'un feu tricolore.</t>
  </si>
  <si>
    <t>˗ la pose du feu tricolore sur le nouveau massif, y compris tous les raccordements, câbles, réglages, fixations nécessaires, la mise en service et les essais nécessaires.</t>
  </si>
  <si>
    <t>2.2.23</t>
  </si>
  <si>
    <t>Pose de feu piéton</t>
  </si>
  <si>
    <t>Ce prix rémunère à l'unité la pose d'un feu piéton.</t>
  </si>
  <si>
    <t>˗ la pose du feu piéton sur le nouveau massif, y compris tous les raccordements, câbles, réglages, fixations nécessaires, la mise en service et les essais nécessaires.</t>
  </si>
  <si>
    <t>2.2.24</t>
  </si>
  <si>
    <t>Déplacement d'armoire de La Poste</t>
  </si>
  <si>
    <t>Ce prix rémunère à l'unité la dépose soignée et la repose d'une armoire La Poste existante. Il comprend : 
L’amenée et le repli du matériel et personnel nécessaire à l’exécution de la tâche, la dépose soignée de l'armoire, la démolition du massif de scellement y compris utilisation de marteau piqueur/BRH/etc... si nécessaire, leur évacuation vers une décharge  agréée par le maître d’œuvre ou vers un centre de traitement, le remblaiement des fouilles en GNT y compris réglage et compactage, la protection des réseaux enterrés ou aériens situés à proximité, l'évacuation et le stockage éventuel de l'armoire dans un endroit indiqué par le maître d'œuvre, la repose soignée de l'armoire y compris massif de scellement, la mise en peinture RAL selon choix de la commune de l'armoire, toutes sujétions de réalisation.</t>
  </si>
  <si>
    <t>2.2.25</t>
  </si>
  <si>
    <t>Fourniture et pose de plot de bordure en verre réfléchissant diamètre 51</t>
  </si>
  <si>
    <t xml:space="preserve">Ce prix rémunère à l'unité la fourniture et la pose de plot de bordure en verre réfléchissant diamètre 51 à encastrer, de type J15b des Ets Virages ou similaire, y compris l'encastrement dans la bordure après carottage. </t>
  </si>
  <si>
    <t>2.3</t>
  </si>
  <si>
    <t>SIGNALISATION HORIZONTALE</t>
  </si>
  <si>
    <t>Amenée et repli de l'équipe et du matériel de marquage</t>
  </si>
  <si>
    <t>Ce prix sera réglé au forfait par intervention.</t>
  </si>
  <si>
    <t>Marquage provisoire à la peinture jaune</t>
  </si>
  <si>
    <t>Ces prix rémunèrent le marquage provisoire à la peinture jaune et comprennent :</t>
  </si>
  <si>
    <t>˗ le nettoyage du support si nécessaire,</t>
  </si>
  <si>
    <t>˗ le prémarquage,</t>
  </si>
  <si>
    <t>˗ la fourniture et la mise en œuvre des produits de marquage.</t>
  </si>
  <si>
    <t>2.3.2.1</t>
  </si>
  <si>
    <t>De ligne discontinue ou continue de 0,15 m de largeur</t>
  </si>
  <si>
    <t>2.3.2.2</t>
  </si>
  <si>
    <t>De passage piéton</t>
  </si>
  <si>
    <t>2.3.2.3</t>
  </si>
  <si>
    <t>De flèche droite ou de rabattement</t>
  </si>
  <si>
    <t>Effaçage de marquage au sol</t>
  </si>
  <si>
    <t>Ces prix rémunèrent l'effaçage de ligne continue ou discontinue provisoire ou définitive et comprennent :</t>
  </si>
  <si>
    <t>˗ l'effaçage par tout moyen approprié de marquage provisoire ou définitif,</t>
  </si>
  <si>
    <t>˗ le balayage des résidus.</t>
  </si>
  <si>
    <t>2.3.3.1</t>
  </si>
  <si>
    <t>De ligne continue ou discontinue provisoire ou définitive</t>
  </si>
  <si>
    <t>2.3.3.2</t>
  </si>
  <si>
    <t>De passage piétons, zébras provisoires ou définitifs</t>
  </si>
  <si>
    <t>2.3.3.3</t>
  </si>
  <si>
    <t>De flèches provisoires ou définitives</t>
  </si>
  <si>
    <t>Marquage définitif en résine</t>
  </si>
  <si>
    <t>Ces prix rémunèrent au mètre linéaire, au mètre carré ou à l'unité le marquage définitif en résine. Il comprend notamment :</t>
  </si>
  <si>
    <t>2.3.4.1</t>
  </si>
  <si>
    <t>Marquage définitif en résine de ligne axiale continue ou discontinue de largeur 2U</t>
  </si>
  <si>
    <t>2.3.4.2</t>
  </si>
  <si>
    <t>Marquage définitif en résine de ligne axiale continue ou discontinue de largeur 3U</t>
  </si>
  <si>
    <t>2.3.4.3</t>
  </si>
  <si>
    <t>Marquage définitif en résine de ligne axiale continue ou discontinue de largeur 5U</t>
  </si>
  <si>
    <t>2.3.4.4</t>
  </si>
  <si>
    <t>Marquage de stationnement résine blanche continu ou discontinu</t>
  </si>
  <si>
    <t>2.3.4.5</t>
  </si>
  <si>
    <t>Marquage transversal de bande stop largeur 0,50 m</t>
  </si>
  <si>
    <t>2.3.4.6</t>
  </si>
  <si>
    <t>Marquage transversal de bande cédez le passage 0,50 m x 0,50m</t>
  </si>
  <si>
    <t>2.3.4.7</t>
  </si>
  <si>
    <t>Marquage définitif de dents de requin</t>
  </si>
  <si>
    <t>2.3.4.8</t>
  </si>
  <si>
    <t>Marquage définitif en résine de passage piétons</t>
  </si>
  <si>
    <t>2.3.4.9</t>
  </si>
  <si>
    <t>Marquage définitif en résine de flèche droite ou de rabattement</t>
  </si>
  <si>
    <t>2.3.4.10</t>
  </si>
  <si>
    <t>Marquage définitif en résine d'îlot directionnel</t>
  </si>
  <si>
    <t>2.3.4.11</t>
  </si>
  <si>
    <t>Marquage définitif en résine jaune de zigzag d'arrêt de bus</t>
  </si>
  <si>
    <t>2.3.4.12</t>
  </si>
  <si>
    <t>Marquage définitif de ligne axiale piste cyclable largeur 0,06 m</t>
  </si>
  <si>
    <t>2.3.4.13</t>
  </si>
  <si>
    <t>Marquage définitif de sigle handicapé petit format</t>
  </si>
  <si>
    <t>2.3.4.14</t>
  </si>
  <si>
    <t>Marquage définitif de sigle handicapé grand format</t>
  </si>
  <si>
    <t>2.3.4.15</t>
  </si>
  <si>
    <t>Marquage définitif de sigles divers (défense stationner, piste cyclable, …)</t>
  </si>
  <si>
    <t>3</t>
  </si>
  <si>
    <t>POINT D'APPORT VOLONTAIRE ENTERRE, ARRETS DE BUS</t>
  </si>
  <si>
    <t>3.1</t>
  </si>
  <si>
    <t>POINT D'APPORT VOLONTAIRE ENTERRE (P.A.V.E.)</t>
  </si>
  <si>
    <t>Dépose et évacuation en décharge ou dépose et stockage de P.A.V.E. quel que soit le type</t>
  </si>
  <si>
    <t>Ces prix rémunèrent à l'unité la dépose complète de tous les éléments constituant un P.A.V.E., quel que soit le type, son chargement, évacuation et déchargement au dépôt désigné par le maître d'ouvrage ou sa mise en décharge (droit de décharge compris).</t>
  </si>
  <si>
    <t>Ces prix comprennent le personnel, matériel et véhicule nécessaires au bon déroulement de ces travaux.</t>
  </si>
  <si>
    <t>Ces prix ne comprennent pas la dépose de la cuve en béton.</t>
  </si>
  <si>
    <t>3.1.1.1</t>
  </si>
  <si>
    <t>Dépose, chargement, évacuation et mise en décharge (droit de décharge compris)</t>
  </si>
  <si>
    <t>3.1.1.2</t>
  </si>
  <si>
    <t>Dépose, chargement, évacuation et déchargement au dépôt désigné par le maître d'ouvrage</t>
  </si>
  <si>
    <t>Signalisation verticale définitive pour P.A.V.E</t>
  </si>
  <si>
    <t>Ce prix rémunère au forfait la fourniture et la mise en place d'un panneau monté sur mât composé de trois éléments : panneaux B6a1, M6a et M2.</t>
  </si>
  <si>
    <t>Réalisation de la fosse et du génie civil, y compris drainage, pour pose de PAVE</t>
  </si>
  <si>
    <t>Ce prix rémunère forfaitairement la réalisation de la fosse, du génie civil (yc cuve béton,drainage), pour la pose de PAVE. Le volume de la cuve béton sera de 5m3. La surface de terrassement en plan est de 3mx3m.
nota : La profondeur de la cuve ne correspond pas à la profondeur de la fouille finie à réaliser.
Cette prestation est à réaliser conformément à l'annexe au marché "Préconisations pour l'enfouissement de Point d'apports volontaires", et notice de pose "livraison, consignes de sécurité de pose pour l'installation des conteneur enterrés".
Ce prix ne comprend pas la fourniture et la pose du conteneur.
Ce prix comprend notamment :
- l’établissement des plans d’exécution et les notes de calculs,
- le piquetage et l’implantation,
- le terrassement en fouille ouverte blindée, quelle que soit la nature des matériaux rencontrés,
- les interventions ponctuellement réalisés à la main,
- les croisements, maintiens et les longements de réseaux éventuels et toutes sujétions de raccordement,</t>
  </si>
  <si>
    <t>3.2</t>
  </si>
  <si>
    <t>ARRETS DE BUS</t>
  </si>
  <si>
    <t>Pose, dépose, remplacement ou modification de l’orientation de poteaux d’arrêts de type « Guinto » de la société Clear Channel – voir notice technique en annexe</t>
  </si>
  <si>
    <t>Ces prix rémunèrent à l’unité la pose, la dépose, le remplacement de poteaux d’arrêts de bus, la pose et la dépose de poteaux provisoires sur socle béton. Ces poteaux d’arrêts sont situés sur trottoir.</t>
  </si>
  <si>
    <t>Ces prix comprennent l’amenée ou le retour sur site du/des poteau(x) d’arrêts jusqu’au dépôt désigné par le maître d'ouvrage.</t>
  </si>
  <si>
    <t>Ces prix comprennent le personnel, le matériel, véhicule(s), matériaux, signalisation temporaire de chantier hormis alternat de circulation manuel ou par feux nécessaires à l’exécution et au bon déroulement de ces travaux.</t>
  </si>
  <si>
    <t>Ces prix comprennent la mise en décharge de terres et gravats et tout matériel endommagé y étant destiné – l’amenée sur site de tous matériaux nécessaire aux opérations.</t>
  </si>
  <si>
    <t>3.2.1.1</t>
  </si>
  <si>
    <t>Pose définitive de poteau d’arrêt comprenant :</t>
  </si>
  <si>
    <t xml:space="preserve"> - découpe à la scie du revêtement bitumineux le cas échéant, </t>
  </si>
  <si>
    <t xml:space="preserve"> - terrassement quelle que soit la nature du sol sur trottoir d’une fouille aux dimensions nécessaires à l’implantation du poteau et conforme à la notice technique jointe en annexe,</t>
  </si>
  <si>
    <t xml:space="preserve"> - réalisation d’un massif en béton dosé à 350kg/m3 en atelier ou à couler sur place avec coffrage, </t>
  </si>
  <si>
    <t xml:space="preserve"> - mise en place sur lit de sable à une charge de 0,15m minimum,</t>
  </si>
  <si>
    <t xml:space="preserve"> - mise en place des 4 goujons de fixation au moment du coulage à l’aide d’un gabarit,</t>
  </si>
  <si>
    <t xml:space="preserve"> - graissage des tiges filetées pour faciliter un éventuel futur démontage et/ou protection de la partie filetée visible par un ruban adhésif,</t>
  </si>
  <si>
    <t xml:space="preserve"> - balisage de l’emprise de la fouille ouverte durant 7 jours maximum lorsque le massif est coulé sur place,</t>
  </si>
  <si>
    <t xml:space="preserve"> - pose, réglage planimétrique sur les 4 gougeons filetés à l’aide d’écrous et contre-écrous, et fixation du poteau après 7 jours minimum de séchage du massif en béton si celui-ci a été coulé sur place, </t>
  </si>
  <si>
    <t xml:space="preserve"> - remblaiement, mise en place de la couche de fondation identique à l’origine en matériaux et en épaisseur et compactage, conformément au règlement de voirie en vigueur de la commune concernée.</t>
  </si>
  <si>
    <t>3.2.1.2</t>
  </si>
  <si>
    <t>Dépose définitive de poteau d’arrêt comprenant :</t>
  </si>
  <si>
    <t xml:space="preserve"> - terrassement quelle que soit la nature du sol sur trottoir d’une fouille aux dimensions nécessaires à la dépose du massif en béton et du poteau,</t>
  </si>
  <si>
    <t xml:space="preserve"> - dépose du poteau sur les 4 gougeons filetés de fixation, </t>
  </si>
  <si>
    <t xml:space="preserve"> - dépose du massif en béton, </t>
  </si>
  <si>
    <t>3.2.1.3</t>
  </si>
  <si>
    <t>Pose de poteau sur socle provisoire comprenant :</t>
  </si>
  <si>
    <t xml:space="preserve"> - réalisation d’un socle béton dosé à 350kg/m3 coffré d’une surface de 0,15m2 et d’une épaisseur de 0,20m avec mise en place des 4 goujons de fixation au moment du coulage à l’aide d’un gabarit,</t>
  </si>
  <si>
    <t xml:space="preserve"> - transport sur site du socle, réglage planimétrique sur les 4 gougeons filetés à l’aide d’écrous et contre-écrous, et fixation du poteau.</t>
  </si>
  <si>
    <t>3.2.1.4</t>
  </si>
  <si>
    <t>Dépose de poteau provisoire comprenant :</t>
  </si>
  <si>
    <t xml:space="preserve"> - dépose du socle béton pour mise au dépôt de Bièvre Bus Mobilités ou en décharge.</t>
  </si>
  <si>
    <t>3.2.1.5</t>
  </si>
  <si>
    <t>Remplacement de poteau endommagé avec conservation du massif en béton comprenant :</t>
  </si>
  <si>
    <t xml:space="preserve"> - découpe à la scie du revêtement bitumineux le cas échéant,</t>
  </si>
  <si>
    <t xml:space="preserve"> - terrassement quelque soit la nature du sol sur trottoir d’une fouille aux dimensions nécessaires à la dépose du poteau endommagé,</t>
  </si>
  <si>
    <t xml:space="preserve"> - nettoyage des gougeons et du filetage,</t>
  </si>
  <si>
    <t xml:space="preserve"> - mise en place d’un nouveau poteau sur le massif béton, </t>
  </si>
  <si>
    <t xml:space="preserve"> - réglage planimétrique sur les 4 gougeons filetés à l’aide d’écrous et contre-écrous, et fixation du poteau,</t>
  </si>
  <si>
    <t>3.2.1.6</t>
  </si>
  <si>
    <t>Réorientation de corps de poteau comprenant :</t>
  </si>
  <si>
    <t xml:space="preserve"> - démontage de la tête de poteau, du corps de poteau, des entretoises et perçage du mât central de forme carrée en acier, </t>
  </si>
  <si>
    <t xml:space="preserve"> - remontage du corps de poteau avec sa réorientation à 90°, des entretoises et de la tête.</t>
  </si>
  <si>
    <t>3.2.1.7</t>
  </si>
  <si>
    <t>Fouille perdue comprenant :</t>
  </si>
  <si>
    <t xml:space="preserve"> - terrassement quelque soit la nature du sol sur trottoir d’une fouille ne permettant pas la mise en place d’un massif béton et l’implantation du poteau d’arrêt – réseaux concessionnaires enterrés,</t>
  </si>
  <si>
    <t>3.2.1.8</t>
  </si>
  <si>
    <t>Intervention "poteaux" sur site pour 1 à 4 opérations par OS</t>
  </si>
  <si>
    <r>
      <t xml:space="preserve">Est considérée comme opération les numéros de prix suivants : </t>
    </r>
    <r>
      <rPr>
        <b/>
        <sz val="10"/>
        <rFont val="Arial"/>
        <family val="2"/>
      </rPr>
      <t>3.2.1.1 à 3.2.1.6</t>
    </r>
    <r>
      <rPr>
        <sz val="10"/>
        <rFont val="Arial"/>
        <family val="2"/>
      </rPr>
      <t xml:space="preserve"> </t>
    </r>
  </si>
  <si>
    <t xml:space="preserve">Ce prix comprend : </t>
  </si>
  <si>
    <t xml:space="preserve"> - l’amenée sur le chantier de tous matériels, personnel, matériaux, signalisation temporaire nécessaires à la réalisation des opérations et leur repli après achèvement,</t>
  </si>
  <si>
    <t xml:space="preserve"> - la mise en décharge de tous matériaux ou matériels y étant destinés, </t>
  </si>
  <si>
    <t xml:space="preserve"> - le nettoyage du site et de ses abords.</t>
  </si>
  <si>
    <t>LE FORFAIT/POTEAU</t>
  </si>
  <si>
    <t>FT/POTEAU</t>
  </si>
  <si>
    <t>3.2.1.9</t>
  </si>
  <si>
    <r>
      <t xml:space="preserve">Intervention "poteaux" sur site par tranche de 5 opérations par OS </t>
    </r>
    <r>
      <rPr>
        <b/>
        <i/>
        <sz val="10"/>
        <rFont val="Arial"/>
        <family val="2"/>
      </rPr>
      <t>et non cumulable avec l'article 3.2.1.8</t>
    </r>
  </si>
  <si>
    <r>
      <t>Est considérée comme opération les numéros de prix suivants :</t>
    </r>
    <r>
      <rPr>
        <b/>
        <sz val="10"/>
        <rFont val="Arial"/>
        <family val="2"/>
      </rPr>
      <t xml:space="preserve"> 3.2.1.1 à 3.2.1.6 </t>
    </r>
  </si>
  <si>
    <t>˗ l’amenée sur le chantier de tous matériels, personnel, matériaux, signalisation temporaire nécessaires à la réalisation des opérations et leur repli après achèvement,</t>
  </si>
  <si>
    <t>LE FORFAIT/5 POTEAUX</t>
  </si>
  <si>
    <t>FT/5 POTEAUX</t>
  </si>
  <si>
    <t>3.2.1.10</t>
  </si>
  <si>
    <t xml:space="preserve">Intervention sur site pour réfection en béton bitumineux par tranches de 5 opérations </t>
  </si>
  <si>
    <r>
      <t xml:space="preserve">Est considérée comme opération les numéros de prix suivants : </t>
    </r>
    <r>
      <rPr>
        <b/>
        <sz val="10"/>
        <rFont val="Arial"/>
        <family val="2"/>
      </rPr>
      <t xml:space="preserve">3.2.1.11 </t>
    </r>
    <r>
      <rPr>
        <b/>
        <u/>
        <sz val="10"/>
        <rFont val="Arial"/>
        <family val="2"/>
      </rPr>
      <t>ou</t>
    </r>
    <r>
      <rPr>
        <b/>
        <sz val="10"/>
        <rFont val="Arial"/>
        <family val="2"/>
      </rPr>
      <t xml:space="preserve"> 3.2.1.12</t>
    </r>
  </si>
  <si>
    <t>Ce prix comprend :</t>
  </si>
  <si>
    <t xml:space="preserve"> - l’amenée sur le chantier de tous matériels, personnel, matériaux, signalisation temporaire nécessaires à la réalisation des opérations et leur repli après achèvement, </t>
  </si>
  <si>
    <t>3.2.1.11</t>
  </si>
  <si>
    <r>
      <t>Réfection définitive en béton bitumineux 0/6 noir du poteau d’arrêt posé ou déposé et d’une surface de 0,20 à 0,25 m</t>
    </r>
    <r>
      <rPr>
        <i/>
        <vertAlign val="superscript"/>
        <sz val="10"/>
        <rFont val="Arial"/>
        <family val="2"/>
      </rPr>
      <t>2</t>
    </r>
    <r>
      <rPr>
        <i/>
        <sz val="10"/>
        <rFont val="Arial"/>
        <family val="2"/>
      </rPr>
      <t xml:space="preserve"> maximum, comprenant :</t>
    </r>
  </si>
  <si>
    <t xml:space="preserve"> - balayage et nettoyage de la surface à réfectionner,  </t>
  </si>
  <si>
    <t xml:space="preserve"> - mise en œuvre de la couche d’accrochage avec l’émulsion de bitume,</t>
  </si>
  <si>
    <t xml:space="preserve"> - mise en œuvre d’enrobé noir à chaud de granulométrie 0/6, </t>
  </si>
  <si>
    <t xml:space="preserve"> - compactage,</t>
  </si>
  <si>
    <t xml:space="preserve"> - réalisation de joints à l’émulsion et porphyre fin.</t>
  </si>
  <si>
    <t>3.2.1.12</t>
  </si>
  <si>
    <r>
      <t>Réfection définitive en béton bitumineux 0/6 rouge du poteau d’arrêt posé ou déposé et d’une surface de 0,20 à 0,25 m</t>
    </r>
    <r>
      <rPr>
        <i/>
        <vertAlign val="superscript"/>
        <sz val="10"/>
        <rFont val="Arial"/>
        <family val="2"/>
      </rPr>
      <t>2</t>
    </r>
    <r>
      <rPr>
        <i/>
        <sz val="10"/>
        <rFont val="Arial"/>
        <family val="2"/>
      </rPr>
      <t>maximum, comprenant :</t>
    </r>
  </si>
  <si>
    <t xml:space="preserve"> - balayage et nettoyage de la surface à réfectionner, </t>
  </si>
  <si>
    <t xml:space="preserve"> - mise en œuvre de la couche d’accrochage avec l’émulsion de bitume, </t>
  </si>
  <si>
    <t xml:space="preserve"> - mise en œuvre d’enrobé rouge à chaud de granulométrie 0/6.</t>
  </si>
  <si>
    <t>3.2.1.13</t>
  </si>
  <si>
    <t>Réfection définitive autre qu'en béton bitumineux - béton lissé, bouchardé, désactivé - dallage ou pavage y compris la découpe - du poteau d'arrêt posé ou déposé et d'une surface de 0,20 à 0,25 m² maximum, comprenant :</t>
  </si>
  <si>
    <t xml:space="preserve"> - mise en œuvre de béton sur une épaisseur de 0,15m maxi avec lissage, bouchardage ou traitement par béton désactivé, </t>
  </si>
  <si>
    <t>- réfection de pavage ou dallage sur béton, comprenant la pose, les découpes éventuelles et les joints au mortier.</t>
  </si>
  <si>
    <t>3.2.1.14</t>
  </si>
  <si>
    <t>Réfection définitive végétalisée - gazon - terre végétale - du poteau d'arrêt posé ou déposé et d'une surface de 0,20 à 0,25 m² maximum, comprenant :</t>
  </si>
  <si>
    <t xml:space="preserve"> - découpe soignée de la couche engazonnée pour réutilisation, </t>
  </si>
  <si>
    <t xml:space="preserve"> - mise en œuvre de terre végétale extraite ou rapportée le cas échéant,</t>
  </si>
  <si>
    <t xml:space="preserve"> - repose de la couche engazonnée.</t>
  </si>
  <si>
    <t>3.3</t>
  </si>
  <si>
    <t>DEPOSE D'ABRI BUS</t>
  </si>
  <si>
    <t>Ce prix rémunère à l'unité la dépose soignée de l'abri bus existant, y compris le déplacement de l'abri du quai existant au dépôt du maître d'ouvrage.</t>
  </si>
  <si>
    <t>Il comprend toutes les fournitures, les locations de matériel et la main d'oeuvre relatives : à la dépose de l'abri, au stockage tampon de l'abri sur chantier, au chargement et au transport de l'abris au dépôt du maître d'ouvrage, à l'évacuation des produits de démolition en décharge adaptée, y compris toutes les sujétions de réalisation de cette tâche.</t>
  </si>
  <si>
    <t>Il comprend également la consignation, la déconnexion et la dépose des câbles d'alimentation de l'abris et la déconnexion à la source.</t>
  </si>
  <si>
    <t>POSE D'ABRI BUS</t>
  </si>
  <si>
    <t xml:space="preserve"> Ce prix rémunère :</t>
  </si>
  <si>
    <t>- les terrassements complémentaires, évacuation des déblais,</t>
  </si>
  <si>
    <t>- la réalisation d'une semelle de fondations en béton dosé à 350 kg/m³,</t>
  </si>
  <si>
    <t>- la fourniture et pose de mobilier urbain,</t>
  </si>
  <si>
    <t>- la fixation dans massif de fondation en béton par douille renforcée de scellement antichoc en acier galvanisé à chaud ou par scellement.</t>
  </si>
  <si>
    <t>- les finitions : revêtement par poudre thermodurcissable polyester, teinte RAL à définir par le maître d'ouvrage,</t>
  </si>
  <si>
    <t>- la connexion au réseau d'éclairage, y compris toute fourniture.</t>
  </si>
  <si>
    <t>3.5</t>
  </si>
  <si>
    <t>SIGNALISATION HORIZONTALE D'ARRETS DE BUS DU RESEAU LE PALADIN</t>
  </si>
  <si>
    <t>Intervention "marquage" sur site pour 1 à 4 opérations par OS</t>
  </si>
  <si>
    <r>
      <t xml:space="preserve">Est considérée comme opération les numéros de prix suivants : </t>
    </r>
    <r>
      <rPr>
        <b/>
        <sz val="10"/>
        <rFont val="Arial"/>
        <family val="2"/>
      </rPr>
      <t xml:space="preserve">3.2.1.1 à 3.2.1.6 </t>
    </r>
  </si>
  <si>
    <t>LE FORFAIT/OPERATION</t>
  </si>
  <si>
    <t>FT/OPERATION</t>
  </si>
  <si>
    <r>
      <t xml:space="preserve">Intervention "marquage" sur site par tranche de 5 opérations par OS </t>
    </r>
    <r>
      <rPr>
        <b/>
        <i/>
        <sz val="10"/>
        <rFont val="Arial"/>
        <family val="2"/>
      </rPr>
      <t>et non cumulable avec l'article 3.5.1</t>
    </r>
  </si>
  <si>
    <t>LE FORFAIT/5 OPERATIONS</t>
  </si>
  <si>
    <t>FT/5 OPERATIONS</t>
  </si>
  <si>
    <t>3.5.3</t>
  </si>
  <si>
    <t>Effaçage par tout moyen approprié d’une «Marque Repère Arrêt » sur quai d’arrêt de bus de longueur 0,50 m sur 0,07 m de largeur</t>
  </si>
  <si>
    <t>L'UNITE :</t>
  </si>
  <si>
    <t>3.5.4</t>
  </si>
  <si>
    <t>Effaçage  par tout moyen approprié d’un zig-zag bus dont la longueur mesurée au droit du fil d’eau ne dépasse pas 10,00 m et dont la largeur est comprise entre 2,00 m et 2,50 m</t>
  </si>
  <si>
    <t>3.5.5</t>
  </si>
  <si>
    <t>Effaçage  par tout moyen approprié d’un zig-zag bus dont la longueur mesurée au droit du fil d’eau est comprise entre 10,00 m et 15,00 m et dont la largeur est comprise entre 2,00 m et 2,50 m</t>
  </si>
  <si>
    <t>3.5.6</t>
  </si>
  <si>
    <t>Marquage définitif d’une « Marque Repère Arrêt » sur quai d’arrêt de bus de longueur 0,50 m sur 0,07 m de largeur</t>
  </si>
  <si>
    <t>3.5.7</t>
  </si>
  <si>
    <t>Marquage définitif à la résine d’un zig-zag bus dont la longueur mesurée au droit du fil d’eau ne dépasse pas 10,00 m et dont la largeur est comprise entre 2,00 m et 2,50 m.</t>
  </si>
  <si>
    <t>3.5.8</t>
  </si>
  <si>
    <t>Marquage définitif à la résine d’un zig-zag bus dont la longueur mesurée au droit du fil d’eau est comprise entre 10,00 m et 15,00 m et dont la largeur est comprise entre 2,00 m et 2,50 m.</t>
  </si>
  <si>
    <t>3.5.9</t>
  </si>
  <si>
    <t>Poteau d'arrêt bus fixe de type GAYANT (URBANEO)</t>
  </si>
  <si>
    <t>3.5.9.1</t>
  </si>
  <si>
    <t>Fourniture de poteau d'arrêt bus de type Gayant</t>
  </si>
  <si>
    <t>Ce prix rémunère à l'unité la fourniture de poteau d'arrêt de bus de type Gayant avec cadre standard 900x300 mm, en simple face et tête de poteau standard, toutes sujétions comprises.</t>
  </si>
  <si>
    <t>3.5.9.2</t>
  </si>
  <si>
    <t>Scellement et pose de poteau</t>
  </si>
  <si>
    <t>Ce prix rémunère à l'unité le piquetage, la fourniture des gabarits et crosse d'ancrage, ainsi que la réalisation du massif béton de poteau d'arrêt de bus, toutes sujétions comprises.</t>
  </si>
  <si>
    <t>3.5.10</t>
  </si>
  <si>
    <t>Fourniture de poteau d'arrêt bus provisoire de type ERIS (URBANEO)</t>
  </si>
  <si>
    <t>Ce prix rémunère à l'unité la fourniture de poteau d'arrêt de bus provisoire de type ERIS DF complet, tête 400x300 mm, cadre 280x630 mm y compris fourniture de test pour poteau provisoire en plastique recyclé (poids : 28 kg), toutes sujétions comprises.</t>
  </si>
  <si>
    <t>3.5.11</t>
  </si>
  <si>
    <t>Dépose de poteau d'arrêt de bus (dont massif, hors réfection d'enrobé)</t>
  </si>
  <si>
    <t>Ce prix rémunère à l'unité la dépose de poteau d'arrêt de bus, y compris la dépose du massif, toutes sujétions comprises.
Ce prix ne comprend pas la réfection d'enrobé.</t>
  </si>
  <si>
    <t>3.5.12</t>
  </si>
  <si>
    <t>Dépose de poteau d'arrêt de bus (découpe du mât à sa base)</t>
  </si>
  <si>
    <t>4</t>
  </si>
  <si>
    <t>DEMOLITION ET REFECTION DE CHAUSSEE ET TROTTOIRS</t>
  </si>
  <si>
    <t>4.1</t>
  </si>
  <si>
    <t>DECOUPE DES ENROBES</t>
  </si>
  <si>
    <t>Découpe des enrobés jusqu'à 6 centimètres d'épaisseur</t>
  </si>
  <si>
    <t>Ce prix rémunère, au mètre linéaire, la découpe des enrobés sur une profondeur de 6 cm. Il comprend l’amenée à pied d’œuvre du matériel de découpe, les disques nécessaires et les protections éventuelles.</t>
  </si>
  <si>
    <t>Plus-value au prix 4.1.1 par cm supplémentaire d'épaisseur</t>
  </si>
  <si>
    <t>LE CENTIMETRE SUPPLEMENTAIRE PAR METRE LINEAIRE</t>
  </si>
  <si>
    <t>CM/ML</t>
  </si>
  <si>
    <t>4.2</t>
  </si>
  <si>
    <t>DEMOLITION/RABOTAGE DES REVETEMENTS QUELLE QUE SOIT LA NATURE</t>
  </si>
  <si>
    <t>Démolition des revêtements jusqu'à 6 cm d'épaisseur</t>
  </si>
  <si>
    <t>Ce prix rémunère au mètre carré la démolition de revêtement de chaussée et de trottoir nécessaire à l'exécution des fouilles et travaux de toutes natures jusqu'à 6 cm d'épaisseur.</t>
  </si>
  <si>
    <t>Ce prix s'applique quels que soient la nature et l’épaisseur des matériaux rencontrés.</t>
  </si>
  <si>
    <t>Ce prix comprend :</t>
  </si>
  <si>
    <t>˗ les frais de matériel de démolition,</t>
  </si>
  <si>
    <r>
      <rPr>
        <sz val="10"/>
        <color indexed="8"/>
        <rFont val="Arial"/>
        <family val="2"/>
      </rPr>
      <t>˗</t>
    </r>
    <r>
      <rPr>
        <sz val="10"/>
        <color indexed="8"/>
        <rFont val="Times New Roman"/>
        <family val="1"/>
      </rPr>
      <t xml:space="preserve">  </t>
    </r>
    <r>
      <rPr>
        <sz val="10"/>
        <color indexed="8"/>
        <rFont val="Arial"/>
        <family val="2"/>
      </rPr>
      <t>la démolition de revêtement de chaussée existante et trottoir (autre que pavage),</t>
    </r>
  </si>
  <si>
    <r>
      <rPr>
        <sz val="10"/>
        <color indexed="8"/>
        <rFont val="Arial"/>
        <family val="2"/>
      </rPr>
      <t>˗</t>
    </r>
    <r>
      <rPr>
        <sz val="10"/>
        <color indexed="8"/>
        <rFont val="Times New Roman"/>
        <family val="1"/>
      </rPr>
      <t xml:space="preserve">  </t>
    </r>
    <r>
      <rPr>
        <sz val="10"/>
        <color indexed="8"/>
        <rFont val="Arial"/>
        <family val="2"/>
      </rPr>
      <t>le chargement à l’engin ou à la main,</t>
    </r>
  </si>
  <si>
    <r>
      <t xml:space="preserve">˗ </t>
    </r>
    <r>
      <rPr>
        <sz val="10"/>
        <color indexed="8"/>
        <rFont val="Times New Roman"/>
        <family val="1"/>
      </rPr>
      <t xml:space="preserve"> </t>
    </r>
    <r>
      <rPr>
        <sz val="10"/>
        <color indexed="8"/>
        <rFont val="Arial"/>
        <family val="2"/>
      </rPr>
      <t>l’évacuation des produits de la démolition en centre de stockage et de traitement des déchets, droits de décharge compris.</t>
    </r>
  </si>
  <si>
    <t>Rabotage des revêtements jusqu'à 6 cm d'épaisseur</t>
  </si>
  <si>
    <t>Ce prix rémunère au mètre carré le rabotage des revêtements jusqu'à 6 cm d'épaisseur.</t>
  </si>
  <si>
    <t>˗ les frais de matériel de rabotage,</t>
  </si>
  <si>
    <r>
      <t>˗</t>
    </r>
    <r>
      <rPr>
        <sz val="10"/>
        <color indexed="8"/>
        <rFont val="Times New Roman"/>
        <family val="1"/>
      </rPr>
      <t xml:space="preserve"> </t>
    </r>
    <r>
      <rPr>
        <sz val="10"/>
        <color indexed="8"/>
        <rFont val="Arial"/>
        <family val="2"/>
      </rPr>
      <t>le rabotage des revêtements existants,</t>
    </r>
  </si>
  <si>
    <r>
      <t>˗</t>
    </r>
    <r>
      <rPr>
        <sz val="10"/>
        <color indexed="8"/>
        <rFont val="Times New Roman"/>
        <family val="1"/>
      </rPr>
      <t xml:space="preserve"> </t>
    </r>
    <r>
      <rPr>
        <sz val="10"/>
        <color indexed="8"/>
        <rFont val="Arial"/>
        <family val="2"/>
      </rPr>
      <t>le chargement à l’engin ou à la main,</t>
    </r>
  </si>
  <si>
    <t>˗ l’évacuation des produits de rabotage en centre de stockage et de traitement des déchets, droits de décharge compris.</t>
  </si>
  <si>
    <t>4.2.2.1</t>
  </si>
  <si>
    <r>
      <t xml:space="preserve">Rabotage des revêtements de chaussées Q </t>
    </r>
    <r>
      <rPr>
        <sz val="10"/>
        <rFont val="Calibri"/>
        <family val="2"/>
      </rPr>
      <t>≤</t>
    </r>
    <r>
      <rPr>
        <sz val="10"/>
        <rFont val="Arial"/>
        <family val="2"/>
      </rPr>
      <t xml:space="preserve"> 500 m2</t>
    </r>
  </si>
  <si>
    <t>4.2.2.2</t>
  </si>
  <si>
    <r>
      <t xml:space="preserve">Rabotage des revêtements de chaussées 500 m2 &lt; Q </t>
    </r>
    <r>
      <rPr>
        <sz val="10"/>
        <rFont val="Calibri"/>
        <family val="2"/>
      </rPr>
      <t xml:space="preserve">≤ </t>
    </r>
    <r>
      <rPr>
        <sz val="10"/>
        <rFont val="Arial"/>
        <family val="2"/>
      </rPr>
      <t>2000 m2</t>
    </r>
  </si>
  <si>
    <t>4.2.2.3</t>
  </si>
  <si>
    <t>Rabotage des revêtements de chaussées Q &gt; 2000 m2</t>
  </si>
  <si>
    <t>Plus-value aux prix 4.2.1 et 4.2.2 par cm supplémentaire d'épaisseur</t>
  </si>
  <si>
    <t>LE CENTIMETRE SUPPLEMENTAIRE PAR METRE CARRE</t>
  </si>
  <si>
    <t>CM/M²</t>
  </si>
  <si>
    <t>4.3</t>
  </si>
  <si>
    <t>DEPOSE DE BORDURE, BORDURETTE, CANIVEAU QUELS QUE SOIENT LE TYPE ET LA NATURE</t>
  </si>
  <si>
    <t>Ces prix rémunèrent au mètre linéaire la dépose de bordures, bordurettes, bornes et caniveaux existants. Il comprend notamment :</t>
  </si>
  <si>
    <t>˗ l'amenée et le repli de tous les moyens, en personnel et matériels, nécessaires à la bonne exécution,</t>
  </si>
  <si>
    <t>˗ la démolition de la fondation,</t>
  </si>
  <si>
    <t>˗ la dépose,</t>
  </si>
  <si>
    <t>˗ le décrottage,</t>
  </si>
  <si>
    <t>˗ le triage,</t>
  </si>
  <si>
    <t>˗ le rangement,</t>
  </si>
  <si>
    <t>˗ le chargement, le transport et le stockage, à l'intérieur ou l'extérieur du chantier, aux différents lieux définis par le maître d'ouvrage, des éléments préfabriqués réutilisables,</t>
  </si>
  <si>
    <t>˗ le chargement, le transport et le déchargement en centre de stockage et de traitement des matériaux non récupérables (droits de décharges compris).</t>
  </si>
  <si>
    <t>˗ le comblement et le compactage à l'arase du terrain des excavations par des matériaux de remblais soumis à l'approbation du maître d'oeuvre.</t>
  </si>
  <si>
    <t>4.3.1</t>
  </si>
  <si>
    <t>Dépose de bordure quelle que soit le type</t>
  </si>
  <si>
    <t>4.3.2</t>
  </si>
  <si>
    <t>Dépose de bordurette quelle que soit le type</t>
  </si>
  <si>
    <t>4.3.3</t>
  </si>
  <si>
    <t>Dépose de caniveau quel que soit le type</t>
  </si>
  <si>
    <t>4.4</t>
  </si>
  <si>
    <t>DEPOSE DE PAVAGE ET STOCKAGE</t>
  </si>
  <si>
    <t>Ces prix rémunèrent au mètre carré la dépose manuelle ou mécanique de pavage. Ils comprennent notamment :</t>
  </si>
  <si>
    <t xml:space="preserve">˗ la dépose, la démolition de la fondation, le triage, le rangement, </t>
  </si>
  <si>
    <t>˗ le chargement, le transport et le stockage, à l'intérieur ou l'extérieur du chantier, aux différents lieux définis par le maître d'ouvrage.</t>
  </si>
  <si>
    <t>4.4.1</t>
  </si>
  <si>
    <t>Dépose manuelle de pavage et stockage</t>
  </si>
  <si>
    <t>4.4.2</t>
  </si>
  <si>
    <t>Dépose mécanique de pavage et stockage</t>
  </si>
  <si>
    <t>4.5</t>
  </si>
  <si>
    <t>PLUS-VALUE AUX PRIX 4.4.1 ET 4.4.2 POUR DECROTTAGE DE PAVES</t>
  </si>
  <si>
    <t>4.6</t>
  </si>
  <si>
    <t>PLUS-VALUE AUX PRIX 4.4.1 ET 4.4.2 POUR EVACUATION ET MISE EN DECHARGE (droits de décharge inclus)</t>
  </si>
  <si>
    <t>4.7</t>
  </si>
  <si>
    <t>DEMOLITION DE CORPS DE CHAUSSEE OU DE TROTTOIR QUELLE QUE SOIT LA NATURE</t>
  </si>
  <si>
    <t>Ces prix rémunèrent au mètre cube la démolition mécanique ou manuelle des chaussées et trottoirs existants quelle que soit la nature. Il comprend notamment :</t>
  </si>
  <si>
    <t>˗ l'amenée et le repli des matériels nécessaires à l'exécution,</t>
  </si>
  <si>
    <t>˗ les piochages préalables de la chaussée,</t>
  </si>
  <si>
    <t>˗ l'emploi éventuel d'un B.R.H.,</t>
  </si>
  <si>
    <t>˗ la démolition mécanique de la structure par tout moyen laissé à l'initiative de l'Entrepreneur,</t>
  </si>
  <si>
    <t>˗ le chargement sur camion, l'évacuation et la mise en décharge de l'Entrepreneur de tous les déblais issus de cette démolition (droits de décharge inclus).</t>
  </si>
  <si>
    <t>4.7.1</t>
  </si>
  <si>
    <t>Démolition manuelle</t>
  </si>
  <si>
    <t>4.7.2</t>
  </si>
  <si>
    <t>Démolition mécanique</t>
  </si>
  <si>
    <t>4.7.2.1</t>
  </si>
  <si>
    <r>
      <t xml:space="preserve">Démolition mécanique Q </t>
    </r>
    <r>
      <rPr>
        <sz val="10"/>
        <rFont val="Calibri"/>
        <family val="2"/>
      </rPr>
      <t>≤</t>
    </r>
    <r>
      <rPr>
        <sz val="10"/>
        <rFont val="Arial"/>
        <family val="2"/>
      </rPr>
      <t xml:space="preserve"> 50 m3</t>
    </r>
  </si>
  <si>
    <t>4.7.2.2</t>
  </si>
  <si>
    <t>Démolition mécanique 50 m3 &lt; Q ≤ 400 m3</t>
  </si>
  <si>
    <t>4.7.2.3</t>
  </si>
  <si>
    <t>Démolition mécanique Q &gt; 400 m3</t>
  </si>
  <si>
    <t>4.8</t>
  </si>
  <si>
    <t>PURGES PONCTUELLES DE CHAUSSEE</t>
  </si>
  <si>
    <t>Ces prix rémunèrent au mètre cube, la réalisation de purge à l'engin mécanique ou à la main.</t>
  </si>
  <si>
    <t>Ce prix comprend  :</t>
  </si>
  <si>
    <t>˗ la démolition de la structure par tout moyen laissé à l'initiative de l'Entrepreneur</t>
  </si>
  <si>
    <t>˗ le chargement sur camion, l'évacuation et la mise en décharge de l'Entrepreneur de tous les déblais issus de cette démolition (droits de décharge inclus),</t>
  </si>
  <si>
    <t>˗ la préparation, le réglage fin et le compactage de la plate-forme support,</t>
  </si>
  <si>
    <t>˗ la fourniture, le transport et la mise en œuvre de grave non traitée GNT 0/20 ou 0/31.5 par couche de 20 cm maximum y compris compactage,</t>
  </si>
  <si>
    <t>y compris toutes sujétions de fourniture et d'exécution.</t>
  </si>
  <si>
    <t>4.8.1</t>
  </si>
  <si>
    <t>Purges à l'engin mécanique</t>
  </si>
  <si>
    <t>4.8.2</t>
  </si>
  <si>
    <t>Purges à la main</t>
  </si>
  <si>
    <t>4.9</t>
  </si>
  <si>
    <t>REGLAGE DE SURFACE PAR NIVELEUSE</t>
  </si>
  <si>
    <t>Ce prix rémunère au mètre carré le réglage de surface par niveleuse.</t>
  </si>
  <si>
    <t>˗ l'amenée et le repli de la niveleuse et du personnel nécessaire,</t>
  </si>
  <si>
    <t>˗ toutes les opérations de réglage des surfaces au niveau de précision exigé dans le C.C.T.P.,</t>
  </si>
  <si>
    <t>˗ tous les matériaux, matériels, personnels et sujétions nécessaires à la bonne réalisation.</t>
  </si>
  <si>
    <t>4.10</t>
  </si>
  <si>
    <t>RACLAGE DE SURFACE PAR NIVELEUSE</t>
  </si>
  <si>
    <t>Ce prix rémunère au mètre carré le raclage de surface par niveleuse.</t>
  </si>
  <si>
    <t>˗ toutes les opérations de raclage des surfaces,</t>
  </si>
  <si>
    <t>4.11</t>
  </si>
  <si>
    <t>REFECTION DES CHAUSSEES ET TROTTOIRS</t>
  </si>
  <si>
    <t>4.11.1</t>
  </si>
  <si>
    <t>Réfection provisoire de chaussée comprenant un enduit gravillonné bicouche aux granulats porphyres</t>
  </si>
  <si>
    <t>Ce prix rémunère au mètre carré la réfection provisoire de chaussée par l'application d'un enduit bicouche gravillonné en couche de roulement.</t>
  </si>
  <si>
    <t>4.11.2</t>
  </si>
  <si>
    <t>Fourniture et mise en place d'un géotextile anti-contaminant</t>
  </si>
  <si>
    <t>Ces prix rémunèrent au mètre carré la fourniture et la pose de géotextile non tissé anti-contaminant.</t>
  </si>
  <si>
    <t>4.11.2.1</t>
  </si>
  <si>
    <t>Géotextile anti-contaminant 350 gr/m2</t>
  </si>
  <si>
    <t>4.11.2.2</t>
  </si>
  <si>
    <t>Géotextile anti-contaminant 500 gr/m2</t>
  </si>
  <si>
    <t>4.11.3</t>
  </si>
  <si>
    <t>Fourniture des matériaux de fondation de chaussée et trottoir</t>
  </si>
  <si>
    <t>Ces prix rémunèrent au mètre cube la fourniture des matériaux pour la réalisation des fondations de chaussée et trottoir.</t>
  </si>
  <si>
    <t>- le chargement des matériaux,</t>
  </si>
  <si>
    <t>- le transport des matériaux,</t>
  </si>
  <si>
    <t>- la fourniture et déchargement à pied d'œuvre des matériaux.</t>
  </si>
  <si>
    <t>Ces prix seront réglés au mètre cube calculé pour une épaisseur définie et pour une largeur constatée.</t>
  </si>
  <si>
    <t>4.11.3.1</t>
  </si>
  <si>
    <t>Grave ciment 0/20</t>
  </si>
  <si>
    <t>4.11.3.2</t>
  </si>
  <si>
    <t>Grave de béton concassé 0/20 ou 0/31.5 traitée au liant hydraulique</t>
  </si>
  <si>
    <t>4.11.3.3</t>
  </si>
  <si>
    <t>Grave de béton concassé 0/20 ou 0/31.5 non traitée</t>
  </si>
  <si>
    <t>4.11.3.4</t>
  </si>
  <si>
    <t>Grave non traitée GNT 0/20 ou 0/31.5</t>
  </si>
  <si>
    <t>4.11.3.5</t>
  </si>
  <si>
    <t>Grave 20/40 drainante</t>
  </si>
  <si>
    <t>4.11.4</t>
  </si>
  <si>
    <t>Mise en oeuvre de la fondation de chaussée et trottoir</t>
  </si>
  <si>
    <t>Ces prix rémunèrent au mètre cube la mise en œuvre des fondations de chaussée et trottoir.</t>
  </si>
  <si>
    <t>˗ l'amenée et repli de tout matériel nécessaire à la bonne exécution,</t>
  </si>
  <si>
    <t>˗ la préparation, le réglage fin et le compactage de la plate-forme support des enrobés,</t>
  </si>
  <si>
    <t>˗ le transport et la mise en œuvre des matériaux de fondation de chaussée et trottoir,</t>
  </si>
  <si>
    <t>˗ la protection des bordures et le nettoyage de la chaussée et trottoir voisin,</t>
  </si>
  <si>
    <t>y compris toutes sujétions de mise en œuvre.</t>
  </si>
  <si>
    <t>4.11.4.1</t>
  </si>
  <si>
    <t>Mise en œuvre manuelle</t>
  </si>
  <si>
    <t>4.11.4.2</t>
  </si>
  <si>
    <r>
      <t xml:space="preserve">Mise en œuvre mécanique Q </t>
    </r>
    <r>
      <rPr>
        <i/>
        <sz val="10"/>
        <rFont val="Calibri"/>
        <family val="2"/>
      </rPr>
      <t xml:space="preserve">≤ </t>
    </r>
    <r>
      <rPr>
        <i/>
        <sz val="10"/>
        <rFont val="Arial"/>
        <family val="2"/>
      </rPr>
      <t>50 m3</t>
    </r>
  </si>
  <si>
    <t>4.11.4.3</t>
  </si>
  <si>
    <t>Mise en œuvre mécanique 50 m3 &lt; Q ≤ 400 m3</t>
  </si>
  <si>
    <t>4.11.4.4</t>
  </si>
  <si>
    <t>Mise en œuvre mécanique &gt; 400 m3</t>
  </si>
  <si>
    <t>4.11.5</t>
  </si>
  <si>
    <t>Réalisation d'un matriçage sur enrobé rouge</t>
  </si>
  <si>
    <t>Ce prix rémunère au mètre carré la réalisation d'un matriçage sur enrobé rouge.</t>
  </si>
  <si>
    <t>Il comprend notamment tout le matériel et personnel nécessaires à la réalisation du matriçage. Le réglage préalable du matriçage, ainsi que sa réalisation soignée. Ce prix ne comprend pas la fourniture et mise en œuvre des enrobés.</t>
  </si>
  <si>
    <t>4.11.6</t>
  </si>
  <si>
    <t>Fourniture, transport et mise en œuvre de béton maigre pour fondation des zones pavées</t>
  </si>
  <si>
    <t>Ce prix rémunère au mètre cube la fourniture, le transport et la mise en œuvre de béton maigre pour fondation des zones pavées.</t>
  </si>
  <si>
    <t>Il comprend toutes les fournitures et sujétions de mise en œuvre pour le béton de fondation.</t>
  </si>
  <si>
    <t>4.11.7</t>
  </si>
  <si>
    <t>Réfection de pavage</t>
  </si>
  <si>
    <t>Ce prix rémunère au mètre carré la réfection de pavage.</t>
  </si>
  <si>
    <r>
      <t>Il comprend</t>
    </r>
    <r>
      <rPr>
        <sz val="10"/>
        <color indexed="8"/>
        <rFont val="Arial"/>
        <family val="2"/>
      </rPr>
      <t xml:space="preserve"> l’amenée à pied d’œuvre, la fourniture ou la reprise et le transport des pavés depuis le dépôt du maître d’ouvrage et la mise en œuvre des pavés quelles que soient leur nature et leurs dimensions.</t>
    </r>
  </si>
  <si>
    <t>Il comprend toutes les fournitures et sujétions de mise en œuvre pour le béton de fondation pour la façon de pavage sur le lit de sable et pour le rejointoiement à l’émulsion de bitume avec emploi de gravillons de porphyre ou le rejointoiement au mortier.</t>
  </si>
  <si>
    <t>4.11.8</t>
  </si>
  <si>
    <t>Plus value au prix 4.11.7 pour réfection de pavage en caniveau</t>
  </si>
  <si>
    <t>Ce prix rémunère la plus-value au prix 4.11.7. pour réfection de pavage en caniveau.</t>
  </si>
  <si>
    <t>Ce prix comprend notamment :</t>
  </si>
  <si>
    <t>˗ les fournitures et prestations du prix 4.11.7,</t>
  </si>
  <si>
    <t>˗ la mise en place des pavés en caniveaux de 2 à 3 rangs y compris toute sujétion de raccordement et de joint entre les pavés et la chaussée et la bordure.</t>
  </si>
  <si>
    <t>4.11.9</t>
  </si>
  <si>
    <t>Fourniture et pose de laniérage en pavés granit</t>
  </si>
  <si>
    <t>Ce prix rémunère au mètre linéaire la fourniture et la mise en œuvre de laniérage en pavés granit 14x20x14 cm face vue flammée.</t>
  </si>
  <si>
    <t>- la préparation et le nettoyage du support après terrassement,</t>
  </si>
  <si>
    <t>- la fourniture et la mise en œuvre du laniérage en pavé aspect granit après réalisation de l'assise en béton rémunérée au prix 4.11.6,</t>
  </si>
  <si>
    <t>- le nettoyage des abords et fond d’ouvrage, l’évacuation des gravats.</t>
  </si>
  <si>
    <t>- toute fournitures et sujétions de raccordement, toutes fournitures et main d'œuvre pour le calage et la réalisation des joints.</t>
  </si>
  <si>
    <t>4.11.10</t>
  </si>
  <si>
    <t>Fourniture et pose de pavés en granit</t>
  </si>
  <si>
    <t>Ce prix rémunère au mètre carré la fourniture de pavés en granit.</t>
  </si>
  <si>
    <r>
      <t>Il comprend</t>
    </r>
    <r>
      <rPr>
        <sz val="10"/>
        <color indexed="8"/>
        <rFont val="Arial"/>
        <family val="2"/>
      </rPr>
      <t xml:space="preserve"> l’amenée à pied d’œuvre, la fourniture et le transport des pavés et la mise en œuvre des pavés.</t>
    </r>
  </si>
  <si>
    <t>La fourniture et la mise en œuvre des pavés après réalisation de l'assise en béton rémunérée au prix 4.11.6.</t>
  </si>
  <si>
    <t>Il comprend toutes les fournitures et sujétions de mise en œuvre pour la façon de pavage et pour le rejointoiement à l’émulsion de bitume avec emploi de gravillons de porphyre ou le rejointoiement au mortier.</t>
  </si>
  <si>
    <t>4.11.10.1</t>
  </si>
  <si>
    <t>Fourniture et pose de pavés en granit 10x10x10 cm</t>
  </si>
  <si>
    <t>4.11.10.2</t>
  </si>
  <si>
    <t>Fourniture et pose de pavés en granit 14x20x14 cm</t>
  </si>
  <si>
    <t>4.11.10.3</t>
  </si>
  <si>
    <t>Fourniture et pose de pavés en granit 14x20x10 cm</t>
  </si>
  <si>
    <t>4.11.10.4</t>
  </si>
  <si>
    <t>Fourniture et pose de pavés granit 14x20x14 à joints gravillonnés</t>
  </si>
  <si>
    <t>Ce prix rémunère au mètre carré la fourniture et la pose de pavés granit gris 14x20x10, finition flammée, à joints poreux. Il comprend :
la fourniture et le transport sur le chantier, la pose des pavés sera à joints décalés, avec la mise en place d'écarteur en T de 2 ou 3cm suivant les détails fournis au dossier de plans, sur lit de pose en sable lavé de 5 cm. Les joints des pavés seront réalisés en gravillons 2/5, remplis à refus et compactés à la plaque vibrante, coloris des gravillons au choix du maître d'œuvre.</t>
  </si>
  <si>
    <t>4.11.10.5</t>
  </si>
  <si>
    <t>Fourniture et pose de pavés granit 14x20x14 à joints engazonnés</t>
  </si>
  <si>
    <t>Ce prix rémunère au mètre carré la fourniture et la pose de pavés granit gris 14x20x10, finition flammée, à joints engazonnés. Il comprend :
la fourniture et le transport sur le chantier, la pose des pavés sera à joints décalés, avec la mise en place d'écarteur en T de 2 ou 3cm suivant les détails fournis au dossier de plans, sur lit de pose en Fertilit d'Ecovégétal ou similaire de 5 cm. Les joints des pavés seront réalisés en substrat végétal spécifique (terre végétale + compost + sable) soumis à validation du paysagiste de l'opération. Le poste comprend aussi l'entretien des joints engazonnés sur une période de 2 ans.</t>
  </si>
  <si>
    <t>4.11.11</t>
  </si>
  <si>
    <t>Fourniture et pose de pavés en grès 14x20</t>
  </si>
  <si>
    <t>Ce prix rémunère au mètre carré la fourniture de pavés en grès 14x20 cm quelle que soit l'épaisseur.</t>
  </si>
  <si>
    <t>La fourniture et la mise en œuvre des pavés après réalisation de l'assise en béton rémunérée au prix 4.11.6,</t>
  </si>
  <si>
    <t>4.11.11.1</t>
  </si>
  <si>
    <t>Fourniture et pose de pavés grès 14x20 à joints ciment</t>
  </si>
  <si>
    <t>4.11.11.2</t>
  </si>
  <si>
    <t>Fourniture et pose de pavés grès 14x20 à joints gravillonnés</t>
  </si>
  <si>
    <t>4.11.11.3</t>
  </si>
  <si>
    <t>Fourniture et pose de pavés grès 14x20 à joints engazonnés</t>
  </si>
  <si>
    <t>4.11.12</t>
  </si>
  <si>
    <t>Fourniture et pose de pavés en béton joints gazon</t>
  </si>
  <si>
    <t>Ce prix rémunère au mètre carré la fourniture de pavés béton allant du 10x10 au 25x25.</t>
  </si>
  <si>
    <t>Il comprend toutes les fournitures et sujétions de mise en œuvre pour la façon de pavage et pour la mise en œuvre des joints gazon.</t>
  </si>
  <si>
    <t>4.11.13</t>
  </si>
  <si>
    <t>Fourniture et pose de pavé en béton Ep 8 cm joints graviers type Rompero</t>
  </si>
  <si>
    <t>Ce prix rémunère au mètre carré la fourniture et la pose de pavés béton ép 8cm, finition lisse, à joints poreux. Il comprend :
La fourniture et le transport sur le chantier, la pose des pavés sera à joints décalés, avec la mise en place d'écarteur en T de 3cm sur lit de pose en sable lavé de 5 cm. Les joints des pavés seront réalisés en gravillons 2/5, remplis à refus et compactés à la plaque vibrante, coloris des gravillons au choix du maître d'œuvre.</t>
  </si>
  <si>
    <t>4.11.14</t>
  </si>
  <si>
    <t>Plus value aux prix 4.11.10 à 4.11.12 pour pose de pavage en caniveau</t>
  </si>
  <si>
    <t>Ce prix rémunère la plus-value aux prix 4.11.10 à 4.11.12 pour pose de pavage en caniveau.</t>
  </si>
  <si>
    <t>˗ les fournitures et prestations des prix 4.11.10 à 4.11.12,</t>
  </si>
  <si>
    <t>˗ la mise en place des pavés en caniveaux  y compris toute sujétion de raccordement et de joint entre les pavés et la chaussée et la bordure.</t>
  </si>
  <si>
    <t>4.11.15</t>
  </si>
  <si>
    <t>Plus value aux prix 4.11.9 à 4.11.12 pour pose de pavage sur trottoir</t>
  </si>
  <si>
    <t>Ce prix rémunère la plus-value aux prix 4.11.9 à 4.11.12 pour pose de pavage sur trottoir.</t>
  </si>
  <si>
    <t>˗ la mise en place des pavés sur trottoir y compris toute sujétion de raccordement et de joint entre les pavés et la chaussée et la bordure.</t>
  </si>
  <si>
    <t>4.11.16</t>
  </si>
  <si>
    <t>Plus value aux prix 4.11.9 à 4.11.12 pour pose de pavage sur entrées charretières</t>
  </si>
  <si>
    <t>Ce prix rémunère la plus-value aux prix 4.11.9 à 4.11.12 pour pose de pavage sur entrées charretières.</t>
  </si>
  <si>
    <t>˗ les fournitures et prestations des prix 4.11.9 à 4.11.12,</t>
  </si>
  <si>
    <t>˗ la mise en place des pavés sur les entrées charretières y compris toute sujétion de raccordement et de joint entre les pavés et la chaussée et la bordure.</t>
  </si>
  <si>
    <t>4.11.17</t>
  </si>
  <si>
    <t>Fourniture et pose de pavés collés sur chaussée et trottoir</t>
  </si>
  <si>
    <t>Ce prix rémunère au mètre carré la fourniture et la mise en œuvre de pavés synthétiques à coller sur chaussée, style moderne 15x20, collection granitée gris clair type PaveSmart des Ets Geveko ou similaire. Il comprend :
Le nettoyage et le dépoussiérage du support, le pré-marquage, la fourniture et l'amenée à pied d'œuvre de pavés synthétiques 15x20, l'application de la colle résine, y compris la primaire d'accrochage si nécessaire, la pose des pavés en lanièrage, et toutes sujétions de découpes.</t>
  </si>
  <si>
    <t>4.11.18</t>
  </si>
  <si>
    <t>Fourniture de la couche de roulement sur chaussée et du revêtement de trottoir en béton bitumineux (y compris couche d'accrochage à l'émulsion de bitume ou couche d'imprégnation)</t>
  </si>
  <si>
    <t>Ces prix rémunèrent à la Tonne la fourniture des matériaux constitutifs de la couche de roulement sur chaussée et du revêtement de trottoir quel que soit le mode d’exécution.</t>
  </si>
  <si>
    <t>Ces prix comprennent :</t>
  </si>
  <si>
    <t>˗ la fourniture de l'émulsion cationique de 0,3kg/m2 de bitume résiduel pour la couche d'accrochage,</t>
  </si>
  <si>
    <t>˗ la fourniture des granulats, des fines et du liant hydrocarboné,</t>
  </si>
  <si>
    <t>- le transport et le déchargement à pied d'œuvre des matériaux,</t>
  </si>
  <si>
    <t>˗ la fabrication du béton bitumineux, les dosages et le malaxage,</t>
  </si>
  <si>
    <t>˗ les pesées, le chargement, le transport, le déchargement à pied d'oeuvre du béton bitumineux.</t>
  </si>
  <si>
    <t>Le tonnage pris en compte sera celui résultant des tickets de pesée des camions dont les contenus auront été réellement mis en œuvre sur le chantier.</t>
  </si>
  <si>
    <t>4.11.18.1</t>
  </si>
  <si>
    <t>Béton bitumineux (BB) 0/10 noir</t>
  </si>
  <si>
    <t>LA TONNE</t>
  </si>
  <si>
    <t>T</t>
  </si>
  <si>
    <t>4.11.18.2</t>
  </si>
  <si>
    <t>Béton bitumineux (BB) 0/6 noir</t>
  </si>
  <si>
    <t>4.11.18.3</t>
  </si>
  <si>
    <t>Béton bitumineux (BB) 0/6 rouge</t>
  </si>
  <si>
    <t>4.11.18.4</t>
  </si>
  <si>
    <t>Béton bitumineux (BB) 0/4 rouge</t>
  </si>
  <si>
    <t>4.11.18.5</t>
  </si>
  <si>
    <t>Béton bitumineux coloré</t>
  </si>
  <si>
    <t>4.11.18.6</t>
  </si>
  <si>
    <t>Béton bitumineux très mince (BBTM) 0/6 noir</t>
  </si>
  <si>
    <t>4.11.18.7</t>
  </si>
  <si>
    <t>Béton bitumineux mince (BBM) 0/10 noir</t>
  </si>
  <si>
    <t>4.11.18.8</t>
  </si>
  <si>
    <t>Béton bitumineux semi-grenu (BBSG) 0/10 noir</t>
  </si>
  <si>
    <t>4.11.18.9</t>
  </si>
  <si>
    <t>Béton bitumineux semi-grenu (BBSG) 0/10 à quartz blanc</t>
  </si>
  <si>
    <t>4.11.18.10</t>
  </si>
  <si>
    <t>Béton bitumineux semi-grenu (BBSG) 0/6 noir</t>
  </si>
  <si>
    <t>4.11.18.11</t>
  </si>
  <si>
    <t>Béton bitumineux semi-grenu (BBSG) 0/10 rouge</t>
  </si>
  <si>
    <t>4.11.18.12</t>
  </si>
  <si>
    <t>Béton bitumineux semi-grenu (BBSG) 0/14 noir</t>
  </si>
  <si>
    <t>4.11.18.13</t>
  </si>
  <si>
    <t>Béton Bitumineux percolés</t>
  </si>
  <si>
    <t>Ce prix rémunère en complément du prix 4.11.16 la fourniture d'un coulis de ciment pour réalisation de l'enrobé percolé</t>
  </si>
  <si>
    <t>4.11.18.14</t>
  </si>
  <si>
    <t>Béton Bitumineux hydrodécapé</t>
  </si>
  <si>
    <t>Ce prix rémunère en complément du prix 4.11.16, l'hydrodécapage de l'enrobé</t>
  </si>
  <si>
    <t>4.11.18.15</t>
  </si>
  <si>
    <t>Béton désactivé fibré 5/15 sur 0,20 m d'épaisseur et joints toffolo</t>
  </si>
  <si>
    <t>Ce prix rémunère la fourniture et la mise en oeuvre de béton désactivé fibré 5/15 pour couche de roulement sur 0,20 m d'épaisseur, y compris tout dispositif d'amenée du matériau au lieu de coulage. Il comprend :
la fourniture, le montage et le démontage des coffrages latéraux, la fourniture et la pose tous les 25 m2 de joints plastique type Toffolo, la fourniture et le transport à pied d'oeuvre de béton 5/15 fibré dosé à 350 kg de ciment C.P J 45 par m3, le répandage, le réglage aux cotes prescrites et la pervibration du béton suivant les régles de l'art, le passage d'un désactivant de surface, la fourniture et la mise en oeuvre de produits de protection pour les ouvrages attenants, lavage à la machine haute pression, le nettoyage et l'évacuation de la laitance.</t>
  </si>
  <si>
    <t>4.11.18.16</t>
  </si>
  <si>
    <t>Béton désactivé fibré 5/15 sur 0,15 m d'épaisseur et joints toffolo</t>
  </si>
  <si>
    <t>4.11.18.17</t>
  </si>
  <si>
    <t>Béton bitumineux à module élevé (BBME) 0/10 noir</t>
  </si>
  <si>
    <t>4.11.18.18</t>
  </si>
  <si>
    <t>Enrobé à module élevé EME 0/14 noir classe 2</t>
  </si>
  <si>
    <t>4.11.18.19</t>
  </si>
  <si>
    <t>Grave bitume 0/14 classe 3</t>
  </si>
  <si>
    <t>4.11.18.20</t>
  </si>
  <si>
    <t>Béton bitumineux rougissant</t>
  </si>
  <si>
    <t>4.11.19</t>
  </si>
  <si>
    <t>Mise en œuvre manuelle de la couche de roulement (y compris couche d'accrochage à l'émulsion de bitume ou couche d'imprégnation)</t>
  </si>
  <si>
    <t>Ce prix rémunère à la Tonne la mise en œuvre manuelle de la couche de roulement sur chaussée et de revêtement de trottoir quel que soit le mode d’exécution.</t>
  </si>
  <si>
    <t>˗ le balayage préalable du support,</t>
  </si>
  <si>
    <t>˗ la mise en œuvre de l'émulsion cationique de 0,3kg/m2 de bitume résiduel pour la couche d'accrochage,</t>
  </si>
  <si>
    <t>˗  le déchargement et la mise en œuvre du béton bitumineux,</t>
  </si>
  <si>
    <t>˗ les joints transversaux, longitudinaux et ancrage de rive, les sujétions pour les raccords exécutés à la main et application en traverse sous circulation,</t>
  </si>
  <si>
    <t>˗ la mise à niveau d'ouvrages divers (tampons, bouches à clé d'adduction d'eau ou de gaz, ainsi que les ouvrages d’autres corps d’état différent),</t>
  </si>
  <si>
    <t>˗ les frais de signalisation de chantier, de laboratoire de chantier et tout déplacement de l'atelier mis en œuvre,</t>
  </si>
  <si>
    <t>y compris toutes sujétions de fourniture et de mise en œuvre.</t>
  </si>
  <si>
    <t>4.11.20</t>
  </si>
  <si>
    <t>Mise en œuvre mécanique de la couche de roulement (y compris couche d'accrochage à l'émulsion de bitume ou couche d'imprégnation)</t>
  </si>
  <si>
    <t>Ce prix rémunère à la Tonne la mise en œuvre mécanique de la couche de roulement sur chaussée et de revêtement de trottoir quel que soit le mode d’exécution.</t>
  </si>
  <si>
    <t>4.11.20.1</t>
  </si>
  <si>
    <t>Tonnage ≤ 200 T</t>
  </si>
  <si>
    <t>4.11.20.2</t>
  </si>
  <si>
    <t>Tonnage &gt; 200 T</t>
  </si>
  <si>
    <t>4.11.21</t>
  </si>
  <si>
    <t>Réfection en revêtement EPDM rouge</t>
  </si>
  <si>
    <t>Ce prix rémunère au mètre carré la réfection en revêtement EPDM (éthylène-propylène-diène monomère) de couleur rouge et d'épaisseur comprise entre 4 cm et 10 cm.</t>
  </si>
  <si>
    <t>Il comprend :</t>
  </si>
  <si>
    <t>˗ la fourniture et mise en œuvre d'une couche d'accrochage,</t>
  </si>
  <si>
    <t>˗ la fourniture, le transport, le déchargement et la mise en œuvre du revêtement EPDM de couleur rouge, quelles que soient les sujétions d'exécution dues à la présence d'obstacle physique,</t>
  </si>
  <si>
    <t>˗ y compris toute sujétions de fourniture et de mise en œuvre.</t>
  </si>
  <si>
    <t>4.11.22</t>
  </si>
  <si>
    <t>Réfection du revêtement de trottoir en asphalte</t>
  </si>
  <si>
    <t>Ces prix rémunèrent au mètre carré la réfection de trottoir en asphalte.</t>
  </si>
  <si>
    <t>Ils comprennent :</t>
  </si>
  <si>
    <t>˗ la fourniture, le transport et la mise en œuvre d'asphalte, quelles que soient les sujétions d'exécution dues à la présence d'obstacle physique,</t>
  </si>
  <si>
    <t>˗ la fourniture et pose de papier kraft,</t>
  </si>
  <si>
    <t>˗ le personnel et le matériel nécessaires à l'exécution des travaux, le nettoyage du chantier.</t>
  </si>
  <si>
    <t>4.11.22.1</t>
  </si>
  <si>
    <t>Asphalte noire</t>
  </si>
  <si>
    <t>4.11.22.2</t>
  </si>
  <si>
    <t>Asphalte rouge</t>
  </si>
  <si>
    <t>4.11.22.3</t>
  </si>
  <si>
    <t>Asphalte beige</t>
  </si>
  <si>
    <t>4.11.23</t>
  </si>
  <si>
    <t>Réfection du revêtement de plateforme de PAVE en asphalte</t>
  </si>
  <si>
    <t>Ces prix rémunèrent à la tonne la réfection de plateforme de PAVE en asphalte.</t>
  </si>
  <si>
    <t>4.11.23.1</t>
  </si>
  <si>
    <t>4.11.23.2</t>
  </si>
  <si>
    <t>4.11.24</t>
  </si>
  <si>
    <t>Revêtement du revêtement de trottoir en béton gris balayé sur 10 cm d'épaisseur</t>
  </si>
  <si>
    <t>Ce prix rémunère au mètre carré la fourniture et la mise en œuvre de béton dosé à 350 KG de CPJ au mètre cube pour couche de roulement de 10 cm d'épaisseur.</t>
  </si>
  <si>
    <t>˗ le chargement, le transport, le déchargement, la mise en œuvre le réglage et le balayage,</t>
  </si>
  <si>
    <t>˗ les joints transversaux, longitudinaux et ancrages de rive, les sujétions pour les raccords exécutés à la main et d'application en traverse sous circulation,</t>
  </si>
  <si>
    <t>˗ les   frais   de   signalisation   de   chantier,   de   laboratoire   de   chantier   et   tous déplacements de l'atelier de mise œuvre,</t>
  </si>
  <si>
    <t>˗ y compris toutes sujétions de fourniture et d'exécution.</t>
  </si>
  <si>
    <t>4.11.25</t>
  </si>
  <si>
    <t>Revêtement de trottoir en béton gris désactivé sur 10 cm d'épaisseur</t>
  </si>
  <si>
    <t>Ce prix rémunère au mètre carré la fourniture et la mise en œuvre de béton dosé à 350 KG de CPJ au mètre cube composé de granulats silico calcaire pour couche de roulement de 10 cm d'épaisseur.</t>
  </si>
  <si>
    <t>˗ la fourniture des granulats, des fines et du liant hydrauliques,</t>
  </si>
  <si>
    <t>˗ la fabrication du béton, les dosages et le malaxage,</t>
  </si>
  <si>
    <t>˗ la fourniture et mise en œuvre du désactivant de surface,</t>
  </si>
  <si>
    <t>˗ le nettoyage à haute pression du désactivant,</t>
  </si>
  <si>
    <t>˗ le nettoyage général du site après travaux,</t>
  </si>
  <si>
    <t>4.11.26</t>
  </si>
  <si>
    <t>Plus value aux prix de béton de trottoir pour augmentation de l'épaisseur</t>
  </si>
  <si>
    <t>CM/M2</t>
  </si>
  <si>
    <t>4.11.27</t>
  </si>
  <si>
    <t>Fourniture et pose de sable stabilisé renforcé</t>
  </si>
  <si>
    <t>Ce prix rémunère au mètre carré la fourniture et la mise en œuvre de stabilisé recyclé renforcé type Enverr'paq, sur 0,10 m d'épaisseur. Il comprend:
La fabrication du stabilisé recyclé renforcé en centrale, la fourniture des matériaux, le transport à pied d'œuvre, le répandage, le réglage et le compactage aux cotes du profil de la voirie, les essais.</t>
  </si>
  <si>
    <t>4.11.28</t>
  </si>
  <si>
    <t>Fourniture et pose de résine claire</t>
  </si>
  <si>
    <t>Ce prix rémunère au mètre carré la réalisation d’un revêtement en résine antidérapante de couleur claire pour piste ou bande cyclable, de type résine bi composant avec agrégats naturels de couleur claire et de granulométrie 1,25/2,5mm ou 2,5/5 mm suivant l’usage de trafic. Il comprend notamment :
La fourniture, le chargement, le transport et le déchargement sur le site des matériaux et matériels, la préparation et le nettoyage du support, la délimitation par adhésif de masquage des zones d’application, la mise en œuvre soignée de la résine puis des granulats, le balayage des excédents après séchage, le personnel et matériels nécessaires à l'exécution des travaux, le balisage nécessaire à la sécurité du personnel et des usagers.</t>
  </si>
  <si>
    <t>4.11.29</t>
  </si>
  <si>
    <t>Repose de bordures et caniveaux</t>
  </si>
  <si>
    <t>Ces prix rémunèrent au mètre linéaire la repose de bordures ou caniveaux préalablement déposés.</t>
  </si>
  <si>
    <t>˗ l'amenée et le repli de tous les moyens, en personnel et matériels, nécessaire à la bonne exécution,</t>
  </si>
  <si>
    <t>˗ la reprise du stockage et le transport à pied d'œuvre des éléments préfabriqués préalablement démolis et stockés provisoirement,</t>
  </si>
  <si>
    <t>˗ la fourniture et mise en œuvre des semelles béton B25 de 15 cm d'épaisseur et débordant de 10 cm de chaque coté de la bordure,</t>
  </si>
  <si>
    <t>˗ la pose des éléments avec buttage en béton à 45° sur toute la longueur de la bordure,</t>
  </si>
  <si>
    <t>˗ la confection des joints au mortier,</t>
  </si>
  <si>
    <t>4.11.29.1</t>
  </si>
  <si>
    <t>Repose en alignement droit de bordures ou caniveaux grès ou granit préalablement déposés y compris béton de fondation et solin</t>
  </si>
  <si>
    <t>4.11.29.2</t>
  </si>
  <si>
    <t>Repose en alignement droit de bordures ou caniveaux béton préalablement déposés y compris béton de fondation et solin</t>
  </si>
  <si>
    <t>4.11.30</t>
  </si>
  <si>
    <t>Fourniture et pose de bordures et caniveaux</t>
  </si>
  <si>
    <t>Ces prix rémunèrent la fourniture et pose de bordures ou caniveaux au mètre linéaire.</t>
  </si>
  <si>
    <t>˗ la fourniture à pied d'œuvre et la pose de bordures ou caniveaux en plein béton ou pierre du tout type ,</t>
  </si>
  <si>
    <t>˗ la fourniture et mise en œuvre de la semelle de béton de 15 cm d'épaisseur avec un débordement de 10 cm de part et d'autre de la bordure,</t>
  </si>
  <si>
    <t>˗ la confection des joints au mortier et butée à 45° de béton sur toute la longueur de la bordure, épaisseur 0 à moins 3 cm du haut de la bordure,</t>
  </si>
  <si>
    <t>˗ y compris toutes sujétions de fourniture, de terrassements et de mise en œuvre.</t>
  </si>
  <si>
    <t>4.11.30.1</t>
  </si>
  <si>
    <t>Fourniture et pose en alignement droit de bordures granit 15/25 y compris béton de fondation et solin</t>
  </si>
  <si>
    <t>4.11.30.2</t>
  </si>
  <si>
    <t>Fourniture et pose de bordures calcaire 15/25, y compris béton de fondation et solin</t>
  </si>
  <si>
    <t xml:space="preserve">Ce prix rémunère au mètre linéaire la fourniture et pose de bordures 15/25 en pierre calcaire type Comblanchien ou équivalent, finition flammée.
Il tient compte de sujétions de pose en courbe, aucune plus value n'étant accordée pour partie courbe ou bateau.
Il comprend notamment :
˗ l'amenée et le repli de tous les moyens, en personnel et matériels, nécessaire à la bonne exécution,
˗ la fourniture à pied d'œuvre et la pose des bordures,
˗ la fourniture et mise en œuvre de la semelle de béton de 15 cm d'épaisseur avec un débordement de 10 cm de part et d'autre de la bordure,
˗ la confection des joints au mortier et butée à 45° de béton sur toute la longueur de la bordure, épaisseur 0 à moins 3 cm du haut de la bordure,
˗ y compris toutes sujétions de fourniture, de terrassements et de mise en œuvre.
Dans le cas de changement de direction de l'alignement des bordures, les deux bordures devront être sciées à 45° au niveau de leur raccordement.
</t>
  </si>
  <si>
    <t>4.11.30.3</t>
  </si>
  <si>
    <t>Fourniture et pose de bordure granit 15/25 biaise, y compris béton de fondation et solin</t>
  </si>
  <si>
    <t>4.11.30.4</t>
  </si>
  <si>
    <t>Fourniture et pose de bordure granit 15/25 de raccord biaise / droite, y compris béton de fondation et solin</t>
  </si>
  <si>
    <t>4.11.30.5</t>
  </si>
  <si>
    <t>Fourniture et pose en alignement droit de bordures granit 18/25 y compris béton de fondation et solin</t>
  </si>
  <si>
    <t>4.11.30.6</t>
  </si>
  <si>
    <t>Fourniture et pose en alignement droit de bordures granit 20/30 y compris béton de fondation et solin</t>
  </si>
  <si>
    <t>4.11.30.7</t>
  </si>
  <si>
    <t>Fourniture et pose en alignement droit de bordures granit 25/30 de sépération de piste cyclable y compris béton de fondation et solin</t>
  </si>
  <si>
    <t>4.11.30.8</t>
  </si>
  <si>
    <t>Fourniture et pose  de bordures granit 25x30 d'extrémité arrondie y compris béton de fondation et solin</t>
  </si>
  <si>
    <t>Ce prix rémunère au mètre linéaire la fourniture à pied d'œuvre et la pose de bordure granit gris clair finition flammée, largeur 25cm, hauteur 30cm avec les 2 arêtes arrondies et extrémité arrondie pour pose avec une vue de 15cm, pour délimitation de la piste cyclable et de la voirie. Il comprend :
L'implantation, la construction de l'assise et de la contrebordure en béton dosée à 250Kgs, le terrassement et le nivellement de la fouille, y compris l'évacuation des déblais à la décharge publique quel que soit la distance ainsi que tous les droits de redevance, toutes fournitures et sujétions de raccordement, toutes fournitures et main d'œuvre pour confection de béton et du mortier de pose, le calage et de joint. Il tient compte de sujétions de pose en courbe, aucune plus value n'étant accordée pour partie courbe ou bateau. Dans le cas de changement de direction de l'alignement des bordures, les deux bordures devront être sciées à 45° au niveau de leur raccordement. Cette bordure sera carottée pour la mise en place d'un plot de bordure en verre réfléchissant.</t>
  </si>
  <si>
    <t>4.11.30.9</t>
  </si>
  <si>
    <t>Fourniture et pose de bordures granit arrondies R50 cm</t>
  </si>
  <si>
    <t>4.11.30.10</t>
  </si>
  <si>
    <t>Fourniture et pose de bordure granit profil ID</t>
  </si>
  <si>
    <t>4.11.30.11</t>
  </si>
  <si>
    <t>Fourniture et pose de bordure granit chanfreinée largeur 60cm</t>
  </si>
  <si>
    <t>Ce prix rémunère au mètre linéaire la fourniture à pied d'œuvre et la pose de bordures granit gris chanfreinée, finition flammée, largeur 60cm avec une vue de 14cm, pour réalisation du trottoir traversant. Il comprend :
l'implantation, la construction de l'assise et de la contrebordure en béton dosée à 250Kgs, le terrassement et le nivellement de la fouille, y compris l'évacuation des déblais à la décharge publique quel que soit la distance ainsi que tous les droits de redevance, toutes fournitures et sujétions de raccordement, toutes fournitures et main d'œuvre pour confection de béton et du mortier de pose, le calage et de joint. Il tient compte de sujétions de pose en courbe, aucune plus value n'étant accordée pour partie courbe ou bateau. Dans le cas de changement de direction de l'alignement des bordures, les deux bordures devront être sciées à 45° au niveau de leur raccordement.</t>
  </si>
  <si>
    <t>4.11.30.12</t>
  </si>
  <si>
    <t>Fourniture et pose en alignement droit de bordure quai bus en granit y compris pièce d'about</t>
  </si>
  <si>
    <t>4.11.30.13</t>
  </si>
  <si>
    <t>Fourniture et pose en alignement droit de bordurette en granit 8/20</t>
  </si>
  <si>
    <t>4.11.30.14</t>
  </si>
  <si>
    <t>Fourniture et pose en alignement droit de bordures grès d'Inde 15/25 y compris béton de fondation et solin</t>
  </si>
  <si>
    <t>4.11.30.15</t>
  </si>
  <si>
    <t>Fourniture et pose en alignement droit de bordures grès d'Inde 20/30 y compris béton de fondation et solin</t>
  </si>
  <si>
    <t>4.11.30.16</t>
  </si>
  <si>
    <t>Fourniture et pose en alignement droit de bordurette grès d'Inde 8/20 y compris béton de fondation et solin</t>
  </si>
  <si>
    <t>4.11.30.17</t>
  </si>
  <si>
    <t>Fourniture et pose en alignement droit de bordures béton profil T1 classe T y compris béton de fondation et solin</t>
  </si>
  <si>
    <t>4.11.30.18</t>
  </si>
  <si>
    <t>Fourniture et pose en alignement droit de bordures béton profil T2 classe U y compris béton de fondation et solin</t>
  </si>
  <si>
    <t>4.11.30.19</t>
  </si>
  <si>
    <t>Fourniture et pose en alignement droit de bordures béton profil T3 classe U y compris béton de fondation et solin</t>
  </si>
  <si>
    <t>4.11.30.20</t>
  </si>
  <si>
    <t>Fourniture et pose en alignement droit de bordures béton profil T4 classe U y compris béton de fondation et solin</t>
  </si>
  <si>
    <t>4.11.30.21</t>
  </si>
  <si>
    <t>Fourniture et pose en alignement droit de bordures béton profil A2 classe U y compris béton de fondation et solin</t>
  </si>
  <si>
    <t>4.11.30.22</t>
  </si>
  <si>
    <t>Fourniture et pose en alignement droit de bordures béton profil A1 classe T y compris béton de fondation et solin</t>
  </si>
  <si>
    <t>4.11.30.23</t>
  </si>
  <si>
    <t>Fourniture et pose en alignement droit de caniveaux béton profil CS1 classe U y compris béton de fondation et solin</t>
  </si>
  <si>
    <t>4.11.30.24</t>
  </si>
  <si>
    <t>Fourniture et pose de caniveau granit CS1 y compris béton de fondation et solin y compris béton de fondation et solin</t>
  </si>
  <si>
    <t>Ce prix rémunère au mètre linéaire la fourniture à pied d'œuvre et la pose de caniveau granit gris profil CS1, finition flammée. Il comprend :
l'implantation, la construction de l'assise et de la contrebordure en béton dosée à 250Kgs, le terrassement et le nivellement de la fouille, y compris l'évacuation des déblais à la décharge publique quel que soit la distance ainsi que tous les droits de redevance, toutes fournitures et sujétions de raccordement, toutes fournitures et main d'œuvre pour confection de béton et du mortier de pose, le calage et de joint. Il tient compte de sujétions de pose en courbe, aucune plus value n'étant accordée pour partie courbe ou bateau. Dans le cas de changement de direction de l'alignement des bordures, les deux bordures devront être sciées à 45° au niveau de leur raccordement.</t>
  </si>
  <si>
    <t>4.11.30.25</t>
  </si>
  <si>
    <t>Fourniture et pose en alignement droit de caniveaux béton profil CS2 classe U y compris béton de fondation et solin</t>
  </si>
  <si>
    <t>4.11.30.26</t>
  </si>
  <si>
    <t>Fourniture et pose en alignement droit de caniveaux béton profil CS3 classe U y compris béton de fondation et solin</t>
  </si>
  <si>
    <t>4.11.30.27</t>
  </si>
  <si>
    <t>Fourniture et pose en alignement droit de caniveaux béton profil CS4 classe U y compris béton de fondation et solin</t>
  </si>
  <si>
    <t>4.11.30.28</t>
  </si>
  <si>
    <t>Fourniture et pose en alignement droit de caniveaux béton profil CC1 classe U y compris béton de fondation et solin</t>
  </si>
  <si>
    <t>4.11.30.29</t>
  </si>
  <si>
    <t>Fourniture et pose en alignement droit de caniveaux béton profil CC2 classe U y compris béton de fondation et solin</t>
  </si>
  <si>
    <t>4.11.30.30</t>
  </si>
  <si>
    <t>Fourniture et pose en alignement droit de bordure quai bus en béton</t>
  </si>
  <si>
    <t>4.11.30.31</t>
  </si>
  <si>
    <t>Fourniture et pose en alignement droit ou courbure de bordures I2 y compris béton de fondation et solin</t>
  </si>
  <si>
    <t>4.11.30.32</t>
  </si>
  <si>
    <t>Fourniture et pose en alignement droit ou courbure de bordures béton 30 x 30 y compris béton de fondation et solin</t>
  </si>
  <si>
    <t>4.11.30.33</t>
  </si>
  <si>
    <t>Fourniture et pose en alignement droit ou courbure de bordures chasse roue y compris béton de fondation et solin</t>
  </si>
  <si>
    <t>4.11.31</t>
  </si>
  <si>
    <t>Plus value aux prix de bordures et caniveaux ci-dessus pour pose en courbe</t>
  </si>
  <si>
    <t>4.11.32</t>
  </si>
  <si>
    <t>Plus value pour joints mortier tirés au fer</t>
  </si>
  <si>
    <t>4.11.33</t>
  </si>
  <si>
    <t>Fourniture et pose en alignement droit de bordurettes béton profil P1, P2, P3 ou 10x10 classe T y compris béton de fondation et solin</t>
  </si>
  <si>
    <t>4.11.34</t>
  </si>
  <si>
    <t>Plus value pour pose de bordurettes en courbe</t>
  </si>
  <si>
    <t>4.11.35</t>
  </si>
  <si>
    <t>Fourniture et pose de volige en corten</t>
  </si>
  <si>
    <t>Ce prix rémunère au mètre linéaire la fourniture et pose de volige en corten, le long des espaces verts présentant une dénivellée, en remplacement des bordurettes existantes, y compris les pièces sur mesure dans les angles. Il comprend:
La fourniture et pose desvoliges, la réalisation des terrassements et l'évacuation en DP, la fixation et la réalisation du massif, toutes sujétions de raccordement et d'ajustement, notamment pour pose en angle.</t>
  </si>
  <si>
    <t>4.11.36</t>
  </si>
  <si>
    <t>Fourniture et pose de bloc marche en béton coulé en place</t>
  </si>
  <si>
    <t xml:space="preserve">Ce prix rémunère la fourniture et la pose d'éléments linéaires en béton coulé en place, toutes faces vues en finition sablée, et arrêtes arrondies, suivant plans de détails du maître d'œuvre. Les nez des première et dernière marches seront visibles, avec un contraste visuel, par application d'une résine (teinte à définir). Chaque tête de marche comportera 3 rainures pour limiter le glissement.Comprenant :
- l'implantation, 
- le terrassement et le nivellement de la fouille, y compris l'évacuation des déblais en décharge, 
- la fourniture et la mise en œuvre du béton de propreté, 
- la construction de la paillasse en béton armé, dosé à 250Kgs, 
- la fourniture et la pose sur mortier des blocs marches, 
- toutes fournitures et sujétions de raccordement, 
- toutes fournitures et main d'œuvre pour confection de béton et du mortier de pose et de calage, 
- l'exécution des piétements coulés en place. 
NOTA : L'Entreprise devra les vérifications de dimensionnement de ces ouvrages avec note de calcul et plan d'exécution.
</t>
  </si>
  <si>
    <t>4.11.37</t>
  </si>
  <si>
    <t>Fourniture et pose de bloc marche granit</t>
  </si>
  <si>
    <t>Ce prix rémunère au mètre linéaire la fourniture et la pose de bloc marche en granit gris clair, finition flammée, nez de marche adouci. Il comprend :
L'implantation, le terrassement et le nivellement de la fouille, y compris l'évacuation des déblais en décharge, la fourniture et la mise en œuvre du béton de propreté, la construction de la paillasse en béton armé, dosé à 250Kgs, y compris bèche d'ancrage pour les escaliers de plus de trois marches, la fourniture et la pose sur mortier de blocs marches  granit, toutes fournitures et sujétions de raccordement, toutes fournitures et main d'œuvre comprises pour béton et mortier de pose et de calage préalablement confectionnés en centrale à béton. Le nez des blocs marches devra être rainuré sur une largeur minimum de 5cm afin de marquer le contraste visuel.</t>
  </si>
  <si>
    <t>4.11.37.1</t>
  </si>
  <si>
    <t>Fourniture et pose de bloc marche granit 20x30x100</t>
  </si>
  <si>
    <t>4.11.37.2</t>
  </si>
  <si>
    <t>Fourniture et pose de bloc marche granit 20x40x100</t>
  </si>
  <si>
    <t>4.11.38</t>
  </si>
  <si>
    <t>Dépose et repose de revêtement de dalle (quelle que soit l'épaisseur)</t>
  </si>
  <si>
    <t>Ce prix rémunère au mètre carré la dépose et repose de revêtement de dalle, quelle que soit l'épaisseur de celui-ci ou la dépose, l'évacuation et la mise en décharge de celui-ci.</t>
  </si>
  <si>
    <t>˗ la dépose, le décrottage et le stockage sur site des dalles ou le chargement, transport et mise en décharge des dalles,</t>
  </si>
  <si>
    <t>˗ la repose des dits éléments sur un lit de béton et la réalisation d'un dosseret dosé à 250 kg de ciment/m3</t>
  </si>
  <si>
    <t xml:space="preserve">˗ la confection des joints au mortier de ciment dosé à 350 kg de ciment/m3. </t>
  </si>
  <si>
    <t>4.11.39</t>
  </si>
  <si>
    <t>Fourniture et pose de revêtement de dalles quelle que soit l'épaisseur</t>
  </si>
  <si>
    <t>Ces prix rémunèrent au mètre carré quelles que soient les sujétions dues à la présence d'obstacles physiques et quelle que soit l'épaisseur :</t>
  </si>
  <si>
    <t>˗ la pose sur constitution existante y compris les coupes par sciage,</t>
  </si>
  <si>
    <t>˗ la fourniture, le transport et la mise en œuvre des matériaux de jointoiement,</t>
  </si>
  <si>
    <t>˗ le personnel et matériel nécessaires à l'exécution des travaux.</t>
  </si>
  <si>
    <t>4.11.39.1</t>
  </si>
  <si>
    <t>Dalle béton à parement</t>
  </si>
  <si>
    <t>4.11.39.2</t>
  </si>
  <si>
    <t>Dalle granit</t>
  </si>
  <si>
    <t>4.11.39.3</t>
  </si>
  <si>
    <t>Dalle en pierre</t>
  </si>
  <si>
    <t>4.11.40</t>
  </si>
  <si>
    <t>Fourniture et pose d'INOVGREEN 50 y compris calage en sable, substrat terreux et structure drainante</t>
  </si>
  <si>
    <t>Ce prix rémunère la fourniture et la pose de dalles engazonnées de type "Inovgreen 50 engazonnée" ou similaire 33,3x33,3 épaisseur 5 cm. Il comprend :
La fourniture  et le transport sur le chantier, la pose des dalles sur mélange de sable roulé/gravier/amendement épaisseur 0,03m. Un espace de 5cm tous les 10m linéaires doit être prévu entre les dalles, comme joint de dilatation.</t>
  </si>
  <si>
    <t>4.11.41</t>
  </si>
  <si>
    <t>Pontage de fissure en béton bitumeux semi-grenu 0/10</t>
  </si>
  <si>
    <t>Ce prix rémunère :</t>
  </si>
  <si>
    <t>- le nettoyage de la fissure à la lance thermique à air comprimé,</t>
  </si>
  <si>
    <t>- la fourniture et mise en œuvre d'un mastic thermoplastique à 150°C,</t>
  </si>
  <si>
    <t>- le sablage du joint</t>
  </si>
  <si>
    <t>4.11.42</t>
  </si>
  <si>
    <t>Mise à niveau des regards d'assainissement</t>
  </si>
  <si>
    <t>Ce prix rémunère au décimètre, la mise à niveau des regards d'assainisssement.</t>
  </si>
  <si>
    <t>- la découpe du revêtement et le descellement du tampon existant,</t>
  </si>
  <si>
    <t>- la dépose de l’ancien solin et son évacuation,</t>
  </si>
  <si>
    <t>- l’ajout éventuel d’une réhausse et la repose sur mortier du système de fermeture,</t>
  </si>
  <si>
    <t>- le réglage fin de l’altimétrie fixée au projet et de l’inclinaison à la pente de la voirie,</t>
  </si>
  <si>
    <t>- le réalignement éventuel,</t>
  </si>
  <si>
    <t>LE DECIMETRE</t>
  </si>
  <si>
    <t>DM</t>
  </si>
  <si>
    <t>4.11.43</t>
  </si>
  <si>
    <t>Mise à niveau des bouches de lavage</t>
  </si>
  <si>
    <t>Ce prix rémunère à l'unité, la mise à niveau des bouches de lavage.</t>
  </si>
  <si>
    <t>- la découpe du revêtement et le descellement de la bouche existante,</t>
  </si>
  <si>
    <t>4.11.44</t>
  </si>
  <si>
    <t>Mise à niveau des bouches à clefs</t>
  </si>
  <si>
    <t>Ce prix rémunère à l'unité, la mise à niveau des bouches à clefs.</t>
  </si>
  <si>
    <t>- la découpe du revêtement et le descellement de la bouche à clefs existante,</t>
  </si>
  <si>
    <t>4.11.45</t>
  </si>
  <si>
    <t>Mise à niveau de chambres de tout type</t>
  </si>
  <si>
    <t>Ce prix rémunère au décimètre par mètre carré, la mise à niveau de chambres de tout type (nature, dimension).</t>
  </si>
  <si>
    <t>- la découpe du revêtement et le descellement de la chambre existante, quelle que soit sa nature et ses dimensions</t>
  </si>
  <si>
    <t>LE DECIMETRE/METRE CARRE</t>
  </si>
  <si>
    <t>DM/M2</t>
  </si>
  <si>
    <t>4.11.46</t>
  </si>
  <si>
    <t>Mise à niveau des tampons gaz (carters)</t>
  </si>
  <si>
    <t>Ce prix rémunère à l'unité, la mise à niveau des tampons gaz (carters).</t>
  </si>
  <si>
    <t>4.11.47</t>
  </si>
  <si>
    <t>Mise à niveau de tampons d'éclairage public et de signalisation lumineuse tricolore</t>
  </si>
  <si>
    <t>Ce prix rémunère au décimètre par mètre carré, la mise à niveau de tampons d'éclairage public et de signalisation lumineuse tricolore.</t>
  </si>
  <si>
    <t>4.12</t>
  </si>
  <si>
    <t>FOURNITURE ET POSE DE CATADIOPTRES</t>
  </si>
  <si>
    <t>- le nettoyage et la préparation des surfaces de pose,</t>
  </si>
  <si>
    <t>- la fourniture et la pose des catadioptres,</t>
  </si>
  <si>
    <r>
      <t>-</t>
    </r>
    <r>
      <rPr>
        <sz val="10"/>
        <rFont val="Times New Roman"/>
        <family val="1"/>
      </rPr>
      <t xml:space="preserve"> </t>
    </r>
    <r>
      <rPr>
        <sz val="10"/>
        <rFont val="Arial"/>
        <family val="2"/>
      </rPr>
      <t>la mise en œuvre conformément aux plans et/ou à la réglementation en vigueur.</t>
    </r>
  </si>
  <si>
    <t>4.13</t>
  </si>
  <si>
    <t>MESURE DE DEFLEXION DE VOIRIE</t>
  </si>
  <si>
    <t>Ce prix rémunère à l'unité, la réalisation de mesures de déflexion de voirie comprenant toutes sujétions de main d'œuvre et de matériel ainsi que la transmission du rapport d'analyse et d'interprétation des mesures.
Il s'applique pour un minimum de 10 points.</t>
  </si>
  <si>
    <t>4.14</t>
  </si>
  <si>
    <t>CARROTAGE ET ESSAI DE VOIRIE</t>
  </si>
  <si>
    <t>Ce prix rémunère à l'unité, le carottage et les essais géotechniques permettant de déterminer les matériaux constituants les structures de chaussée et de stationnement et leur caractéristiques. Les essais à réaliser devront permettre de définir les éventuels besoins de renforcement à prévoir en fonction des trafics futurs.</t>
  </si>
  <si>
    <t>˗ la demande de permission de voirie,</t>
  </si>
  <si>
    <t>˗ la signalisation temporaire de chantier, si nécessaire,</t>
  </si>
  <si>
    <t>˗ l'amenée et le repli du matériel,</t>
  </si>
  <si>
    <t>˗ la réalisation du carottage, et la remise en état de la structure avec des matériaux agréés par le maître d'œuvre,</t>
  </si>
  <si>
    <t>˗ les essais géotechnique et de laboratoire,</t>
  </si>
  <si>
    <t>˗ la transmission d'un rapport d'analyse et d'interprétation.</t>
  </si>
  <si>
    <t>4.15</t>
  </si>
  <si>
    <t>ESSAI A LA DYNAPLAQUE</t>
  </si>
  <si>
    <t>Ce prix rémunère à l'unité, le contrôle de portance de la plateforme support de la chaussée par essais à la dynaplaque ainsi que la transmission du rapport d'analyse et d'interprétation des résultats. Il s'applique pour un minimum de 10 points.</t>
  </si>
  <si>
    <t>5</t>
  </si>
  <si>
    <t>TERRASSEMENTS - BLINDAGES - DEMOLITION - REMBLAIEMENT</t>
  </si>
  <si>
    <t>5.1</t>
  </si>
  <si>
    <t>SONDAGES DE RECONNAISSANCE (y compris géolocalisation et report sur plan de réseaux enterrés)</t>
  </si>
  <si>
    <t xml:space="preserve">Ce prix rémunère à l'unité la réalisation de terrassements exécutés à la main pour fouilles de reconnaissance ou pour recherches localisées jusqu'à une profondeur de 1,50 m et de dimensions 2,00 x 2,00 m. En cas d'incertitude sur l'emplacement des branchements et des boîtes de branchement, l'entrepreneur devra mener une enquête parcellaire ou recourir à un moyen de repérage non destructif pour vérifer les enquêtes. </t>
  </si>
  <si>
    <t>La réalisation de sondages de reconnaissance pourra se faire à la demande du maître d'ouvrage ou du maître d'œuvre préalablement à l'exécution des travaux ou en phase d'exécution des travaux.</t>
  </si>
  <si>
    <t>˗ la mise en place de signalisation adéquate à l'approche et au droit de la fouille,</t>
  </si>
  <si>
    <t>˗ la mise en place de dispositifs de sécurité au droit de la fouille (barrières provisoires de chantier de 1,30 m de hauteur placées sur plots),</t>
  </si>
  <si>
    <t>˗ le découpage et la démolition du revêtement,</t>
  </si>
  <si>
    <t>˗ le terrassement, le blindage, le chargement, le transport et la mise en décharge des déblais (y compris droits de décharge),</t>
  </si>
  <si>
    <t>˗ le remblaiement de la fouille,</t>
  </si>
  <si>
    <t>˗ la réfection de chaussée à l'identique de l'état existant,</t>
  </si>
  <si>
    <t>˗ la remise en état du domaine public.</t>
  </si>
  <si>
    <t>Plus-value au prix 5.1 pour géolocalisation et report sur plan de réseaux enterrés</t>
  </si>
  <si>
    <t>Ce prix s'applique en plus-value au prix 5.1 pour la géolocalisation des réseaux enterrés situés dans la fouille réalisée et le report de ces réseaux en X, Y et Z sur Autocad sur un fond de plan fourni par le maître d'ouvrage dans les 5 jours suivants le relevé de terrain.</t>
  </si>
  <si>
    <t>5.2</t>
  </si>
  <si>
    <t>MARQUAGE ET PIQUETAGE DES RESEAUX CONCESSIONNAIRES</t>
  </si>
  <si>
    <t>Ce prix rémunère au mètre carré le marquage et le piquetage de tous les réseaux concessionnaires présents dans la zone de travaux.</t>
  </si>
  <si>
    <t>˗ le personnel et matériel nécessaire à la réalisation de la prestation,</t>
  </si>
  <si>
    <t>˗ le marquage à la peinture suivant la nomenclature définie dans le C.C.T.P. et le piquetage des réseaux concessionnaires présents dans la zone de travaux,</t>
  </si>
  <si>
    <t>˗ l'établissement d'un procès verbal signé par l'entreprise, le maître d'ouvrage et le maître d'oeuvre,</t>
  </si>
  <si>
    <t>˗ l'entretien du marquage durant toute la période de travaux quelle que soit la durée,</t>
  </si>
  <si>
    <t>5.3</t>
  </si>
  <si>
    <t>PROTECTION MECANIQUE SUR RESEAUX EXISTANTS OU PROJETES</t>
  </si>
  <si>
    <t>Ce prix rémunère au mètre linéaire la mise en place de protection mécanique sur l'ensemble des réseaux existants ou projetés disposant d'une hauteur de charge insuffisante. Ce prix comprend:
Les terrassements complémentaires, l'enrobage des canalisations concernées, la fourniture et mise en place de plaques de protection mécanique en PEHD, y compris liaison réalisée entre elles par cavaliers, le remblaiement et toutes sujétions de mise en œuvre. Les plaques de protection devront faire l'objet de validation auprès des concessionnaires avant mise en œuvre.</t>
  </si>
  <si>
    <t>5.4</t>
  </si>
  <si>
    <t>REALISATION D'UNE PISTE DE CHANTIER</t>
  </si>
  <si>
    <t>Ce prix rémunère au mètre carré la réalisation d'une piste de chantier.</t>
  </si>
  <si>
    <t>˗ le décaissement pour réalisation d'une piste de chantier ou encaissement de voirie, la mise en cordon des déblais, le long de la piste ou leur chargement sur camion,</t>
  </si>
  <si>
    <t>˗ le réglage et compactage du fond de forme de la piste de chantier,</t>
  </si>
  <si>
    <t>˗ la fourniture et mise en oeuvre de matériaux recyclés pour couche de forme sur 0.40 m d'épaisseur, y compris compactage.</t>
  </si>
  <si>
    <t>5.5</t>
  </si>
  <si>
    <t>TERRASSEMENT EN PLEINE MASSE SOUS CHAUSSEE POUR UNE PROFONDEUR INFERIEURE OU EGALE A 1,30 METRES</t>
  </si>
  <si>
    <t xml:space="preserve">Ce prix rémunère au mètre cube le terrassement sous chaussée quel qu'en soit la nature des terrains au déla de la structure existante péalablement démolie. </t>
  </si>
  <si>
    <t>La cubature prise en compte s'entend déduction faite de la cubature correspondant aux couches de fondation et des démolitions de chaussées et trottoirs)</t>
  </si>
  <si>
    <t xml:space="preserve">Ce prix comprend: </t>
  </si>
  <si>
    <t>˗ l’extraction mécanique ou manuelle en tout terrain,</t>
  </si>
  <si>
    <t>˗ la purge,</t>
  </si>
  <si>
    <r>
      <t>˗</t>
    </r>
    <r>
      <rPr>
        <sz val="10"/>
        <color indexed="8"/>
        <rFont val="Times New Roman"/>
        <family val="1"/>
      </rPr>
      <t xml:space="preserve"> </t>
    </r>
    <r>
      <rPr>
        <sz val="10"/>
        <color indexed="8"/>
        <rFont val="Arial"/>
        <family val="2"/>
      </rPr>
      <t>le dressement de la section de terrassement.</t>
    </r>
  </si>
  <si>
    <t>ce prix ne comprend ni le chargement sur camions, ni le transport et la mise en décharges publiques ainsi que la traçabilité des déchets qui sont réglés aux prix correspondants du présent bordereau.</t>
  </si>
  <si>
    <t>Ils comprennent cependant la remontée en surface des déblais, leur mise en dépôt en trémies ou multi bennes et le transport éventuel jusqu’à l’aire de stockage définie en accord avec le maître d’œuvre.</t>
  </si>
  <si>
    <t>Il tient compte des sujétions suivantes :</t>
  </si>
  <si>
    <r>
      <rPr>
        <sz val="10"/>
        <color indexed="8"/>
        <rFont val="Arial"/>
        <family val="2"/>
      </rPr>
      <t>˗</t>
    </r>
    <r>
      <rPr>
        <sz val="10"/>
        <color indexed="8"/>
        <rFont val="Times New Roman"/>
        <family val="1"/>
      </rPr>
      <t xml:space="preserve">  </t>
    </r>
    <r>
      <rPr>
        <sz val="10"/>
        <color indexed="8"/>
        <rFont val="Arial"/>
        <family val="2"/>
      </rPr>
      <t>réduction maximum de la gêne apportée à la circulation et aux riverains,</t>
    </r>
  </si>
  <si>
    <t>˗ exécution des terrassements dans l’embarras des étais et des réseaux concessionnaires,</t>
  </si>
  <si>
    <t>˗ présence ou venues d’eau,</t>
  </si>
  <si>
    <t>˗ terrain sans cohésion.</t>
  </si>
  <si>
    <t xml:space="preserve">Il ne comprend pas le blindage des fouilles qui sera réglé aux prix correspondants du présent bordereau. </t>
  </si>
  <si>
    <t>5.6</t>
  </si>
  <si>
    <t>TERRASSEMENT EN TRANCHEE POUR UNE PROFONDEUR MOYENNE INFERIEURE OU EGALE A 1,30 METRES</t>
  </si>
  <si>
    <t>Ces prix rémunèrent, au mètre cube, les terrassements exécutés à ciel ouvert, en tranchée à la main ou à l’engin mécanique, jusqu'à une profondeur moyenne inférieure ou égale à 1,30 mètres.</t>
  </si>
  <si>
    <t>La cubature affectée (déduction faite de la cubature correspondant aux terrassements des couches de fondation et des démolitions de chaussées et trottoirs) à chaque sous prix est calculée de la manière suivante pour chaque tronçon :</t>
  </si>
  <si>
    <t>Largeur de tranchée du tronçon x Longueur du tronçon (de regard à regard) x (Profondeur Moyenne du tronçon + épaisseur lit de pose).</t>
  </si>
  <si>
    <t>Ces prix comprennent :</t>
  </si>
  <si>
    <t>Ces prix ne comprennent ni le chargement sur camions, ni le transport et la mise en décharges publiques ainsi que la traçabilité des déchets qui sont réglés aux prix correspondants du présent bordereau.</t>
  </si>
  <si>
    <t>Ils tiendront compte des sujétions suivantes :</t>
  </si>
  <si>
    <t xml:space="preserve">Ils ne comprennent pas le blindage des fouilles qui sera réglé aux prix correspondants du présent bordereau. </t>
  </si>
  <si>
    <t>5.6.1</t>
  </si>
  <si>
    <t>Terrassement en tranchée réalisé à la main pour une profondeur moyenne inférieure ou égale à 1,30 mètres</t>
  </si>
  <si>
    <t>5.6.2</t>
  </si>
  <si>
    <t>Terrassement en tranchée réalisé à l'engin mécanique pour une profondeur moyenne inférieure ou égale à 1,30 mètres</t>
  </si>
  <si>
    <t>5.7</t>
  </si>
  <si>
    <t>TERRASSEMENT EN TRANCHEE POUR UNE PROFONDEUR MOYENNE SUPERIEURE A 1,30 METRES ET INFERIEUR OU EGAL A 3,00 METRES</t>
  </si>
  <si>
    <t>Ces prix rémunèrent, au mètre cube, les terrassements exécutés à ciel ouvert, en tranchée à la main ou à l’engin mécanique, jusqu'à une profondeur moyenne supérieure à 1,30 mètres et inférieure ou égale à trois mètres.</t>
  </si>
  <si>
    <t>5.7.1</t>
  </si>
  <si>
    <t>Terrassement en tranchée réalisé à la main pour une profondeur moyenne supérieure à 1,30 mètres et inférieure ou égale à 3 mètres</t>
  </si>
  <si>
    <t>5.7.2</t>
  </si>
  <si>
    <t>Terrassement en tranchée réalisé à l'engin mécanique profondeur moyenne supérieure à 1,30 mètres et inférieure ou égale à 3 mètres</t>
  </si>
  <si>
    <t>5.8</t>
  </si>
  <si>
    <t>TERRASSEMENT EN TRANCHEE POUR UNE PROFONDEUR SUPERIEURE A 3,00 METRES ET INFERIEURE OU EGALE A 6,00 METRES</t>
  </si>
  <si>
    <t>Ces prix rémunèrent, au mètre cube, les terrassements exécutés à ciel ouvert, en tranchée à la main ou à l’engin mécanique, pour une profondeur moyenne supérieure à 3,00 m et inférieur ou égal à 6,00 m.</t>
  </si>
  <si>
    <t>5.8.1</t>
  </si>
  <si>
    <t>Terrassement en tranchée réalisé à la main pour une profondeur moyenne supérieure à 3,00 m et inférieur ou égal à 6,00 m</t>
  </si>
  <si>
    <t>5.8.2</t>
  </si>
  <si>
    <t>Terrassement en tranchée réalisé à l'engin mécanique pour une profondeur moyenne supérieure à 3,00 m et inférieur ou égal à 6,00 m</t>
  </si>
  <si>
    <t>5.9</t>
  </si>
  <si>
    <t>TERRASSEMENT EN TRANCHEE POUR UNE PROFONDEUR MOYENNE SUPERIEURE A 6 METRES</t>
  </si>
  <si>
    <t>Ces prix rémunèrent, au mètre cube, les terrassements exécutés à ciel ouvert, en tranchée à la main ou à l’engin mécanique, pour une profondeur moyenne supérieure à six mètres.</t>
  </si>
  <si>
    <t>5.9.1</t>
  </si>
  <si>
    <t>Terrassement en tranchée réalisé à la main pour une profondeur moyenne supérieure à 6 mètres</t>
  </si>
  <si>
    <t>5.9.2</t>
  </si>
  <si>
    <t>Terrassement en tranchée réalisé à l'engin mécanique pour une profondeur moyenne supérieure à 6 mètres</t>
  </si>
  <si>
    <t>5.10</t>
  </si>
  <si>
    <t>TERRASSEMENT EN PUITS POUR UNE PROFONDEUR INFERIEURE OU EGALE A 3 METRES</t>
  </si>
  <si>
    <t>Ces prix s'appliquent au mètre cube de terrassement mesuré au profil pour fouilles exécutées en puits réalisés à l'aide d'engins mécaniques ou à la main jusqu'à une profondeur inférieure ou égale à trois mètres.</t>
  </si>
  <si>
    <t>Seuls les terrassements pour les branchements et les boîtes de branchements d'une longueur inférieure à 1,5 mètres seront considérés comme terrassement en puits.</t>
  </si>
  <si>
    <t>La hauteur à prendre en compte pour l'établissement des métrés est mesurée à partir du fond du puits à la base de la couche de fondation du trottoir ou de la chaussée.</t>
  </si>
  <si>
    <t>Ces prix s’appliquent au mètre cube déduction faite du volume correspondant aux terrassements des couches de fondation et des démolitions de chaussées et trottoirs.</t>
  </si>
  <si>
    <r>
      <t>˗</t>
    </r>
    <r>
      <rPr>
        <sz val="10"/>
        <color indexed="8"/>
        <rFont val="Times New Roman"/>
        <family val="1"/>
      </rPr>
      <t xml:space="preserve"> </t>
    </r>
    <r>
      <rPr>
        <sz val="10"/>
        <color indexed="8"/>
        <rFont val="Arial"/>
        <family val="2"/>
      </rPr>
      <t>l’extraction en tout terrain (y compris déblais liquides),</t>
    </r>
  </si>
  <si>
    <r>
      <t>˗</t>
    </r>
    <r>
      <rPr>
        <sz val="10"/>
        <color indexed="8"/>
        <rFont val="Times New Roman"/>
        <family val="1"/>
      </rPr>
      <t xml:space="preserve"> </t>
    </r>
    <r>
      <rPr>
        <sz val="10"/>
        <color indexed="8"/>
        <rFont val="Arial"/>
        <family val="2"/>
      </rPr>
      <t>la purge,</t>
    </r>
  </si>
  <si>
    <t xml:space="preserve">Ces prix ne comprennent pas la mise en œuvre des blindages et des soutènements qui seront réglés aux prix correspondants du présent bordereau. </t>
  </si>
  <si>
    <t>˗ réduction maximum de la gêne apportée à la circulation et aux riverains,</t>
  </si>
  <si>
    <t>˗ de la gêne occasionnée par la présence de mobiliers urbains, de plantations, de racines,</t>
  </si>
  <si>
    <r>
      <rPr>
        <sz val="10"/>
        <color indexed="8"/>
        <rFont val="Arial"/>
        <family val="2"/>
      </rPr>
      <t>˗</t>
    </r>
    <r>
      <rPr>
        <sz val="10"/>
        <color indexed="8"/>
        <rFont val="Times New Roman"/>
        <family val="1"/>
      </rPr>
      <t xml:space="preserve"> </t>
    </r>
    <r>
      <rPr>
        <sz val="10"/>
        <color indexed="8"/>
        <rFont val="Arial"/>
        <family val="2"/>
      </rPr>
      <t>présence ou venues d’eau.</t>
    </r>
  </si>
  <si>
    <t>5.10.1</t>
  </si>
  <si>
    <t>Terrassement en puits réalisé à la main jusqu'à une profondeur inférieure ou égale à 3 mètres</t>
  </si>
  <si>
    <t>5.10.2</t>
  </si>
  <si>
    <t>Terrassement en puits réalisé à la l'engin mécanique jusqu'à une profondeur inférieure ou égale à 3 mètres</t>
  </si>
  <si>
    <t>5.11</t>
  </si>
  <si>
    <r>
      <rPr>
        <b/>
        <i/>
        <sz val="10"/>
        <color rgb="FF000000"/>
        <rFont val="Arial"/>
        <family val="2"/>
      </rPr>
      <t xml:space="preserve">TERRASSEMENT EN PUITS POUR UNE PROFONDEUR SUPERIEURE A 3,00 METRES ET INFERIEURE OU EGALE A 6,00 </t>
    </r>
    <r>
      <rPr>
        <b/>
        <i/>
        <strike/>
        <sz val="10"/>
        <color rgb="FF000000"/>
        <rFont val="Arial"/>
        <family val="2"/>
      </rPr>
      <t>ME</t>
    </r>
    <r>
      <rPr>
        <b/>
        <i/>
        <sz val="10"/>
        <color rgb="FF000000"/>
        <rFont val="Arial"/>
        <family val="2"/>
      </rPr>
      <t>TRES</t>
    </r>
  </si>
  <si>
    <t>Ces prix s'appliquent au mètre cube de terrassement mesuré au profil pour fouilles exécutées en puits réalisés à l'aide d'engins mécaniques ou à la main pour une profondeur supérieure à 3,00 m et inférieure ou égale à 6,00 m.</t>
  </si>
  <si>
    <r>
      <rPr>
        <sz val="10"/>
        <color indexed="8"/>
        <rFont val="Times New Roman"/>
        <family val="1"/>
      </rPr>
      <t xml:space="preserve"> </t>
    </r>
    <r>
      <rPr>
        <sz val="10"/>
        <color indexed="8"/>
        <rFont val="Arial"/>
        <family val="2"/>
      </rPr>
      <t>˗</t>
    </r>
    <r>
      <rPr>
        <sz val="10"/>
        <color indexed="8"/>
        <rFont val="Times New Roman"/>
        <family val="1"/>
      </rPr>
      <t xml:space="preserve"> </t>
    </r>
    <r>
      <rPr>
        <sz val="10"/>
        <color indexed="8"/>
        <rFont val="Arial"/>
        <family val="2"/>
      </rPr>
      <t>l’extraction en tout terrain (y compris déblais liquides),</t>
    </r>
  </si>
  <si>
    <r>
      <rPr>
        <sz val="10"/>
        <color indexed="8"/>
        <rFont val="Arial"/>
        <family val="2"/>
      </rPr>
      <t>˗</t>
    </r>
    <r>
      <rPr>
        <sz val="10"/>
        <color indexed="8"/>
        <rFont val="Times New Roman"/>
        <family val="1"/>
      </rPr>
      <t xml:space="preserve">  </t>
    </r>
    <r>
      <rPr>
        <sz val="10"/>
        <color indexed="8"/>
        <rFont val="Arial"/>
        <family val="2"/>
      </rPr>
      <t>la purge,</t>
    </r>
  </si>
  <si>
    <r>
      <rPr>
        <sz val="10"/>
        <color indexed="8"/>
        <rFont val="Times New Roman"/>
        <family val="1"/>
      </rPr>
      <t xml:space="preserve"> </t>
    </r>
    <r>
      <rPr>
        <sz val="10"/>
        <color indexed="8"/>
        <rFont val="Arial"/>
        <family val="2"/>
      </rPr>
      <t>˗</t>
    </r>
    <r>
      <rPr>
        <sz val="10"/>
        <color indexed="8"/>
        <rFont val="Times New Roman"/>
        <family val="1"/>
      </rPr>
      <t xml:space="preserve"> </t>
    </r>
    <r>
      <rPr>
        <sz val="10"/>
        <color indexed="8"/>
        <rFont val="Arial"/>
        <family val="2"/>
      </rPr>
      <t>le dressement de la section de terrassement.</t>
    </r>
  </si>
  <si>
    <t>5.11.1</t>
  </si>
  <si>
    <t>Terrassement en puits réalisé à la main pour une profondeur supérieure à 3,00 m et inférieure ou égale à 6,00 m</t>
  </si>
  <si>
    <t>5.11.2</t>
  </si>
  <si>
    <r>
      <rPr>
        <b/>
        <sz val="10"/>
        <color rgb="FF000000"/>
        <rFont val="Arial"/>
        <family val="2"/>
      </rPr>
      <t xml:space="preserve">Terrassement en puits réalisé à la l'engin mécanique  pour une profondeur supérieure à 3,00 m </t>
    </r>
    <r>
      <rPr>
        <b/>
        <strike/>
        <sz val="10"/>
        <color rgb="FF000000"/>
        <rFont val="Arial"/>
        <family val="2"/>
      </rPr>
      <t xml:space="preserve">et </t>
    </r>
    <r>
      <rPr>
        <b/>
        <sz val="10"/>
        <color rgb="FF000000"/>
        <rFont val="Arial"/>
        <family val="2"/>
      </rPr>
      <t>inférieure ou égale à 6,00 m</t>
    </r>
  </si>
  <si>
    <t>5.12</t>
  </si>
  <si>
    <t>TERRASSEMENT EN PUITS POUR UNE PROFONDEUR SUPERIEURE A 6 METRES</t>
  </si>
  <si>
    <t>Ces prix s'appliquent au mètre cube de terrassement mesuré au profil pour fouilles exécutées en puits réalisés à l'aide d'engins mécaniques ou à la main jusqu'à une profondeur supérieure à six mètres.</t>
  </si>
  <si>
    <t>5.12.1</t>
  </si>
  <si>
    <t>Terrassement en puits réalisé à la main pour une profondeur supérieure à 6 mètres</t>
  </si>
  <si>
    <t>5.12.2</t>
  </si>
  <si>
    <t>Terrassement en puits réalisé à la l'engin mécanique pour une profondeur supérieure à 6 mètres</t>
  </si>
  <si>
    <t>5.13</t>
  </si>
  <si>
    <t>TERRASSEMENT EN SOUTERRAIN</t>
  </si>
  <si>
    <t>Ce prix s'applique au mètre cube de terrassement mesuré au profil pour des fouilles exécutées en souterrain.</t>
  </si>
  <si>
    <t xml:space="preserve">Ce prix comprend toutes sujétions relatives à l'exécution des terrassements, mais ne comprend pas la mise en œuvre des blindages et des soutènements qui seront réglés aux prix correspondants du présent bordereau. </t>
  </si>
  <si>
    <t>Ce prix ne comprend ni le chargement sur camions, ni le transport et la mise en décharges publiques ainsi que la traçabilité des déchets qui sont réglés aux prix correspondants du présent bordereau.</t>
  </si>
  <si>
    <t>Ce prix tient compte des dépenses de ventilation suivant les dispositions en vigueur, du réglage des parois et de toutes les dépenses de nettoyage et de curage des drains.</t>
  </si>
  <si>
    <t>5.14</t>
  </si>
  <si>
    <t>PLUS-VALUE AUX PRIX 5.4.2, 5.5.2, 5.6.2, 5.8.2 et 5.9.2 POUR TERRASSEMENT A L'ASPIRATRICE</t>
  </si>
  <si>
    <t>Ce prix s'applique en plus-value aux prix n° 5.4.2, 5.5.2, 5.6.2, 5.8.2 et 5.9.2 en mètre cube de terrassement exécutés à l'apiratrice.</t>
  </si>
  <si>
    <t xml:space="preserve">Il comprend l'amenée, la location, les déplacements sur site, le repli de l'aspiratrice, ainsi que le personnel habilité. </t>
  </si>
  <si>
    <t>5.15</t>
  </si>
  <si>
    <t>PLUS-VALUE AUX PRIX 5.4 à 5.10 POUR TERRASSEMENT EN SOUS ŒUVRE</t>
  </si>
  <si>
    <t>Ce prix s'applique en plus-value aux prix n° 5.4 à 5.10 en mètre cube de terrassement exécutés pour des passages en sous-œuvre sous des ouvrages existants, tel que défini dans le C.C.T.P.</t>
  </si>
  <si>
    <t>Il comprend la protection et le soutènement des réseaux concessionnaires ou des ouvrages existants rencontrés.</t>
  </si>
  <si>
    <t>5.16</t>
  </si>
  <si>
    <t>PLUS-VALUE AUX PRIX 5.4 à 5.11 POUR TERRASSEMENT EN TERRAIN ROCHEUX</t>
  </si>
  <si>
    <t>Ces prix s'appliquent, en plus-value aux prix n°5.4 à 5.11 au mètre cube de démolition de terrain rocheux.</t>
  </si>
  <si>
    <t>Sera considéré comme terrain rocheux tout terrain dont la résistance à la compression sera supérieure à 300 bars (trois cents bars).</t>
  </si>
  <si>
    <t>5.17</t>
  </si>
  <si>
    <t>PLUS-VALUE AUX PRIX 5.4 à 5.11 POUR TERRASSEMENT EN TERRAINS BOULANTS OU INSTABLES</t>
  </si>
  <si>
    <t>Ce prix s'applique, en plus-value aux prix n°5.4 à 5.11 au mètre cube de terrassement exécuté dans les terrains boulants.</t>
  </si>
  <si>
    <t>Sera considéré comme boulant tout terrain dont la teneur en eau sera supérieure ou égale à la limite de liquidité.</t>
  </si>
  <si>
    <t>5.18</t>
  </si>
  <si>
    <t>CHARGEMENT-DECHARGEMENT-TRANSPORT EN CENTRE DE STOCKAGE ET TRAITEMENT DES DEBLAIS DE TOUTE NATURE</t>
  </si>
  <si>
    <t>Ces prix rémunèrent le transport en centre de stockage et de traitement des déblais de toute nature.</t>
  </si>
  <si>
    <t>Ces prix s’appliquent au mètre cube mesuré en place de matériaux transportés et comprennent le chargement sur camion quelle que soit la méthode utilisée.</t>
  </si>
  <si>
    <t>Ces prix comprennent tous les frais et autres sujétions suivant le type de matériaux pollués ou non ainsi que la traçabilité de leur destruction.</t>
  </si>
  <si>
    <t>Ces prix ne concernent pas les boues de curage.</t>
  </si>
  <si>
    <t>Transport en centre de stockage et de traitement des déblais de toute nature</t>
  </si>
  <si>
    <t>5.18.1</t>
  </si>
  <si>
    <t>Chargement-déchargement-transport dans une Installation de Stockage des Déchets Dangereux</t>
  </si>
  <si>
    <t>5.18.2</t>
  </si>
  <si>
    <t>Chargement-déchargement-transport dans une Installation de Stockage des déchets Non Dangereux</t>
  </si>
  <si>
    <t>5.18.3</t>
  </si>
  <si>
    <t>Chargement-déchargement-transport dans une Installation de Stockage des Déchets Inertes</t>
  </si>
  <si>
    <t>5.18.4</t>
  </si>
  <si>
    <t>Chargement-déchargement-transport dans une Installation de Stockage des Déchets Inertes + (ISDI+)</t>
  </si>
  <si>
    <t>5.18.5</t>
  </si>
  <si>
    <t>Chargement-déchargement-transport dans une Installation de Stockage des Déchets Inertes Aménagée (ISDI-A)</t>
  </si>
  <si>
    <t>5.19</t>
  </si>
  <si>
    <t>CHARGEMENT-DECHARGEMENT-TRANSPORT DES DEBLAIS ET STOCKAGE SUR SITE</t>
  </si>
  <si>
    <t>5.20</t>
  </si>
  <si>
    <t>DEPLACEMENT DE DEBLAIS SUR SITE</t>
  </si>
  <si>
    <t>5.21</t>
  </si>
  <si>
    <t>MISE EN ŒUVRE DE DEBLAIS DUSITE EN REMBLAIS</t>
  </si>
  <si>
    <t>5.22</t>
  </si>
  <si>
    <t>BLINDAGE DES FOUILLES</t>
  </si>
  <si>
    <t>5.22.1</t>
  </si>
  <si>
    <t>Blindage en tranchée</t>
  </si>
  <si>
    <t>Ces prix s'appliquent au mètre carré de terrain soutenu en tranchée et comprend la note de calcul justificative du dimensionnement retenu, la location, la fourniture, la mise en place et la dépose des blindages et soutènements quelle qu'en soit leur nature (bastaings ou palfeuille métallique,…).</t>
  </si>
  <si>
    <t>5.22.1.1</t>
  </si>
  <si>
    <t>Blindage par caisson</t>
  </si>
  <si>
    <t>5.22.1.2</t>
  </si>
  <si>
    <t>Blindage par caisson avec réhausse</t>
  </si>
  <si>
    <t>5.22.1.3</t>
  </si>
  <si>
    <t>Blindage coulissant simple glissière</t>
  </si>
  <si>
    <t>5.22.1.4</t>
  </si>
  <si>
    <t>Blindage coulissant double glissière</t>
  </si>
  <si>
    <t>5.22.1.5</t>
  </si>
  <si>
    <t>Blindage en bastaings jointifs</t>
  </si>
  <si>
    <t>5.22.1.6</t>
  </si>
  <si>
    <t>Blindage en bastaings semi-jointifs</t>
  </si>
  <si>
    <t>5.22.1.7</t>
  </si>
  <si>
    <t>Blindage en palfeuilles métalliques</t>
  </si>
  <si>
    <t>5.22.1.8</t>
  </si>
  <si>
    <t>Fourniture et pose de profilés métalliques pour liernes et butons</t>
  </si>
  <si>
    <t>LE KILOGRAMME</t>
  </si>
  <si>
    <t>KG</t>
  </si>
  <si>
    <t>5.22.2</t>
  </si>
  <si>
    <t>Blindage en puits</t>
  </si>
  <si>
    <t>Ces prix s'appliquent au mètre carré et comprennent la note de calcul justificative du dimensionnement retenu, la location ou la fourniture, la mise en place et la dépose de blindage en puits, quelle qu'en soit la nature (bastaings, palfeuilles, etc.).</t>
  </si>
  <si>
    <t>Ils comprennent la mise en place de cales, coins, semelles, étais, profilés spéciaux et tous accessoires nécessaires à la conformité du blindage ainsi que la perte de bois.</t>
  </si>
  <si>
    <t>5.22.2.1</t>
  </si>
  <si>
    <t>Blindage jointif de puits</t>
  </si>
  <si>
    <t>5.22.2.2</t>
  </si>
  <si>
    <t>Blindage doublement jointif de puits</t>
  </si>
  <si>
    <t>5.22.2.3</t>
  </si>
  <si>
    <t>Fourniture et pose de profilés métalliques pour soutènement</t>
  </si>
  <si>
    <t>5.22.3</t>
  </si>
  <si>
    <t xml:space="preserve">Blindage en souterrain y compris soutènement </t>
  </si>
  <si>
    <t>Ce prix s'applique au mètre carré et comprend la note de calcul justificative du dimensionnement retenu, la location ou la fourniture, la mise en place et la dépose de blindage en souterrain, quelle qu'en soit la nature (planches, palfeuilles, etc.).</t>
  </si>
  <si>
    <t>Il comprend la mise en place de cales, coins, semelles, étais, profilés spéciaux et tous accessoires nécessaires à la conformité du blindage ainsi que la perte de bois.</t>
  </si>
  <si>
    <t>5.22.4</t>
  </si>
  <si>
    <t>Soutènement en palplanches</t>
  </si>
  <si>
    <t>5.22.4.1</t>
  </si>
  <si>
    <t>Amenée et repli des installations de pose de palplanche</t>
  </si>
  <si>
    <t>Ces prix rémunèrent, au forfait :</t>
  </si>
  <si>
    <t>- l’amenée à pied d’oeuvre,</t>
  </si>
  <si>
    <t>- le matériel nécessaire à la mise de place de l'atelier,</t>
  </si>
  <si>
    <t>- la mise en place,</t>
  </si>
  <si>
    <t>- la mise en état de fonctionnement et les frais de fonctionnement,</t>
  </si>
  <si>
    <t>˗ le retrait de l’ensemble des installations nécessaires à la mise en place des palplanches,</t>
  </si>
  <si>
    <t>˗ le personnel nécessaire à l’exécution complète des travaux de mise en place des palplanches, y compris aux travaux de démontage.</t>
  </si>
  <si>
    <t>5.22.4.1.1</t>
  </si>
  <si>
    <t>Amenée et repli des installations de pose de palplanche par battage</t>
  </si>
  <si>
    <t>5.22.4.1.2</t>
  </si>
  <si>
    <t>Amenée et repli des installations de pose de palplanche par vibrofonçage</t>
  </si>
  <si>
    <t>5.22.2.1.3</t>
  </si>
  <si>
    <t>Amenée et repli des installations de pose de palplanche par vérinage</t>
  </si>
  <si>
    <t>5.22.4.2</t>
  </si>
  <si>
    <t>Fourniture de palplanches</t>
  </si>
  <si>
    <t>Ce prix rémunère, au kilogramme, la fourniture à pied d’oeuvre des palplanches métalliques y compris les pièces d'angle.</t>
  </si>
  <si>
    <t>5.22.4.3</t>
  </si>
  <si>
    <t>Mise en fiche de palplanches</t>
  </si>
  <si>
    <t>Ce prix rémunère, au mètre, la mise en fiche des palplanches métalliques, y compris la mise en place du dispositif de guidage.</t>
  </si>
  <si>
    <t>5.22.4.4</t>
  </si>
  <si>
    <t>Mise en oeuvre de palplanches</t>
  </si>
  <si>
    <t>Ces prix rémunèrent, au mètre carré, la mise en oeuvre de palplanches par battage, vibrofonçage ou vérinage.</t>
  </si>
  <si>
    <t>Ils comprennent également les contrôles et le relevé journalier.</t>
  </si>
  <si>
    <t>5.22.4.4.1</t>
  </si>
  <si>
    <t>Mise en œuvre par battage</t>
  </si>
  <si>
    <t>Ce prix sera appliqué à la surface de rideaux (hauteur dans le sol).</t>
  </si>
  <si>
    <t>5.22.4.4.2</t>
  </si>
  <si>
    <t>Mise en œuvre par vibrofonçage</t>
  </si>
  <si>
    <t>5.22.4.4.3</t>
  </si>
  <si>
    <t>Mise en œuvre par vérinage</t>
  </si>
  <si>
    <t>5.22.4.5</t>
  </si>
  <si>
    <t>Fourniture et mise en place de liernes et butons</t>
  </si>
  <si>
    <t>Ce prix rémunère, au kilogramme, la fourniture d’acier pour liernes et butons en renfort des blindages à grande hauteur.</t>
  </si>
  <si>
    <t>- la mise en oeuvre y compris soudure, pièce de raccordement, etc.,</t>
  </si>
  <si>
    <t>- la dépose des liernes et/ou butons ou le laisser en place,</t>
  </si>
  <si>
    <t>- l’évacuation du chantier.</t>
  </si>
  <si>
    <t>5.23</t>
  </si>
  <si>
    <t>DEMOLITION D'OUVRAGE DE TOUTE NATURE</t>
  </si>
  <si>
    <t>Ces prix rémunèrent au mètre cube, la démolition de maçonnerie et de béton.</t>
  </si>
  <si>
    <t>Ils comprennent :</t>
  </si>
  <si>
    <t>- les démolitions manuelles ou mécaniques de maçonnerie ou de béton armé ou non armé,</t>
  </si>
  <si>
    <t>- le dégarnissage et la coupe des armatures,</t>
  </si>
  <si>
    <t>- l’enlèvement, le chargement, le transport et le déchargement en centre de stockage et de traitement des produits de démolition quelle que soient leurs natures, droits compris.</t>
  </si>
  <si>
    <t>Ils tiennent compte des sujétions résultant de la présence des ouvrages des concessionnaires en service (ou hors service), de la situation du chantier en site urbain (maintien de la circulation et des accès riverains), le besoin d’étaiement ou non et des difficultés de dislocation et d'extraction des matériaux.</t>
  </si>
  <si>
    <t>5.23.1</t>
  </si>
  <si>
    <t>Démolition d'ouvrage de toute nature à l'exception du béton armé</t>
  </si>
  <si>
    <t>5.23.1.1</t>
  </si>
  <si>
    <t>En tranchée et en puits</t>
  </si>
  <si>
    <t>5.23.1.2</t>
  </si>
  <si>
    <t>En souterrain</t>
  </si>
  <si>
    <t>5.23.2</t>
  </si>
  <si>
    <t>Démolition d'ouvrage en béton armé</t>
  </si>
  <si>
    <t>5.23.2.1</t>
  </si>
  <si>
    <t>5.23.2.2</t>
  </si>
  <si>
    <t>5.24</t>
  </si>
  <si>
    <t>REMBLAIEMENT</t>
  </si>
  <si>
    <t>5.24.1</t>
  </si>
  <si>
    <t>Préparation du fond de fouille</t>
  </si>
  <si>
    <t>Ce prix rémunère au mètre carré les travaux nécessaires pour la préparation du fond de fouille avant mise en place du lit de pose.</t>
  </si>
  <si>
    <t>˗ la mise en place si nécessaire de matériau tout venant,</t>
  </si>
  <si>
    <t>˗ la mise en place, si nécessaire, de matériaux complémentaires permettant la tenue du lit de pose,</t>
  </si>
  <si>
    <t>˗ la  pose, si  nécessaire, de géotextiles suivant les prescriptions du bon de commande,</t>
  </si>
  <si>
    <t>˗ l'amenée de tous les matériaux nécessaires,</t>
  </si>
  <si>
    <t>˗ y compris toutes les sujétions d'exécution.</t>
  </si>
  <si>
    <t>5.24.2</t>
  </si>
  <si>
    <t>Fourniture et mise en œuvre de géotextile anti-contaminant</t>
  </si>
  <si>
    <t>Ce prix rémunère au mètre carré la fourniture et mise en œuvre d'un géotextile pour la préparation du fond de fouille avant mise en place du lit de pose.</t>
  </si>
  <si>
    <t>5.24.3</t>
  </si>
  <si>
    <t>Plus-value pour mise en œuvre en enrobage de canalisation</t>
  </si>
  <si>
    <t>Ce prix rémunère au mètre carré la plus-value au prix 5.19.2 pour mise en œuvre du geotextile en enrobage de canalisation .</t>
  </si>
  <si>
    <t>5.24.4</t>
  </si>
  <si>
    <t>Lit de pose de la canalisation</t>
  </si>
  <si>
    <t>Ces prix rémunèrent au mètre cube la fourniture et la mise en oeuvre du lit de pose.</t>
  </si>
  <si>
    <t>˗ la fourniture et la mise en oeuvre conformément au C.C.T.P. des matériaux pour la réalisation du lit de pose d'une épaisseur minimale de 0,10 m,</t>
  </si>
  <si>
    <t>˗ y compris toutes  les sujétions d'exécution,  d'extraction,  de  criblage  et de transport.</t>
  </si>
  <si>
    <t>L'épaisseur du lit de pose sera préalablement défini avec le maître d'œuvre compte tenu du mode de réalisation de la préparation du fond de fouille.</t>
  </si>
  <si>
    <t>5.24.4.1</t>
  </si>
  <si>
    <t>Lit de pose en sable 0/5</t>
  </si>
  <si>
    <t>5.24.4.2</t>
  </si>
  <si>
    <t>Lit de pose en gravillons 4/8</t>
  </si>
  <si>
    <t>5.24.4.3</t>
  </si>
  <si>
    <t>Lit de pose en gravillons 4/20</t>
  </si>
  <si>
    <t>5.24.4.4</t>
  </si>
  <si>
    <t>Lit de pose en cailloux concassés 20/40</t>
  </si>
  <si>
    <t>5.24.5</t>
  </si>
  <si>
    <t>Enrobage de la canalisation</t>
  </si>
  <si>
    <t>Ces prix rémunèrent au mètre cube la fourniture et la mise en oeuvre de l'appui de la canalisation et son remblaiement latéral et initial.</t>
  </si>
  <si>
    <t>˗ la fourniture et la mise en oeuvre conformément au C.C.T.P. des matériaux pour la réalisation du parfait enrobage de la canalisation,</t>
  </si>
  <si>
    <t>˗ le compactage des matériaux selon les prescriptions du C.C.T.P.,</t>
  </si>
  <si>
    <t>˗ y compris toutes les sujétions d'exécution, d'extraction, de criblage et de transport.</t>
  </si>
  <si>
    <t>Ces prix seront réglés au mètre cube calculé, compte tenu de la hauteur mesurée en place et de la largeur de tranchée constatée.</t>
  </si>
  <si>
    <t>5.24.5.1</t>
  </si>
  <si>
    <t>5.24.5.2</t>
  </si>
  <si>
    <t>5.24.5.3</t>
  </si>
  <si>
    <t>5.24.5.4</t>
  </si>
  <si>
    <t>5.24.5.5</t>
  </si>
  <si>
    <t>Enrobage en béton autocompactant</t>
  </si>
  <si>
    <t>5.24.6</t>
  </si>
  <si>
    <t>Remblaiement des tranchées</t>
  </si>
  <si>
    <t>Ces prix rémunèrent au mètre cube le remblaiement des tranchées avec des matériaux d'apport.</t>
  </si>
  <si>
    <t>˗ la fourniture et la mise en oeuvre conformément au C.C.T.P. des matériaux pour le remblaiement de la canalisation,</t>
  </si>
  <si>
    <t>˗ le remblaiement jusqu'au fond de forme de la chaussée et du trottoir ou jusqu'à l'arase du terrain environnant,</t>
  </si>
  <si>
    <t>˗ le compactage des matériaux,</t>
  </si>
  <si>
    <t>˗ les mesures nécessaires pour remédier au tassement après remblaiement et jusqu'à l'expiration du délai de garantie,</t>
  </si>
  <si>
    <t>˗ y compris toutes les sujétions d'exécution et de fournitures.</t>
  </si>
  <si>
    <t>Ces prix seront réglés au mètre cube mesuré en place, pour une largeur de tranchée constatée.</t>
  </si>
  <si>
    <t>5.24.6.1</t>
  </si>
  <si>
    <t>Remblai avec terres de déblai non traitées</t>
  </si>
  <si>
    <t>5.24.6.2</t>
  </si>
  <si>
    <t>Remblai avec terres de déblai triées, criblées et traitées à la chaux (2%)</t>
  </si>
  <si>
    <t>5.24.6.3</t>
  </si>
  <si>
    <t>Remblai avec terres de déblai triées, criblées et traitées à la chaux (2%) et au ciment (5%)</t>
  </si>
  <si>
    <t>5.24.6.4</t>
  </si>
  <si>
    <t>Remblai en grave industrielle 0/31.5</t>
  </si>
  <si>
    <t>5.24.6.5</t>
  </si>
  <si>
    <t>Remblai en grave de béton concassé 0/31.5</t>
  </si>
  <si>
    <t>5.24.6.6</t>
  </si>
  <si>
    <t>Remblai en grave naturelle 0/31.5</t>
  </si>
  <si>
    <t>5.24.6.7</t>
  </si>
  <si>
    <t>Remblai en béton autocompactant</t>
  </si>
  <si>
    <t>5.25</t>
  </si>
  <si>
    <t>DEPOSE DE REMBLAIS SUR SITE</t>
  </si>
  <si>
    <t>5.26</t>
  </si>
  <si>
    <t xml:space="preserve">CHARGEMENT-DECHARGEMENT-TRANSPORT ET MISE EN ŒUVRE DE REMBLAI FOURNIS SUR SITE </t>
  </si>
  <si>
    <t>5.27</t>
  </si>
  <si>
    <t>DEPOSE ET EVACUATION DE TUYAU AUTRE QU'AMIANTE CIMENT</t>
  </si>
  <si>
    <t>Ces prix rémunèrent au mètre linéaire, la dépose de conduites (de nature autre qu'amiante ciment).</t>
  </si>
  <si>
    <t>Ils comprennent notamment  :</t>
  </si>
  <si>
    <t>˗ les piquages et les sondages nécessaires des conduites à déposer,</t>
  </si>
  <si>
    <t>˗ la dépose de conduite quelle que soit leur nature (autre qu'amiante ciment),</t>
  </si>
  <si>
    <t>˗ l’enlèvement, le transport et le déchargement en centre de stockage et de traitement des conduites déposées, droits compris.</t>
  </si>
  <si>
    <t>5.27.1</t>
  </si>
  <si>
    <r>
      <t xml:space="preserve">Dépose de canalisation de diamètre </t>
    </r>
    <r>
      <rPr>
        <b/>
        <sz val="10"/>
        <rFont val="Calibri"/>
        <family val="2"/>
      </rPr>
      <t>≤</t>
    </r>
    <r>
      <rPr>
        <b/>
        <sz val="10"/>
        <rFont val="Arial"/>
        <family val="2"/>
      </rPr>
      <t xml:space="preserve"> 300 mm</t>
    </r>
  </si>
  <si>
    <t>5.27.2</t>
  </si>
  <si>
    <r>
      <t xml:space="preserve">Dépose de canalisation de diamètre 300 mm </t>
    </r>
    <r>
      <rPr>
        <b/>
        <sz val="10"/>
        <rFont val="Calibri"/>
        <family val="2"/>
      </rPr>
      <t>&lt;</t>
    </r>
    <r>
      <rPr>
        <b/>
        <sz val="10"/>
        <rFont val="Arial"/>
        <family val="2"/>
      </rPr>
      <t xml:space="preserve"> </t>
    </r>
    <r>
      <rPr>
        <b/>
        <sz val="10"/>
        <rFont val="Calibri"/>
        <family val="2"/>
      </rPr>
      <t>Ø</t>
    </r>
    <r>
      <rPr>
        <b/>
        <sz val="11.5"/>
        <rFont val="Arial"/>
        <family val="2"/>
      </rPr>
      <t xml:space="preserve"> </t>
    </r>
    <r>
      <rPr>
        <b/>
        <sz val="10"/>
        <rFont val="Calibri"/>
        <family val="2"/>
      </rPr>
      <t>≤</t>
    </r>
    <r>
      <rPr>
        <b/>
        <sz val="11.5"/>
        <rFont val="Calibri"/>
        <family val="2"/>
      </rPr>
      <t xml:space="preserve"> </t>
    </r>
    <r>
      <rPr>
        <b/>
        <sz val="10"/>
        <rFont val="Arial"/>
        <family val="2"/>
      </rPr>
      <t>500 mm</t>
    </r>
  </si>
  <si>
    <t>5.27.3</t>
  </si>
  <si>
    <t>Dépose de canalisation de diamètre &gt; 500 mm</t>
  </si>
  <si>
    <t>5.28</t>
  </si>
  <si>
    <t>COMBLEMENT DE CANALISATION</t>
  </si>
  <si>
    <t>Ce prix rémunère, au mètre cube, la fourniture et la mise en œuvre de remblais liquide stabilisé au béton réexcavable pour le comblement de canalisations non visitables hors service ou abandonnées quelle que soit leur nature et leur dimension.</t>
  </si>
  <si>
    <r>
      <rPr>
        <sz val="10"/>
        <color indexed="8"/>
        <rFont val="Arial"/>
        <family val="2"/>
      </rPr>
      <t>˗</t>
    </r>
    <r>
      <rPr>
        <sz val="10"/>
        <color indexed="8"/>
        <rFont val="Times New Roman"/>
        <family val="1"/>
      </rPr>
      <t xml:space="preserve">  </t>
    </r>
    <r>
      <rPr>
        <sz val="10"/>
        <color indexed="8"/>
        <rFont val="Arial"/>
        <family val="2"/>
      </rPr>
      <t>le dosage, le mélange en centrale, le transport,</t>
    </r>
  </si>
  <si>
    <t>˗ la mise en œuvre de remblai liquide stabilisé.</t>
  </si>
  <si>
    <t>Il tient compte des difficultés d’accès aux ouvrages et de mis en œuvre.</t>
  </si>
  <si>
    <t>5.29</t>
  </si>
  <si>
    <t>FOURNITURE ET POSE EN TRANCHEE OUVERTE DE GRILLAGE AVERTISSEUR</t>
  </si>
  <si>
    <t>Ce prix rémunère au mètre linéaire la fourniture et la pose de grillage avertisseur de largeur 0,30 m non détectable.</t>
  </si>
  <si>
    <t>˗ la fourniture, le transport, le déchargement, la pose du grillage avertisseur de couleur variable suivant le réseau concerné.</t>
  </si>
  <si>
    <t>6</t>
  </si>
  <si>
    <t>FOURNITURE ET POSE DE CANALISATIONS NON VISITABLES ET DRAINS D'ASSAINISSEMENT EN TRANCHEE ET EN PUITS</t>
  </si>
  <si>
    <t>FOURNITURE ET POSE EN TRANCHEE DE CANALISATION PVC ASSAINISSEMENT CLASSE SN16 ET DE SES ACCESSOIRES</t>
  </si>
  <si>
    <t>Ces prix rémunèrent au mètre linéaire la fourniture et la pose de canalisations en PVC classe SN16 et de ses accessoires.</t>
  </si>
  <si>
    <t>˗ la fourniture, le transport, le déchargement, la pose et le calage, par tout moyen approprié, des canalisations,</t>
  </si>
  <si>
    <t>˗ toutes sujétions particulières de manutention, de découpe des canalisations, d'emboîtement, de mise en place des joints et raccords, ainsi que des scellements,</t>
  </si>
  <si>
    <t>˗ y compris tous les accessoires nécessaires (coudes, tés, culottes et piquages),</t>
  </si>
  <si>
    <t>˗ y compris toutes les sujétions d'exécution et de fournitures,</t>
  </si>
  <si>
    <t>˗ les tests d'autocontrôle (étanchéité, etc).</t>
  </si>
  <si>
    <t>6.1.1</t>
  </si>
  <si>
    <t>Canalisation diamètre 160 mm et accessoires</t>
  </si>
  <si>
    <t>6.1.2</t>
  </si>
  <si>
    <t>Canalisation diamètre 200 mm et accessoires</t>
  </si>
  <si>
    <t>6.1.3</t>
  </si>
  <si>
    <t>Canalisation diamètre 250 mm et accessoires</t>
  </si>
  <si>
    <t>6.1.4</t>
  </si>
  <si>
    <t>Canalisation diamètre 315 mm et accessoires</t>
  </si>
  <si>
    <t>6.1.5</t>
  </si>
  <si>
    <t>Canalisation diamètre 400 mm et accessoires</t>
  </si>
  <si>
    <t>6.1.6</t>
  </si>
  <si>
    <t>Canalisation diamètre 500 mm et accessoires</t>
  </si>
  <si>
    <t>6.1.7</t>
  </si>
  <si>
    <t>Canalisation diamètre 630 mm et accessoires</t>
  </si>
  <si>
    <t>6.1.8</t>
  </si>
  <si>
    <t>Canalisation diamètre 710 mm et accessoires</t>
  </si>
  <si>
    <t>6.1.9</t>
  </si>
  <si>
    <t>Canalisation diamètre 800 mm et accessoires</t>
  </si>
  <si>
    <t>FOURNITURE ET POSE EN TRANCHEE DE CANALISATION PVC ASSAINISSEMENT CLASSE SN8 ET DE SES ACCESSOIRES</t>
  </si>
  <si>
    <t>Ces prix rémunèrent au mètre linéaire la fourniture et la pose de canalisations en PVC classe SN8 et de ses accessoires.</t>
  </si>
  <si>
    <t>6.2.1</t>
  </si>
  <si>
    <t>Canalisation diamètre 60 mm et accessoires</t>
  </si>
  <si>
    <t>6.2.2</t>
  </si>
  <si>
    <t>Canalisation diamètre 100 mm et accessoires</t>
  </si>
  <si>
    <t>6.2.3</t>
  </si>
  <si>
    <t>6.2.4</t>
  </si>
  <si>
    <t>6.2.5</t>
  </si>
  <si>
    <t>6.2.6</t>
  </si>
  <si>
    <t>6.2.7</t>
  </si>
  <si>
    <t>6.2.8</t>
  </si>
  <si>
    <t>6.2.9</t>
  </si>
  <si>
    <t>6.2.10</t>
  </si>
  <si>
    <t>6.2.11</t>
  </si>
  <si>
    <t>FOURNITURE ET POSE EN TRANCHEE OUVERTE DE CANALISATION EN FONTE DUCTILE TYPE TAG32 ET DE SES ACCESSOIRES</t>
  </si>
  <si>
    <t>Ces prix rémunèrent au mètre linéaire la fourniture et la pose de canalisations en fonte ductile TAG32 et de ses accessoires.</t>
  </si>
  <si>
    <t>˗ les tests d'autocontrôle (étanchéité, etc),</t>
  </si>
  <si>
    <t>Ces prix seront réglés au mètre linéaire mesuré sur place.</t>
  </si>
  <si>
    <t>6.3.1</t>
  </si>
  <si>
    <t>Canalisation diamètre 150 mm et accessoires</t>
  </si>
  <si>
    <t>6.3.2</t>
  </si>
  <si>
    <t>6.3.3</t>
  </si>
  <si>
    <t>6.3.4</t>
  </si>
  <si>
    <t>Canalisation diamètre 300 mm et accessoires</t>
  </si>
  <si>
    <t>FOURNITURE ET POSE EN TRANCHEE OUVERTE DE CANALISATION EN FONTE DUCTILE TYPE PAM PLUVIAL OU SIMILAIRE ET DE SES ACCESSOIRES</t>
  </si>
  <si>
    <t>Ces prix rémunèrent au mètre linéaire la fourniture et la pose de canalisations en fonte ductile Type PAM pluvial ou similaire et de ses accessoires.</t>
  </si>
  <si>
    <t>6.4.1</t>
  </si>
  <si>
    <t>Canalisation diamètre 350 mm et accessoires</t>
  </si>
  <si>
    <t>6.4.2</t>
  </si>
  <si>
    <t>6.4.3</t>
  </si>
  <si>
    <t>Canalisation diamètre 450 mm et accessoires</t>
  </si>
  <si>
    <t>6.4.4</t>
  </si>
  <si>
    <t>6.4.5</t>
  </si>
  <si>
    <t>Canalisation diamètre 600 mm et accessoires</t>
  </si>
  <si>
    <t>6.4.6</t>
  </si>
  <si>
    <t>Canalisation diamètre 700 mm et accessoires</t>
  </si>
  <si>
    <t>6.4.7</t>
  </si>
  <si>
    <t>6.4.8</t>
  </si>
  <si>
    <t>Canalisation diamètre 900 mm et accessoires</t>
  </si>
  <si>
    <t>6.4.9</t>
  </si>
  <si>
    <t>Canalisation diamètre 1000 mm et accessoires</t>
  </si>
  <si>
    <t>6.4.10</t>
  </si>
  <si>
    <t>Canalisation diamètre 1200 mm et accessoires</t>
  </si>
  <si>
    <t>6.5</t>
  </si>
  <si>
    <t>FOURNITURE ET POSE EN TRANCHEE OUVERTE DE CANALISATION EN FONTE DUCTILE TYPE INTEGRAL OU SIMILAIRE ET DE SES ACCESSOIRES</t>
  </si>
  <si>
    <t>Ces prix rémunèrent au mètre linéaire la fourniture et la pose de canalisations en fonte ductile type INTEGRAL et de ses accessoires.</t>
  </si>
  <si>
    <t>6.5.4</t>
  </si>
  <si>
    <t>6.5.5</t>
  </si>
  <si>
    <t>6.5.6</t>
  </si>
  <si>
    <t>6.5.7</t>
  </si>
  <si>
    <t>6.5.8</t>
  </si>
  <si>
    <t>6.5.9</t>
  </si>
  <si>
    <t>6.5.10</t>
  </si>
  <si>
    <t>6.5.11</t>
  </si>
  <si>
    <t>6.6</t>
  </si>
  <si>
    <t>FOURNITURE ET POSE EN TRANCHEE OUVERTE DE CANALISATION EN BETON ARME SERIE 135A ET DE SES ACCESSOIRES</t>
  </si>
  <si>
    <t>Ces prix rémunèrent au mètre linéaire la fourniture et la pose de canalisations en béton armé, série 135 A et de ses accessoires.</t>
  </si>
  <si>
    <t>Canalisation diamètre 300 mm et accesoires</t>
  </si>
  <si>
    <t>6.6.4</t>
  </si>
  <si>
    <t>6.6.5</t>
  </si>
  <si>
    <t>6.6.6</t>
  </si>
  <si>
    <t>6.6.7</t>
  </si>
  <si>
    <t>6.6.8</t>
  </si>
  <si>
    <t>6.6.9</t>
  </si>
  <si>
    <t>Canalisation diamètre 1100 mm et accessoires</t>
  </si>
  <si>
    <t>6.6.10</t>
  </si>
  <si>
    <t>6.6.11</t>
  </si>
  <si>
    <t>Canalisation diamètre 1300 mm et accessoires</t>
  </si>
  <si>
    <t>6.6.12</t>
  </si>
  <si>
    <t>Canalisation diamètre 1400 mm et accessoires</t>
  </si>
  <si>
    <t>6.6.13</t>
  </si>
  <si>
    <t>Canalisation diamètre 1500 mm et accessoires</t>
  </si>
  <si>
    <t>6.6.14</t>
  </si>
  <si>
    <t>Canalisation diamètre 1600 mm et accessoires</t>
  </si>
  <si>
    <t>6.6.15</t>
  </si>
  <si>
    <t>Canalisation diamètre 1700 mm et accessoires</t>
  </si>
  <si>
    <t>6.6.16</t>
  </si>
  <si>
    <t>Canalisation diamètre 1800 mm et accessoires</t>
  </si>
  <si>
    <t>6.6.17</t>
  </si>
  <si>
    <t>Canalisation diamètre 1900 mm et accessoires</t>
  </si>
  <si>
    <t>6.6.18</t>
  </si>
  <si>
    <t>Canalisation diamètre 2000 mm et accessoires</t>
  </si>
  <si>
    <t>6.7</t>
  </si>
  <si>
    <t>FOURNITURE ET POSE EN TRANCHEE OUVERTE DE CANALISATION EN BETON ARME DE SECTION ELLIPTIQUE TYPE MODULOVAL OU SIMILAIRE POUR UNE COUVERTURE MINIMUM DE 0,50 METRES (MOD 130)</t>
  </si>
  <si>
    <t>Ces prix rémunèrent au mètre linéaire la fourniture et la pose de canalisations en béton armé de section elliptique type moduloval ou similaire pour une couverture minimum de 0,50 mètre (MOD 130).</t>
  </si>
  <si>
    <t>˗ les  sujétions   particulières  de   manutention,   de  découpe  des   canalisations, d'emboîtement, de mise en place des joints et raccords, ainsi que des scellements,</t>
  </si>
  <si>
    <t>Canalisation elliptique section 100 x 65 cm MOD 130</t>
  </si>
  <si>
    <t>Canalisation elliptique section 115 x 75 cm MOD 130</t>
  </si>
  <si>
    <t>Canalisation elliptique section 165 x 100 cm MOD 130</t>
  </si>
  <si>
    <t>6.7.4</t>
  </si>
  <si>
    <t>Canalisation elliptique section 195 x 115 cm MOD 130</t>
  </si>
  <si>
    <t>6.7.5</t>
  </si>
  <si>
    <t>Canalisation elliptique section 235 x 135 cm MOD 130</t>
  </si>
  <si>
    <t>6.7.6</t>
  </si>
  <si>
    <t>Canalisation elliptique section 265 x 150 cm MOD 130</t>
  </si>
  <si>
    <t>6.8</t>
  </si>
  <si>
    <t>FOURNITURE ET POSE EN TRANCHEE OUVERTE DE CANALISATION EN BETON ARME DE SECTION ELLIPTIQUE TYPE MODULOVAL OU SIMILAIRE POUR UNE COUVERTURE MINIMUM DE 0,30 METRE (MOD 250)</t>
  </si>
  <si>
    <t>Ces prix rémunèrent au mètre linéaire la fourniture et la pose de canalisations en béton armé de section elliptique type moduloval ou similaire pour une couverture minimum de 0,30 mètre (MOD 250).</t>
  </si>
  <si>
    <t>Canalisation elliptique section 100 x 65 cm MOD 250</t>
  </si>
  <si>
    <t>Canalisation elliptique section 115 x 75cm MOD 250</t>
  </si>
  <si>
    <t>Canalisation elliptique section 165 x 100 cm MOD 250</t>
  </si>
  <si>
    <t>6.8.4</t>
  </si>
  <si>
    <t>Canalisation elliptique section 195 x 115cm MOD 250</t>
  </si>
  <si>
    <t>6.8.5</t>
  </si>
  <si>
    <t>Canalisation elliptique section 235 x 135 cm MOD 250</t>
  </si>
  <si>
    <t>6.8.6</t>
  </si>
  <si>
    <t>Canalisation elliptique section 265 x 150 cm MOD 250</t>
  </si>
  <si>
    <t>6.9</t>
  </si>
  <si>
    <t>FOURNITURE ET POSE EN TRANCHEE OUVERTE DE CANALISATION OVOIDE EN BETON PREFABRIQUE</t>
  </si>
  <si>
    <t>Ces prix rémunèrent au mètre linéaire la fourniture et la pose de canalisations en béton armé, type ovoïdes.</t>
  </si>
  <si>
    <t>Ovoïde type T 130 (130 x 80 cm)</t>
  </si>
  <si>
    <t>Ovoïde type T 150 (150 x 90 cm)</t>
  </si>
  <si>
    <t>Ovoïde type T 180 (180 x 108 cm)</t>
  </si>
  <si>
    <t>6.9.4</t>
  </si>
  <si>
    <t>Ovoïde type T 200 (200 x 120 cm)</t>
  </si>
  <si>
    <t>6.10</t>
  </si>
  <si>
    <t>FOURNITURE ET POSE EN TRANCHEE OUVERTE DE CADRE RECTANGULAIRE EN BETON PREFABRIQUE</t>
  </si>
  <si>
    <t>Ces prix rémunèrent au mètre linéaire la fourniture et la pose de cadre rectangulaire en béton armé préfabriqué.</t>
  </si>
  <si>
    <t>Cadre de section 100 x 50 cm</t>
  </si>
  <si>
    <t>Cadre de section 100 x 100 cm</t>
  </si>
  <si>
    <t>Cadre de section 150 x 100 cm</t>
  </si>
  <si>
    <t>6.10.4</t>
  </si>
  <si>
    <t>Cadre de section 200 x 100 cm</t>
  </si>
  <si>
    <t>6.10.5</t>
  </si>
  <si>
    <t>Cadre de section 200 x 150 cm</t>
  </si>
  <si>
    <t>6.10.6</t>
  </si>
  <si>
    <t>Cadre de section 300 x 150 cm</t>
  </si>
  <si>
    <t>FOURNITURE ET POSE DE RACCORDS MULTIMATERIAUX</t>
  </si>
  <si>
    <t>Ces prix rémunèrent à l'unité la fourniture et la pose de raccord multimatériaux.</t>
  </si>
  <si>
    <t>˗ la fourniture, le transport, le déchargement, la pose et le calage des raccords,</t>
  </si>
  <si>
    <t>˗ toutes les sujétions pour la fourniture et la mise en place des matériaux d'enrobage du raccord,</t>
  </si>
  <si>
    <t>˗ les sujétions particulières de découpe, d'emboîtement et de scellement sur les ouvrages amont et aval y compris toutes les sujétions d'exécution.</t>
  </si>
  <si>
    <t>6.11.1</t>
  </si>
  <si>
    <r>
      <t xml:space="preserve">Raccord multimatériaux Ø </t>
    </r>
    <r>
      <rPr>
        <b/>
        <sz val="10"/>
        <rFont val="Calibri"/>
        <family val="2"/>
      </rPr>
      <t>≤</t>
    </r>
    <r>
      <rPr>
        <b/>
        <sz val="10"/>
        <rFont val="Arial"/>
        <family val="2"/>
      </rPr>
      <t xml:space="preserve"> 200 mm</t>
    </r>
  </si>
  <si>
    <t>6.11.2</t>
  </si>
  <si>
    <t>Raccord multimatériaux Ø ≤ 300 mm</t>
  </si>
  <si>
    <t>6.11.3</t>
  </si>
  <si>
    <t>Raccord multimatériaux Ø ≤ 400 mm</t>
  </si>
  <si>
    <t>6.11.4</t>
  </si>
  <si>
    <t>Raccord multimatériaux Ø ≤ 500 mm</t>
  </si>
  <si>
    <t>6.11.5</t>
  </si>
  <si>
    <t>Raccord multimatériaux Ø ≤ 600 mm</t>
  </si>
  <si>
    <t>6.11.6</t>
  </si>
  <si>
    <t>Raccord multimatériaux Ø ≤ 700 mm</t>
  </si>
  <si>
    <t>6.11.7</t>
  </si>
  <si>
    <t>Raccord multimatériaux Ø ≤ 800 mm</t>
  </si>
  <si>
    <t>6.12</t>
  </si>
  <si>
    <t>REALISATION D'UNE CHUTE ACCOMPAGNEE</t>
  </si>
  <si>
    <t>Ces prix rémunèrent, au mètre linéaire, la réalisation d’une chute accompagnée dans une cheminée de regard ou une niche.</t>
  </si>
  <si>
    <r>
      <t>˗</t>
    </r>
    <r>
      <rPr>
        <sz val="10"/>
        <rFont val="Times New Roman"/>
        <family val="1"/>
      </rPr>
      <t xml:space="preserve">  </t>
    </r>
    <r>
      <rPr>
        <sz val="10"/>
        <rFont val="Arial"/>
        <family val="2"/>
      </rPr>
      <t>la fourniture et la mise en œuvre d’un Té de curage au niveau de la ou les pénétrations de  canalisations, toutes sujétions de raccordement incluses,</t>
    </r>
  </si>
  <si>
    <t>˗ la fourniture et la pose des coudes nécessaires à la réalisation de la chute accompagnée jusqu’au fil d’eau requis,</t>
  </si>
  <si>
    <r>
      <t>˗</t>
    </r>
    <r>
      <rPr>
        <sz val="10"/>
        <rFont val="Times New Roman"/>
        <family val="1"/>
      </rPr>
      <t xml:space="preserve">  </t>
    </r>
    <r>
      <rPr>
        <sz val="10"/>
        <rFont val="Arial"/>
        <family val="2"/>
      </rPr>
      <t>la fourniture et la pose de canalisations de diamètre variable en PVC type CR8, sur le linéaire nécessaire pour atteindre le fil d’eau requis, y compris toutes sujétions de fixation à la paroi de la cheminée de regard,</t>
    </r>
  </si>
  <si>
    <r>
      <t>˗</t>
    </r>
    <r>
      <rPr>
        <sz val="10"/>
        <rFont val="Times New Roman"/>
        <family val="1"/>
      </rPr>
      <t xml:space="preserve">  </t>
    </r>
    <r>
      <rPr>
        <sz val="10"/>
        <rFont val="Arial"/>
        <family val="2"/>
      </rPr>
      <t>la forme de cunette en béton C16/20 sur le radier de regard pour assurer le bon écoulement des effluents vers l'égout.</t>
    </r>
  </si>
  <si>
    <t>Réalisation d'une chute accompagnée</t>
  </si>
  <si>
    <t>de diamètre 200 mm</t>
  </si>
  <si>
    <t>de diamètre 300 mm</t>
  </si>
  <si>
    <t>RACCORDEMENT DE CANALISATION SUR REGARD OU OUVRAGE</t>
  </si>
  <si>
    <t>Ces prix rémunèrent à l’unité ou au mètre carré la pénétration d’une canalisation dans un ouvrage ou un regard existant.</t>
  </si>
  <si>
    <t>˗ les démolitions manuelles ou mécaniques de maçonnerie, béton ou béton armé nécessaires à la réalisation du percement quel que soit l’angle de pénétration,</t>
  </si>
  <si>
    <t>˗ la reprise des maçonneries et enduits au droit du raccordement y compris plan coupé ou arrondi,</t>
  </si>
  <si>
    <t>˗ l’enlèvement, le transport et le déchargement en centre de stockage et de traitement des produits de la démolition, droits compris.</t>
  </si>
  <si>
    <t>Ces prix ne comprennent pas la fourniture de la canalisation.</t>
  </si>
  <si>
    <t>6.13.1</t>
  </si>
  <si>
    <t>Canalisation à raccorder de diamètre inférieur ou égal à 300 mm</t>
  </si>
  <si>
    <t>6.13.2</t>
  </si>
  <si>
    <t>Canalisation à raccorder de diamètre supérieur à 300 mm et inférieur ou égal à 600 mm</t>
  </si>
  <si>
    <t>6.13.3</t>
  </si>
  <si>
    <t>Canalisation à raccorder de diamètre supérieure à 600 mm</t>
  </si>
  <si>
    <t>6.13.4</t>
  </si>
  <si>
    <t>Canalisation à raccorder sur un ovoïde quel que soit le diamètre de raccordement</t>
  </si>
  <si>
    <t>RACCORDEMENT DE CANALISATION SUR OVOIDE DEPARTEMENTAL</t>
  </si>
  <si>
    <t>Ce prix rémunère à l’unité la pénétration d’une canalisation dans un ouvrage ovoïde départemental existant. Ce prix comprend :
Les démolitions manuelles ou mécaniques de maçonnerie, béton ou béton armé nécessaires à la réalisation du percement quel que soit l’angle de pénétration, la reprise des maçonneries et enduits au droit du raccordement y compris plan coupé ou arrondi, l’enlèvement, le transport et le déchargement en centre de stockage et de traitement des produits de la démolition, droits compris et toutes sujétions de réalisation.</t>
  </si>
  <si>
    <t>6.14.1</t>
  </si>
  <si>
    <t>6.14.2</t>
  </si>
  <si>
    <t>6.14.3</t>
  </si>
  <si>
    <t>FOURNITURE ET POSE EN TRANCHEE OUVERTE DE DRAIN EN PVC ET DE SES ACCESSOIRES</t>
  </si>
  <si>
    <t>Ces prix rémunèrent au mètre linéaire la fourniture et la pose de drains en PVC et de ses accessoires. Le drain sera posé dans la tranchée réalisée à cet effet.</t>
  </si>
  <si>
    <t>˗ la fourniture, le transport, le déchargement, la pose et le calage des drains,</t>
  </si>
  <si>
    <t>˗ toutes  les sujétions  pour la fourniture  et la  mise  en  place des  matériaux d'enrobage des drains,</t>
  </si>
  <si>
    <t xml:space="preserve">˗ les sujétions particulières de découpe, d'emboîtement et de scellement sur les ouvrages amont et aval, </t>
  </si>
  <si>
    <t>˗ y compris toutes sujestions d'exécutiuon.</t>
  </si>
  <si>
    <t>6.15.1</t>
  </si>
  <si>
    <t>Drain de diamètre 110 mm et accessoires</t>
  </si>
  <si>
    <t>6.15.2</t>
  </si>
  <si>
    <t>Drain de diamètre 160 mm et accessoires</t>
  </si>
  <si>
    <t>6.15.3</t>
  </si>
  <si>
    <t>Drain de diamètre 200 mm et accessoires</t>
  </si>
  <si>
    <t>6.15.4</t>
  </si>
  <si>
    <t>Drain de diamètre 250 mm et accessoires</t>
  </si>
  <si>
    <t>FOURNITURE ET POSE EN TRANCHEE OUVERTE DE DRAIN EN PEHD ET DE SES ACCESSOIRES</t>
  </si>
  <si>
    <t>Ces prix rémunèrent au mètre linéaire la fourniture et la pose de drains en PEHD et de ses accessoires. Le drain sera posé dans la tranchée réalisée à cet effet.</t>
  </si>
  <si>
    <t>6.16.1</t>
  </si>
  <si>
    <t>Drain de diamètre 100 mm et accessoires</t>
  </si>
  <si>
    <t>6.16.2</t>
  </si>
  <si>
    <t>Drain de diamètre 150 mm et accessoires</t>
  </si>
  <si>
    <t>6.16.3</t>
  </si>
  <si>
    <t>6.16.4</t>
  </si>
  <si>
    <t>6.16.5</t>
  </si>
  <si>
    <t>Drain de diamètre 315 mm et accessoires</t>
  </si>
  <si>
    <t>6.16.6</t>
  </si>
  <si>
    <t>Drain de diamètre 350 mm et accessoires</t>
  </si>
  <si>
    <t>7</t>
  </si>
  <si>
    <t>FOURNITURE ET POSE DE FOURREAUX EN TRANCHEE OUVERTE</t>
  </si>
  <si>
    <t>7.1</t>
  </si>
  <si>
    <t>DEPOSE ET EVACUATION DE FOURREAU</t>
  </si>
  <si>
    <t>Ces prix rémunèrent au mètre linéaire, la dépose et l'évacuation de fourreau quelle que soit la nature.</t>
  </si>
  <si>
    <t>˗ les piquages et les sondages nécessaires à la dépose,</t>
  </si>
  <si>
    <t>˗ la dépose de fourreau quelle que soit leur nature,</t>
  </si>
  <si>
    <t>˗ l’enlèvement, le transport et le déchargement en centre de stockage et de traitement des fourreaux déposés, droits de décharge compris.</t>
  </si>
  <si>
    <r>
      <t xml:space="preserve">Dépose et évacuation de fourreau de diamètre </t>
    </r>
    <r>
      <rPr>
        <b/>
        <sz val="10"/>
        <rFont val="Calibri"/>
        <family val="2"/>
      </rPr>
      <t>≤</t>
    </r>
    <r>
      <rPr>
        <b/>
        <sz val="10"/>
        <rFont val="Arial"/>
        <family val="2"/>
      </rPr>
      <t xml:space="preserve"> 100 mm</t>
    </r>
  </si>
  <si>
    <t>Dépose et évacuation de fourreau de diamètre &gt; 100 mm</t>
  </si>
  <si>
    <t>7.2</t>
  </si>
  <si>
    <t>FOURNITURE ET POSE EN TRANCHEE OUVERTE DE FOURREAU EN PE TYPE TPC ET SES ACCESSOIRES</t>
  </si>
  <si>
    <t>Ces prix rémunèrent au mètre linéaire la fourniture et la pose de fourreaux en PE type TPC de couleur rouge, jaune ou bleu aiguillé et de ses accessoires (coudes, Tés, …). Le fourreau sera posé dans la tranchée réalisée à cet effet.</t>
  </si>
  <si>
    <t>˗ la fourniture, le transport, le déchargement, la pose et le calage des fourreaux, y compris tous les éventuels accessoires nécessaires (coudes, Tés, …)</t>
  </si>
  <si>
    <t>˗ toutes  les sujétions  pour la fourniture  et la  mise  en  place des  matériaux d'enrobage des fourreaux,</t>
  </si>
  <si>
    <t>˗ y compris toutes sujetions d'exécution.</t>
  </si>
  <si>
    <t>Fourreau de diamètre 40 mm et accessoires</t>
  </si>
  <si>
    <t>Fourreau de diamètre 63 mm et accessoires</t>
  </si>
  <si>
    <t>Fourreau de diamètre 90 mm et accessoires</t>
  </si>
  <si>
    <t>7.2.4</t>
  </si>
  <si>
    <t>Fourreau de diamètre 110 mm et accessoires</t>
  </si>
  <si>
    <t>7.2.5</t>
  </si>
  <si>
    <t>Fourreau de diamètre 160 mm et accessoires</t>
  </si>
  <si>
    <t>7.2.6</t>
  </si>
  <si>
    <t>Fourreau de diamètre 200 mm et accessoires</t>
  </si>
  <si>
    <t>7.3</t>
  </si>
  <si>
    <t>FOURNITURE ET POSE EN TRANCHEE OUVERTE DE FOURREAU EN PVC TYPE LST ET DE SES ACCESSOIRES</t>
  </si>
  <si>
    <t>Ces prix rémunèrent au mètre linéaire la fourniture et la pose de fourreau en PVC type LST et de ses accessoires  (coudes, Té, …). Le fourreau sera posé dans la tranchée réalisée à cet effet.</t>
  </si>
  <si>
    <t>˗ la fourniture, le transport, le déchargement, la pose et le calage des fourreaux,</t>
  </si>
  <si>
    <t>˗ y compris les éventuels accessoires nécessaires (coudes de grand rayon),</t>
  </si>
  <si>
    <t>˗ toutes  les sujétions concernant la fourniture et la mise en place des matériaux d'enrobage du fourreau,</t>
  </si>
  <si>
    <t>7.3.1</t>
  </si>
  <si>
    <t>Fourreau LST Ø 25/28 mm</t>
  </si>
  <si>
    <t>7.3.2</t>
  </si>
  <si>
    <t>Fourreau LST Ø 30/33 mm</t>
  </si>
  <si>
    <t>7.3.3</t>
  </si>
  <si>
    <t>Fourreau LST Ø 42/45 mm</t>
  </si>
  <si>
    <t>7.3.4</t>
  </si>
  <si>
    <t>Fourreau LST Ø 56/60 mm</t>
  </si>
  <si>
    <t>7.3.5</t>
  </si>
  <si>
    <t>Fourreau LST Ø 75/80 mm</t>
  </si>
  <si>
    <t>7.4</t>
  </si>
  <si>
    <t>FOURNITURE ET POSE EN TRANCHEE OUVERTE D'UNE CABLETTE DE CUIVRE 25 MM2</t>
  </si>
  <si>
    <t>Ces prix rémunèrent au mètre linéaire la fourniture et la pose d'une cablette de cuivre 25 mm2. Le câble sera posé dans la tranchée réalisée à cet effet.</t>
  </si>
  <si>
    <t>˗ la fourniture, le transport, le déchargement, la pose et le calage de la cablette, y compris tous les éventuels accessoires nécessaires.</t>
  </si>
  <si>
    <t>˗ toutes  les sujétions  pour la fourniture  et la  mise  en  place des  matériaux d'enrobage ,</t>
  </si>
  <si>
    <t>˗ y compris toutes sujestions d'exécution.</t>
  </si>
  <si>
    <t>8</t>
  </si>
  <si>
    <t>ENFOUISSEMENT DE RESEAUX EDF ET TELECOM</t>
  </si>
  <si>
    <t>ETUDES</t>
  </si>
  <si>
    <t>8.1.1</t>
  </si>
  <si>
    <t>Forfait d'étude de reprise de branchement pour un branchement de particulier - Enquête riverain ENEDIS/TELECOM</t>
  </si>
  <si>
    <t>Ce prix rémunère au forfait l'étude de reprise de branchement pour un particulier.</t>
  </si>
  <si>
    <t>˗ tous les échanges avec le riverain y compris les enquêtes necessaires aux raccordements,</t>
  </si>
  <si>
    <t>˗ toutes les visites sur site,</t>
  </si>
  <si>
    <t>˗ l'établissement de plans d'exécution,</t>
  </si>
  <si>
    <t>˗ l'établissement d'un devis.</t>
  </si>
  <si>
    <t>8.1.1.1</t>
  </si>
  <si>
    <t>8.1.1.2</t>
  </si>
  <si>
    <t>8.1.1.3</t>
  </si>
  <si>
    <t>8.1.2</t>
  </si>
  <si>
    <t>Forfait d'étude réseaux ENEDIS - ARTICLE R323-25</t>
  </si>
  <si>
    <t>Ce prix rémunère au forfait l'étude de réseaux ENEDIS conformement à l'article R323-25.</t>
  </si>
  <si>
    <t>˗ tous les échanges avec le gestionnaire</t>
  </si>
  <si>
    <t>˗ toutes les visites necessaire à la parfaite exécution</t>
  </si>
  <si>
    <t>˗ l'établissement de plans, procédures,…</t>
  </si>
  <si>
    <t>˗ toutes sujétions particulières d'exécution.</t>
  </si>
  <si>
    <t>8.1.2.1</t>
  </si>
  <si>
    <t>8.1.2.2</t>
  </si>
  <si>
    <t>8.1.2.3</t>
  </si>
  <si>
    <t>8.1.3</t>
  </si>
  <si>
    <t>Forfait d'étude CAMELIA pour dimensionnement de poteaux d'arrêt</t>
  </si>
  <si>
    <t>Ce prix rémunère au forfait l'étude type CAMELIA pour le dimensionnement des poteaux d'arrêt.</t>
  </si>
  <si>
    <t>˗ toutes les visites nécessaires à la parfaite exécution</t>
  </si>
  <si>
    <t>˗ l'établissement de plans, élévation, note de calculs et reprises de calculs</t>
  </si>
  <si>
    <t>˗ toutes sujétions particulières</t>
  </si>
  <si>
    <t>8.2</t>
  </si>
  <si>
    <t>GENIE CIVIL BRANCHEMENTS PARTICULIERS EN DOMAINE PRIVE y compris réfections à l'identique</t>
  </si>
  <si>
    <t>Branchement ENEDIS seul y compris fourreaux TPC</t>
  </si>
  <si>
    <t>Ce prix rémunère à l'unité la confection d'un nouveau branchement ENEDIS d'un particulier en domaine privé sous revêtement type terre ou béton (armé).</t>
  </si>
  <si>
    <t>- La dépose soignée du revêtement existant avec apport de matériaux si nécessaire pour reconstitution à l'identique,
- Le terrassement manuel en terrain de toute nature,
- Le chargement et l'évacuation des produits de démolition aux décharges publiques y compris toutes redevances,
- Les fourreaux de raccordement,
- La fourniture et la pose de grillage plastique,
- Le remblaiement de la tranchée avec du sablon ou du sable sur une hauteur de 30 cm ainsi qu'avec les déblais purgés de tous matériaux pouvant endommagés les fourreaux posés,
- La fourniture et la mise en place, l'entretien et la dépose le long de la tranchée d'un barrierage,</t>
  </si>
  <si>
    <t>˗ La réfection à l'indentique,</t>
  </si>
  <si>
    <t>˗ Toutes sujétions particulières,</t>
  </si>
  <si>
    <t>Branchement TELECOM seul y compris regard 30x30 tampon béton/fonte et fourreaux PVC 25/28</t>
  </si>
  <si>
    <t>Ce prix rémunère à l'unité la confection d'un nouveau branchement TELECOM d'un particulier en domaine privé sous revêtement type terre ou béton (armé).</t>
  </si>
  <si>
    <t>- La dépose soignée du revêtement existant avec apport de matériaux si nécessaire pour reconstitution à l'identique,
- Le terrassement manuel en terrain de toute nature,
- Le chargement et l'évacuation des produits de démolition aux décharges publiques y compris toutes redevances,
- La fourniture et la pose d'un regard 30x30 y compris cadre et tampon en béton ou fonte,
- Les fourreaux de raccordement,
- La fourniture et la pose de grillage plastique,
- Le remblaiement de la tranchée avec du sablon ou du sable sur une hauteur de 30 cm ainsi qu'avec les déblais purgés de tous matériaux pouvant endommagés les fourreaux posés,
- La fourniture et la mise en place, l'entretien et la dépose le long de la tranchée d'un barrierage,</t>
  </si>
  <si>
    <t>˗ Toutes sujétions particulières.</t>
  </si>
  <si>
    <t>Branchement mixte ENEDIS / TELECOM y compris fourreaux</t>
  </si>
  <si>
    <t>Ce prix rémunère à l'unité la confection d'un nouveau branchement ENEDIS et TELECOM d'un particulier en domaine privé sous revêtement type terre ou béton (armé).</t>
  </si>
  <si>
    <t>- La dépose soignée du revêtement existant avec apport de matériaux si nécessaire pour reconstitution à l'identique,
- Le terrassement  manuel en terrain de toute nature,
- Le chargement et l'évacuation des produits de démolition aux décharges publiques y compris toutes redevances,
- La fourniture et la pose d'un regard 30x30 y compris cadre et tampon en acier ou fonte,
- Les fourreaux de raccordement,
- La fourniture et la pose de grillage plastique,
- Le remblaiement de la tranchée avec du sablon ou du sable sur une hauteur de 30 cm ainsi qu'avec les déblais purgés de tous matériaux pouvant endommagés les fourreaux posés,
- La fourniture et la mise en place, l'entretien et la dépose le long de la tranchée d'un barrierage,</t>
  </si>
  <si>
    <t>˗ La réfection à l'identique,</t>
  </si>
  <si>
    <t>Plus value aux prix 8.2.1 à 8.2.3 pour longueur de terrassement supérieure à 15 ml</t>
  </si>
  <si>
    <t>Percement de mur, planchers, dalles, …</t>
  </si>
  <si>
    <t>Ce prix rémunère à l'unité le percement de mur, de dallage ou de planchers pour le passage des câbles et fourreaux contenant un câble.</t>
  </si>
  <si>
    <t>- Le percement soigné de mur, de dallage ou de plancher,</t>
  </si>
  <si>
    <t>- La fourniture et la mise en place d'un ou plusieurs fourreaux de traversée,</t>
  </si>
  <si>
    <t>- La réalisation des reprises d'étanchéité et réfections d'enduits intérieurs et extérieurs,</t>
  </si>
  <si>
    <r>
      <rPr>
        <b/>
        <sz val="10"/>
        <rFont val="Arial"/>
        <family val="2"/>
      </rPr>
      <t>˗</t>
    </r>
    <r>
      <rPr>
        <sz val="10"/>
        <rFont val="Arial"/>
        <family val="2"/>
      </rPr>
      <t xml:space="preserve"> Toutes sujétions particulières.</t>
    </r>
  </si>
  <si>
    <t>8.3</t>
  </si>
  <si>
    <t>GENIE CIVIL SUR LE DOMAINE PUBLIC ENEDIS ET TELECOM</t>
  </si>
  <si>
    <t>Ce prix rémunère au mètre linéaire la réalisation d'une tranchée sous trottoir ou chaussée jusqu'à 1,00m de profondeur. La largeur de la tranchée sera cohérente avec le nombre de canalisation mise en oeuvre. 
Ce prix comprend :
- La démolition du revêtement de trottoir ou de chaussée quel que soit le matériau y compris la découpe soignée à la scie,
- La démolition de la fondation quel que soit le matériau,
- Le terrassement mécanique ou manuel en terrain de toute nature,
- Le chargement et l'évacuation des produits de démolition aux décharges publiques y compris toutes redevances,
- La fourniture et la pose de grillage plastique,
- Le remblaiement de la tranchée avec du sablon ou du sable de rivière selon le cas,
- La fourniture et la mise en oeuvre de grave béton concassée 0/20 ou 0/31.5 et d'enrobé type BB ou BBSG,
- La fourniture et la mise en place, l'entretien et la dépose le long de la tranchée d'un barrierage (barrières ou GBA) conforme ainsi que des ponts (quel que soit le type) nécessaires à l'exécution.</t>
  </si>
  <si>
    <t>Pour un réseau</t>
  </si>
  <si>
    <t>Pour deux réseaux</t>
  </si>
  <si>
    <t>Pour trois réseaux (largeur de tranchée 0,60m)</t>
  </si>
  <si>
    <t>Pour quatre réseaux (largeur de tranchée 0,70m)</t>
  </si>
  <si>
    <t>Pour cinq réseaux (largeur de tranchée 0,80m)</t>
  </si>
  <si>
    <t>Plus value pour terrassement en techniques douces (aspiratrice ou manuelle)</t>
  </si>
  <si>
    <t>8.4</t>
  </si>
  <si>
    <t>ENEDIS</t>
  </si>
  <si>
    <t>Mise en chantier de raccordement de branchement électrique individuel</t>
  </si>
  <si>
    <t>Ce prix rémunère à l'unité la mise en chantier de branchement.</t>
  </si>
  <si>
    <t>˗ les démolitions, terrassement, blindage, remblaiement, réfections,</t>
  </si>
  <si>
    <t>˗ la dépose de branchement existant si nécessaire,</t>
  </si>
  <si>
    <t>˗ la création du nouveau branchement,</t>
  </si>
  <si>
    <t>˗ la mise en service et les essais nécessaires,</t>
  </si>
  <si>
    <t>Déposes de coffrets ou de réseaux aériens</t>
  </si>
  <si>
    <t>Ces prix rémunèrent à l'unité la dépose de branchement aérien, de coffret.</t>
  </si>
  <si>
    <t>˗ la mise hors tension (y compris démarches pour l'obtention des autorisations nécessaires),</t>
  </si>
  <si>
    <t>˗ la dépose de branchement existant ou du coffret,</t>
  </si>
  <si>
    <t>˗ la réfection à l'identique,</t>
  </si>
  <si>
    <t>8.4.2.1</t>
  </si>
  <si>
    <t>Dépose de coffret</t>
  </si>
  <si>
    <t>8.4.2.1.1</t>
  </si>
  <si>
    <t>Dépose de coffret de branchement en limite de propriété</t>
  </si>
  <si>
    <t>8.4.2.1.2</t>
  </si>
  <si>
    <t>Dépose de coffret réseau</t>
  </si>
  <si>
    <t>8.4.2.1.3</t>
  </si>
  <si>
    <t>Dépose de coffret existant et pose d'un nouveau coffret de branchement hors ou sous tension</t>
  </si>
  <si>
    <t>8.4.2.1.4</t>
  </si>
  <si>
    <t>Plus-value aux prix 8.4.2.1 pour dépose d'un coffret encastré</t>
  </si>
  <si>
    <t>8.4.2.2</t>
  </si>
  <si>
    <t>Dépose des éléments aériens</t>
  </si>
  <si>
    <t>8.4.2.2.1</t>
  </si>
  <si>
    <t>Dépose de branchement existant aérien torsadé avec potelet en toiture ou cheminement en façade posé sur collet de moins de 5 m</t>
  </si>
  <si>
    <t>8.4.2.2.2</t>
  </si>
  <si>
    <t>Dépose de branchement existant aérien torsadé avec potelet en toiture ou cheminement en façade posé sur collet de plus de 5 m</t>
  </si>
  <si>
    <t>8.4.2.2.3</t>
  </si>
  <si>
    <t>Dépose de branchement existant aérien cuivre nu avec potelet en toiture ou cheminement en façade posé sur collet de moins de 5 m</t>
  </si>
  <si>
    <t>8.4.2.2.4</t>
  </si>
  <si>
    <t>Dépose de branchement existant aérien cuivre nu avec potelet en toiture ou cheminement en façade posé sur collet de plus de 5 m</t>
  </si>
  <si>
    <t>8.4.2.2.5</t>
  </si>
  <si>
    <t>Dépose de conducteurs aériens torsadés de toutes sections</t>
  </si>
  <si>
    <t>8.4.2.2.6</t>
  </si>
  <si>
    <t>Dépose de conducteurs aériens en cuivre nu</t>
  </si>
  <si>
    <t xml:space="preserve">Moins-value pour récupération de cuivre </t>
  </si>
  <si>
    <t>Kg</t>
  </si>
  <si>
    <t>Dépose de conducteurs aériens en nus ou torsadés en façade y compris potences et équipements</t>
  </si>
  <si>
    <t>Dépose de boîte piano en façade</t>
  </si>
  <si>
    <t>Dépose de potence et réfection à l'identique au droit des scellements sur la façade</t>
  </si>
  <si>
    <t>Dépose de remontée aéro-souterraine</t>
  </si>
  <si>
    <t>Déposes et évacuation de poteaux d'alignement en bois y compris démolition du massif et de la colerette béton</t>
  </si>
  <si>
    <t xml:space="preserve">Ce prix rémunère à l'unité la dépose et l'évacuation de poteau bois y compris la démolition de son massif ou de sa colerette </t>
  </si>
  <si>
    <t>˗ la démolition de la colerette,</t>
  </si>
  <si>
    <t>˗ le chargement, le transport, le déchargement vers le site de traitement y compris tout droit de redevances,</t>
  </si>
  <si>
    <t>˗ la prise en compte de toutes les prescriptions et préconisations Orange,</t>
  </si>
  <si>
    <t>˗ l'évacuation dans un centre de stockage Orange,</t>
  </si>
  <si>
    <t>˗ la mise à jour des fiches Gespots,</t>
  </si>
  <si>
    <t>8.4.8.1</t>
  </si>
  <si>
    <t>hauteur &lt;12m</t>
  </si>
  <si>
    <t>8.4.8.2</t>
  </si>
  <si>
    <t>hauteur ≥12m</t>
  </si>
  <si>
    <t xml:space="preserve">Déposes et évacuation de poteaux d'alignement en béton y compris démolition du massif </t>
  </si>
  <si>
    <t>Ce prix rémunère à l'unité la dépose et l'évacuation de poteau béton y compris la démolition de son massif.</t>
  </si>
  <si>
    <t>˗ la démolition du massif,</t>
  </si>
  <si>
    <t>˗ le chargement, le transport, le déchargement vers le site de traitement agrée y compris tout droit de redevances,</t>
  </si>
  <si>
    <t>8.4.9.1</t>
  </si>
  <si>
    <t>8.4.9.2</t>
  </si>
  <si>
    <t xml:space="preserve">Déposes et évacuation de poteaux d'arrêts y compris démolition du massif </t>
  </si>
  <si>
    <t>Ce prix rémunère à l'unité la dépose et l'évacuation de poteau d'arrêt y compris la démolition de son massif.</t>
  </si>
  <si>
    <t>˗ le chargement, le transport, le déchargement vers le site de traitement agrée,</t>
  </si>
  <si>
    <t>8.4.10.1</t>
  </si>
  <si>
    <t>8.4.10.2</t>
  </si>
  <si>
    <t xml:space="preserve">Dépose des équipements de poteaux (CL,ISO,...) </t>
  </si>
  <si>
    <t>Ce prix rémunère à l'unité la dépose d'équipements divers présents sur les poteaux bois, d'alignement ou d'arrêt du type CL, ISO, ferrure...</t>
  </si>
  <si>
    <t>8.4.12</t>
  </si>
  <si>
    <t>Fourniture et pose de coffrets y compris raccordements</t>
  </si>
  <si>
    <t>Ce prix rémunère à l'unité, la fourniture et pose de coffrets entièrement équipés conformément aux prescriptions ENEDIS.</t>
  </si>
  <si>
    <t>- le transport à pied d'oeuvre du coffret ;</t>
  </si>
  <si>
    <t>˗ le chargement, le transport, le déchargement à pied d'œuvre de coffret, grillage, socle, câble téléreport, boîtier téléreport, concentrateur, interface de sécurité au lieu désigné par le maître d'ouvrage,</t>
  </si>
  <si>
    <t>- la remontée de fourreaux encastrés, le percement de maçonneries, les saignées, les scellements, les raccords de maçonnerie et enduit, les calfeutrements et les raccordements des câbles sous ou hors tension,</t>
  </si>
  <si>
    <t>- toutes sujétions particulières d'éxécution.</t>
  </si>
  <si>
    <t>8.4.12.1</t>
  </si>
  <si>
    <t>Fourniture et pose de coffret CIBE yc kit de raccordement et fusibles et couteau type AD</t>
  </si>
  <si>
    <t>8.4.12.2</t>
  </si>
  <si>
    <t>Fourniture et pose de coffret CIBE grand volume équipé</t>
  </si>
  <si>
    <t>8.4.12.3</t>
  </si>
  <si>
    <t>Fourniture et pose de coffret CIBE double pour branchement type 2 yc platine compteur/disjoncteur, kits de raccordement, fusible et couteau type AD</t>
  </si>
  <si>
    <t>8.4.12.4</t>
  </si>
  <si>
    <t>Fourniture et pose de coffret ou borne type S22</t>
  </si>
  <si>
    <t>8.4.12.5</t>
  </si>
  <si>
    <t>Fourniture et pose de coffret ou borne type S20</t>
  </si>
  <si>
    <t>8.4.12.6</t>
  </si>
  <si>
    <t>Fourniture et pose de coffret ECP 3D équipé</t>
  </si>
  <si>
    <t>8.4.13</t>
  </si>
  <si>
    <t>Fourniture et pose de coffret REMBT équipé</t>
  </si>
  <si>
    <t>8.4.13.1</t>
  </si>
  <si>
    <t>6 plages</t>
  </si>
  <si>
    <t>8.4.13.2</t>
  </si>
  <si>
    <t>9 plages</t>
  </si>
  <si>
    <t>8.4.13.3</t>
  </si>
  <si>
    <t>12 plages</t>
  </si>
  <si>
    <t>8.4.14</t>
  </si>
  <si>
    <t xml:space="preserve">Plus-value pour fourniture d'un RCP400 </t>
  </si>
  <si>
    <t>Ce prix rémunère à l'unité la plus-value pour la fourniture, pose et installation d'un module RCP 400.</t>
  </si>
  <si>
    <t>- le transport à pied d'oeuvre de l'équipement et les moyens de mis en oeuvre ;</t>
  </si>
  <si>
    <r>
      <rPr>
        <b/>
        <sz val="10"/>
        <rFont val="Arial"/>
        <family val="2"/>
      </rPr>
      <t>˗</t>
    </r>
    <r>
      <rPr>
        <sz val="10"/>
        <rFont val="Arial"/>
        <family val="2"/>
      </rPr>
      <t xml:space="preserve"> le raccordement,</t>
    </r>
  </si>
  <si>
    <t>8.4.15</t>
  </si>
  <si>
    <t>Plus-value par départ de branchement 4x35 fusiblé</t>
  </si>
  <si>
    <t>Ce prix rémunère à l'unité la plus-value pour l'ajout d'un départ de branchement  de section  4x35mm² fusiblé.</t>
  </si>
  <si>
    <t>- le transport à pied d'oeuvre du matériel nécessaire à l'éxécution,</t>
  </si>
  <si>
    <t>8.4.16</t>
  </si>
  <si>
    <t>Fourniture et pose d'un coffret C400-P200 équipé</t>
  </si>
  <si>
    <t>Ce prix rémunère à l'unité, la fourniture et pose de coffrets C400-P200 équipé conformément aux prescriptions ENEDIS.</t>
  </si>
  <si>
    <r>
      <rPr>
        <b/>
        <sz val="10"/>
        <rFont val="Arial"/>
        <family val="2"/>
      </rPr>
      <t xml:space="preserve">˗ </t>
    </r>
    <r>
      <rPr>
        <sz val="10"/>
        <rFont val="Arial"/>
        <family val="2"/>
      </rPr>
      <t>le chargement, le transport, le déchargement à pied d'œuvre de coffret, grillage, socle, câble téléreport, boîtier téléreport, concentrateur, interface de sécurité au lieu désigné par le maître d'ouvrage.</t>
    </r>
  </si>
  <si>
    <t>- la remontée de fourreaux encastrés, le percement de maçonneries, les saignées, les scellements, les raccords de maçonnerie et d'enduit, les calfeutrements et les raccordements des câbles sous ou hors tension,</t>
  </si>
  <si>
    <t>8.4.17</t>
  </si>
  <si>
    <t>Fourniture et pose de coffret pied de colonne 200 A</t>
  </si>
  <si>
    <t>Ce prix rémunère à l'unité, la fourniture et pose de coffrets pied de colonne 200A équipé conformément aux prescriptions ENEDIS.</t>
  </si>
  <si>
    <t>˗ le chargement, le transport, le déchargement à pied d'œuvre de coffret, cornets, grillage, socle, câble téléreport, boîtier téléreport, concentrateur, interface de sécurité au lieu désigné par le maître d'ouvrage,</t>
  </si>
  <si>
    <t>8.4.18</t>
  </si>
  <si>
    <t>Fourniture et pose de coffret pour grille fausse coupure équipé</t>
  </si>
  <si>
    <t>Ce prix rémunère à l'unité, la fourniture et pose de coffrets pour grille fausse coupure équipés conformément aux prescriptions ENEDIS.</t>
  </si>
  <si>
    <t>- le transport à pied d'oeuvre du coffret,</t>
  </si>
  <si>
    <r>
      <rPr>
        <b/>
        <sz val="10"/>
        <rFont val="Arial"/>
        <family val="2"/>
      </rPr>
      <t xml:space="preserve">˗ </t>
    </r>
    <r>
      <rPr>
        <sz val="10"/>
        <rFont val="Arial"/>
        <family val="2"/>
      </rPr>
      <t>le chargement, le transport, le déchargement à pied d'œuvre de coffret, cornets, grillage, socle, câble téléreport, boîtier téléreport, concentrateur, interface de sécurité au lieu désigné par le maître d'ouvrage,</t>
    </r>
  </si>
  <si>
    <t>8.4.19</t>
  </si>
  <si>
    <t>Plus value appliquée aux prix n°8.4.12.1 à 8.4.12.6, 8.4.13 et 8.4.16 à 8.4.18 pour confection d'une niche d'encastrement y compris saignée et scellement du coffret</t>
  </si>
  <si>
    <t>Ce prix rémunère à l'unité la plus-value pour la confection d'une niche d'encastrement.</t>
  </si>
  <si>
    <t>- le transport à pied d'œuvre du matériel nécessaire à l'éxécution,</t>
  </si>
  <si>
    <r>
      <rPr>
        <b/>
        <sz val="10"/>
        <rFont val="Arial"/>
        <family val="2"/>
      </rPr>
      <t xml:space="preserve">˗ </t>
    </r>
    <r>
      <rPr>
        <sz val="10"/>
        <rFont val="Arial"/>
        <family val="2"/>
      </rPr>
      <t>la confection de passage nécessaire aux fourreaux,</t>
    </r>
  </si>
  <si>
    <r>
      <rPr>
        <b/>
        <sz val="10"/>
        <rFont val="Arial"/>
        <family val="2"/>
      </rPr>
      <t xml:space="preserve">˗ </t>
    </r>
    <r>
      <rPr>
        <sz val="10"/>
        <rFont val="Arial"/>
        <family val="2"/>
      </rPr>
      <t>la maçonnerie et finition,</t>
    </r>
  </si>
  <si>
    <t>8.4.20</t>
  </si>
  <si>
    <t>Fourniture et mise en œuvre de câble aérien PRC Alu sur poteau</t>
  </si>
  <si>
    <t>Ce prix rémunère au mètre linéaire la fourniture, pose et installation de câble PRC en aluminium sur poteau.</t>
  </si>
  <si>
    <t xml:space="preserve">- le transport à pied d'œuvre du câble, </t>
  </si>
  <si>
    <r>
      <rPr>
        <b/>
        <sz val="10"/>
        <rFont val="Arial"/>
        <family val="2"/>
      </rPr>
      <t>˗</t>
    </r>
    <r>
      <rPr>
        <sz val="10"/>
        <rFont val="Arial"/>
        <family val="2"/>
      </rPr>
      <t xml:space="preserve"> les accessoires de raccordement,</t>
    </r>
  </si>
  <si>
    <t>8.4.20.1</t>
  </si>
  <si>
    <t>PRC 25 mm2</t>
  </si>
  <si>
    <t>8.4.20.2</t>
  </si>
  <si>
    <t>PRC 35 mm2</t>
  </si>
  <si>
    <t>8.4.20.3</t>
  </si>
  <si>
    <t>PRC 70 mm2</t>
  </si>
  <si>
    <t>8.4.20.4</t>
  </si>
  <si>
    <t>PRC 95 mm2</t>
  </si>
  <si>
    <t>8.5</t>
  </si>
  <si>
    <t>TELEREPORT</t>
  </si>
  <si>
    <t>Ces prix rémunèrent au mètre linéaire la fourniture et pose d'un cable de téléreport en tranchée et de ses accessoires. Le câble sera posé dans la tranchée réalisée à cet effet.</t>
  </si>
  <si>
    <t>˗ la fourniture, le transport, le déchargement, la pose et le calage des câbles,</t>
  </si>
  <si>
    <t>˗ y compris les éventuels accessoires nécessaires,</t>
  </si>
  <si>
    <t>˗ toutes les sujétions concernant les découpes nécessaires,</t>
  </si>
  <si>
    <t>˗ les sujétions particulières de raccordement sur les ouvrages amont et aval y compris toutes les sujétions d'exécution.</t>
  </si>
  <si>
    <t>Pose de câble sous terre (avec ou sans fourreau) et câble téléreport</t>
  </si>
  <si>
    <t>Pose d'un câble de téléreport en façade ou partie intérieure</t>
  </si>
  <si>
    <t>Pose d'une embase de téléreport, y compris les raccordements</t>
  </si>
  <si>
    <t>Plus-value en fourniture pour barrette de connexion pour câble de téléreport</t>
  </si>
  <si>
    <t>Plus-value en fourniture pour porte équipée d'embase de téléreport</t>
  </si>
  <si>
    <t>Mise à terre de l'écran du bus téléreport, y compris fourniture et pose de cablette de terre ou piquet</t>
  </si>
  <si>
    <t>8.6</t>
  </si>
  <si>
    <t>CONFECTION D'ACCESSOIRES BT</t>
  </si>
  <si>
    <t>Fourniture et confection de boîte de dérivation coulée</t>
  </si>
  <si>
    <t>Ces prix rémunèrent à l'unité la fourniture, la pose, le raccordement et la confection de boîte de dérivation.</t>
  </si>
  <si>
    <t>˗ la fourniture et la pose de boîte de jonction ou de dérivation,</t>
  </si>
  <si>
    <t>˗ tous raccordements compris,</t>
  </si>
  <si>
    <t>8.6.1.1</t>
  </si>
  <si>
    <t>type JDS 240-150</t>
  </si>
  <si>
    <t>8.6.1.2</t>
  </si>
  <si>
    <t>type JDDI 150-35 (double dérivation)</t>
  </si>
  <si>
    <t>Fourniture et confection de boîte de jonction BT y compris raccordements</t>
  </si>
  <si>
    <t>Ces prix rémunèrent à l'unité la fourniture, la pose, le raccordement et la confection de boîte de jonction.</t>
  </si>
  <si>
    <t>8.6.2.1</t>
  </si>
  <si>
    <t>Jonction alu-alu/cu yc MALT</t>
  </si>
  <si>
    <t>8.6.2.1.1</t>
  </si>
  <si>
    <t>Boite de jonction par injection type JNI 95-95</t>
  </si>
  <si>
    <t>8.6.2.1.2</t>
  </si>
  <si>
    <t>Boite de jonction par injection type JNI 240-95</t>
  </si>
  <si>
    <t>8.6.2.1.3</t>
  </si>
  <si>
    <t>Boite de jonction par injection type JNI 240-150</t>
  </si>
  <si>
    <t>8.6.2.1.4</t>
  </si>
  <si>
    <t>Boite de jonction par injection type JNI 240-240</t>
  </si>
  <si>
    <t>8.6.2.1.5</t>
  </si>
  <si>
    <t>Boite de jonction coulée type JNC 240-95</t>
  </si>
  <si>
    <t>8.6.2.1.6</t>
  </si>
  <si>
    <t>Boite de jonction coulée type JNC 240-150</t>
  </si>
  <si>
    <t>8.6.2.1.7</t>
  </si>
  <si>
    <t>Boite de jonction coulée type JNC 240-240</t>
  </si>
  <si>
    <t>8.6.2.1.8</t>
  </si>
  <si>
    <t>Boite de jonction thermorétractable type JRRB</t>
  </si>
  <si>
    <t>8.6.2.1.9</t>
  </si>
  <si>
    <t>Boite de jonction thermorétractable type JR2V</t>
  </si>
  <si>
    <t>8.6.2.2</t>
  </si>
  <si>
    <t>Jonction alu/cu-papier yc MALT</t>
  </si>
  <si>
    <t>8.6.2.2.1</t>
  </si>
  <si>
    <t>Boite de jonction par injection type JNI-CPI 240-95</t>
  </si>
  <si>
    <t>8.6.2.2.2</t>
  </si>
  <si>
    <t>Boite de jonction par injection type JNI-CPI 240-150</t>
  </si>
  <si>
    <t>8.6.2.2.3</t>
  </si>
  <si>
    <t>Boite de jonction par injection type JNI-CPI 240-240</t>
  </si>
  <si>
    <t>8.6.2.3</t>
  </si>
  <si>
    <t>Boite de branchement BT yc MALT</t>
  </si>
  <si>
    <t>8.6.2.3.1</t>
  </si>
  <si>
    <t>Boite de branchement simple par injection type SDI 240-35 TRI ou MONO</t>
  </si>
  <si>
    <t>8.6.2.3.2</t>
  </si>
  <si>
    <t>Boite de branchement double coulée type DDC 240-35</t>
  </si>
  <si>
    <t>RESEAU AERIEN</t>
  </si>
  <si>
    <t>8.6.3.1</t>
  </si>
  <si>
    <t xml:space="preserve">Fourniture et pose d'un poteau d'arrêt en béton armé </t>
  </si>
  <si>
    <t>Ce prix rémunère à l'unité la fourniture et pose de poteau d'arrêt en béton armé équipé.
Ce prix comprend :
- le transport, le déchargement, la pose de poteau béton armé équipé,
- l'ouverture de la fouille,
- la confection du massif,
- le calage,</t>
  </si>
  <si>
    <t>- toutes autres sujétions d'execution.</t>
  </si>
  <si>
    <t>8.6.3.1.1</t>
  </si>
  <si>
    <t>8.6.3.1.2</t>
  </si>
  <si>
    <t>8.6.3.2</t>
  </si>
  <si>
    <t>Réalisation d'un arrêt de ligne aérienne existante</t>
  </si>
  <si>
    <t>Ce prix rémunère à l'unité la réalisation d'un arrêt de ligne aérienne existante.</t>
  </si>
  <si>
    <r>
      <rPr>
        <b/>
        <sz val="10"/>
        <rFont val="Arial"/>
        <family val="2"/>
      </rPr>
      <t xml:space="preserve">˗ </t>
    </r>
    <r>
      <rPr>
        <sz val="10"/>
        <rFont val="Arial"/>
        <family val="2"/>
      </rPr>
      <t>l'amenée et le repli de tout matériel nécessaire à la bonne exécution,</t>
    </r>
  </si>
  <si>
    <r>
      <rPr>
        <b/>
        <sz val="10"/>
        <rFont val="Arial"/>
        <family val="2"/>
      </rPr>
      <t xml:space="preserve">˗ </t>
    </r>
    <r>
      <rPr>
        <sz val="10"/>
        <rFont val="Arial"/>
        <family val="2"/>
      </rPr>
      <t>les sujétions particulières de raccordement sur les ouvrages amont et aval,</t>
    </r>
  </si>
  <si>
    <t>- tous autres sujétions d'exécution.</t>
  </si>
  <si>
    <t>8.6.3.3</t>
  </si>
  <si>
    <t>Reprise de branchement en aérien sur un nouveau support</t>
  </si>
  <si>
    <t>Ce prix rémunère à l'unité la réalisation d'une reprise de branchement suite à la mise en place d'un nouveau support.</t>
  </si>
  <si>
    <r>
      <rPr>
        <b/>
        <sz val="10"/>
        <rFont val="Arial"/>
        <family val="2"/>
      </rPr>
      <t>˗</t>
    </r>
    <r>
      <rPr>
        <sz val="10"/>
        <rFont val="Arial"/>
        <family val="2"/>
      </rPr>
      <t xml:space="preserve"> l'amenée et le repli de tout matériel nécessaire à la bonne exécution,</t>
    </r>
  </si>
  <si>
    <r>
      <rPr>
        <b/>
        <sz val="10"/>
        <rFont val="Arial"/>
        <family val="2"/>
      </rPr>
      <t>˗</t>
    </r>
    <r>
      <rPr>
        <sz val="10"/>
        <rFont val="Arial"/>
        <family val="2"/>
      </rPr>
      <t xml:space="preserve"> les sujétions particulières de raccordement sur les ouvrages amont et aval,</t>
    </r>
  </si>
  <si>
    <t>- toutes autres sujétions d'exécution.</t>
  </si>
  <si>
    <t>8.6.3.4</t>
  </si>
  <si>
    <t>Réalisation d'une opération de pontage et dépontage de réseaux aériens pour reprise et basculement des branchements</t>
  </si>
  <si>
    <t>Ce prix rémunère à l'unité la réalisation d'une opération de pontage et dépontage de réseaux aériens pour reprise et basculement des branchements.</t>
  </si>
  <si>
    <t>8.6.3.5</t>
  </si>
  <si>
    <t>Rabattement de RAS d'un câble réseau ou confection d'un bout perdu dans coffret ou boîte souterraine BT</t>
  </si>
  <si>
    <t>Ce prix rénumère à l'unité l'ensemble des travaux nécessaires pour rabattre une remontée aéro souterraine dans un coffret ou une boite souterraine Basse Tension.
Ce prix comprend :
- la déconnexion sous tension du câble du réseau aérien y compris les démarches pour obtenir une ATST;
- la dépose de la protection mécanique et des colliers de fixation de la RAS ;
- le rabattement de la remontée aoérosouteraine vers le coffret ou dans la fouille ;
- l'épanouissement de la tête de câble y compris la mise en oeuvre d'une extrémité thermorétractable ;
- le raccordement sous ou hors tension du câble dans le coffret ou boite;
- toutes autres sujétions d'exécution.</t>
  </si>
  <si>
    <t>8.6.3.6</t>
  </si>
  <si>
    <t>Fourniture, pose et raccordement d'une boîte piano sur mur et reprise de branchement</t>
  </si>
  <si>
    <t>Ce prix rémunère à l'unité la fourniture, pose et raccordement d'une boîte piano sur mur et reprise de branchement.</t>
  </si>
  <si>
    <t>- la fourniture de la boite piano,</t>
  </si>
  <si>
    <t>- Les reprises de maçonnerie à l'identique,</t>
  </si>
  <si>
    <t>Divers</t>
  </si>
  <si>
    <t>8.6.4.1</t>
  </si>
  <si>
    <t>Raccordement au coffret de branchement d'un particulier</t>
  </si>
  <si>
    <t>Ce prix rémunère à l'unité le raccordement au coffret de branchement d'un particulier.</t>
  </si>
  <si>
    <t>˗ le raccordement au coffret de branchement d'un particulier,</t>
  </si>
  <si>
    <t>8.6.4.2</t>
  </si>
  <si>
    <t>Branchement collectif liaison pénétration/coffret de distribution partie intérieure</t>
  </si>
  <si>
    <t>Ce prix rémunère à l'unité la réalisation d'un branchement collectif liaison pénétration/coffret de distribution partie intérieure.</t>
  </si>
  <si>
    <t>˗ la réalisation d'un branchement collectif liaison pénétration/coffret de distribution partie intérieure,</t>
  </si>
  <si>
    <t>˗ les raccordements nécessaires,</t>
  </si>
  <si>
    <t>8.6.4.3</t>
  </si>
  <si>
    <t>Branchement individuel liaison pénétration/ancien emplacement du compteur partie inférieure</t>
  </si>
  <si>
    <t>Ce prix rémunère à l'unité la réalisation d'un branchement individuel liaison pénétration/ancien emplacement du compteur partie inférieure.</t>
  </si>
  <si>
    <t>˗ la réalisation d'un branchement individuel liaison pénétration/ancien emplacement du compteur partie inférieure,</t>
  </si>
  <si>
    <t>8.6.4.4</t>
  </si>
  <si>
    <t>Raccordement câble/coffret pour un branchement partie extérieure</t>
  </si>
  <si>
    <t>Ce prix rémunère à l'unité la réalisation d'un raccordement câble/coffret pour un branchement partie extérieure.</t>
  </si>
  <si>
    <t>˗ la réalisation d'un raccordement câble/coffret pour un branchement partie extérieure,</t>
  </si>
  <si>
    <t>8.6.4.5</t>
  </si>
  <si>
    <t>Plus-value pour confection d'accessoires</t>
  </si>
  <si>
    <t>Ce prix rémunère à l'unité la plus-value pour confection d'accessoires.</t>
  </si>
  <si>
    <t>8.7</t>
  </si>
  <si>
    <t>TELECOMMUNICATIONS</t>
  </si>
  <si>
    <t>8.7.1</t>
  </si>
  <si>
    <t>Dépose</t>
  </si>
  <si>
    <t>Ce prix rémunère à l'unité la dépose de poteau bois ou de poteau béton.
Ce prix comprend :
- le matériel necessaire à la dépose 
- la dépose de poteau bois ou béton, la démolition de sa fondation, le chargement, le transport, l'évacuation aux décharges publiques des produits y compris tout droit de redevances.
- le remblaiement de la fouille ;
- la fourniture et la mise en oeuvre des matériaux constitutifs des couches de fondation et du revêtement;</t>
  </si>
  <si>
    <t>- toutes sujétions nécessaires à l'exécution.</t>
  </si>
  <si>
    <t>8.7.1.1</t>
  </si>
  <si>
    <t>Dépose de poteaux bois TELECOM, stockage, chargement, transport et mise en dépôt dans les locaux d'ORANGE</t>
  </si>
  <si>
    <t>8.7.1.2</t>
  </si>
  <si>
    <t>Dépose de poteaux béton TELECOM y compris démolition du massif</t>
  </si>
  <si>
    <t>8.7.1.3</t>
  </si>
  <si>
    <t>Dépose de réseau aérien et souterrain sur domaine public</t>
  </si>
  <si>
    <t>Ce prix rémunère au mètre linéaire la dépose de réseau aérien ou souterrain sur le domaine public.
Ce prix comprend :
- le matériel necessaire à la dépose,
- la dépose du réseau, des protections mécaniques, la déconnexion propre amont et aval, 
- le chargement, le transport, l'évacuation,</t>
  </si>
  <si>
    <t>- toutes sujétions necessaires à l'exécution.</t>
  </si>
  <si>
    <t>8.7.1.4</t>
  </si>
  <si>
    <t>Dépose de branchement aérien</t>
  </si>
  <si>
    <t>Ce prix rémunère à l'unité la dépose de branchement aérien.
Ce prix comprend :
- le matériel nécessaire à la dépose,
- la dépose du réseau, des protections mécaniques, la déconnexion propre amont et aval, 
- le chargement, le transport, l'évacuation,
- le rabattage du câble si nécessaire après dépose,
- les réfections,</t>
  </si>
  <si>
    <t xml:space="preserve">Fourniture et pose de poteaux </t>
  </si>
  <si>
    <t>Ce prix rémunère à l'unité la fourniture et pose de poteau .
Ce prix comprend :
- le transport, le déchargement, la pose de poteau équipé,
- l'ouverture de la fouille,
- la confection du massif ou colerette,
- le calage,</t>
  </si>
  <si>
    <t>8.7.2.1</t>
  </si>
  <si>
    <t>Fourniture et pose d'un poteau bois TELECOM</t>
  </si>
  <si>
    <t>8.7.2.2</t>
  </si>
  <si>
    <t>Fourniture et pose d'un poteau béton TELECOM</t>
  </si>
  <si>
    <t>8.7.3</t>
  </si>
  <si>
    <t>Fourniture et pose de chambre</t>
  </si>
  <si>
    <t>Ces prix rémunèrent à l'unité la fourniture et pose de chambre.</t>
  </si>
  <si>
    <t>˗ la fourniture et pose de chambre,</t>
  </si>
  <si>
    <t>˗ la fourniture et pose de cadre et plaques (y compris chargement, transport depuis le dépôt FT et le déchargement),</t>
  </si>
  <si>
    <t>˗ tous les raccordements de fourreaux,</t>
  </si>
  <si>
    <t>8.7.3.1</t>
  </si>
  <si>
    <t>Chambre PTT L0T</t>
  </si>
  <si>
    <t>8.7.3.2</t>
  </si>
  <si>
    <t>Chambre PTT L1T</t>
  </si>
  <si>
    <t>8.7.3.3</t>
  </si>
  <si>
    <t>Chambre PTT L2T</t>
  </si>
  <si>
    <t>8.7.3.4</t>
  </si>
  <si>
    <t>Chambre PTT L3T</t>
  </si>
  <si>
    <t>8.7.3.5</t>
  </si>
  <si>
    <t>Chambre PTT L4T</t>
  </si>
  <si>
    <t>8.7.3.6</t>
  </si>
  <si>
    <t>Chambre PTT L5T</t>
  </si>
  <si>
    <t>8.7.3.7</t>
  </si>
  <si>
    <t>Chambre PTT L6T</t>
  </si>
  <si>
    <t>8.7.3.8</t>
  </si>
  <si>
    <t>Chambre PTT L1C</t>
  </si>
  <si>
    <t>8.7.3.9</t>
  </si>
  <si>
    <t>Chambre PTT L2C</t>
  </si>
  <si>
    <t>8.7.3.10</t>
  </si>
  <si>
    <t>Chambre PTT L3C</t>
  </si>
  <si>
    <t>8.7.3.11</t>
  </si>
  <si>
    <t>Chambre PTT  K1C</t>
  </si>
  <si>
    <t>8.7.3.12</t>
  </si>
  <si>
    <t>Chambre PTT K2C</t>
  </si>
  <si>
    <t>8.7.3.13</t>
  </si>
  <si>
    <t>Chambre PTT  K3C</t>
  </si>
  <si>
    <t>8.7.4</t>
  </si>
  <si>
    <t>Fourniture et pose de coffret Orange</t>
  </si>
  <si>
    <t>Ces prix rémunèrent à l'unité la fourniture et pose de coffret.</t>
  </si>
  <si>
    <t>˗ la fourniture et pose de coffret Orange et de socle (y compris chargement, transport depuis le dépôt et le déchargement),</t>
  </si>
  <si>
    <t>8.7.4.1</t>
  </si>
  <si>
    <t>Fourniture et pose de coffret de raccordement PB (Point de branchement) cuivre ou optique type Small</t>
  </si>
  <si>
    <t>8.7.4.2</t>
  </si>
  <si>
    <t>Fourniture et pose de coffret de raccordement PB (Point de branchement) cuivre ou optique type Medium</t>
  </si>
  <si>
    <t>8.7.5</t>
  </si>
  <si>
    <t>Fourniture et pose de cadre et tampon pour chambre</t>
  </si>
  <si>
    <t>Ces prix rémunèrent à l'unité la fourniture et pose de cadre et tampon pour chambre de classe C250 ou D400.</t>
  </si>
  <si>
    <t>˗ la fourniture et pose de cadre et tampon pour chambre,</t>
  </si>
  <si>
    <t>˗ tous les scellements nécessaires,</t>
  </si>
  <si>
    <t>8.7.5.1</t>
  </si>
  <si>
    <t>Cadre et tampon classe C250 pour chambre L0T</t>
  </si>
  <si>
    <t>8.7.5.2</t>
  </si>
  <si>
    <t>Cadre et tampon classe C250 pour chambre L1T</t>
  </si>
  <si>
    <t>8.7.5.3</t>
  </si>
  <si>
    <t>Cadre et tampons classe C250 pour chambre L2T</t>
  </si>
  <si>
    <t>8.7.5.4</t>
  </si>
  <si>
    <t>Cadre et tampons classe C250 pour chambre L3T</t>
  </si>
  <si>
    <t>8.7.5.5</t>
  </si>
  <si>
    <t>Cadre et tampons classe C250 pour chambre L4T</t>
  </si>
  <si>
    <t>8.7.5.6</t>
  </si>
  <si>
    <t>Cadre et tampons classe C250 pour chambre L5T</t>
  </si>
  <si>
    <t>8.7.5.7</t>
  </si>
  <si>
    <t>Cadre et tampons classe C250 pour chambre L6T</t>
  </si>
  <si>
    <t>8.7.5.8</t>
  </si>
  <si>
    <t>Cadre et tampons classe D400 pour chambre L1C</t>
  </si>
  <si>
    <t>8.7.5.9</t>
  </si>
  <si>
    <t>Cadre et tampons classe D400 pour chambre L2C</t>
  </si>
  <si>
    <t>8.7.5.10</t>
  </si>
  <si>
    <t>Cadre et tampons classe D400 pour chambre L3C</t>
  </si>
  <si>
    <t>8.7.5.11</t>
  </si>
  <si>
    <t>Cadre et tampon fonte classe D400 pour chambre K1C</t>
  </si>
  <si>
    <t>8.7.5.12</t>
  </si>
  <si>
    <t>Cadre et tampon fonte classe D400 pour chambre K2C</t>
  </si>
  <si>
    <t>8.7.5.13</t>
  </si>
  <si>
    <t>Cadre et tampon fonte classe D400 pour chambre K3C</t>
  </si>
  <si>
    <t>8.7.5.14</t>
  </si>
  <si>
    <t>Remplacement tampon acier galvanisé en tampon fonte pour chambre d'éclairage EP</t>
  </si>
  <si>
    <t xml:space="preserve">Ce prix rémunère à l'unité la founriture et pose d'u tampon fonte pour chambre d'éclairage EP 60, y compris dépose du tampon acier galvanisé et toutes sujétions d'adapatation du cadre et de mise en œuvre (mise à niveau compris si nécessaire) </t>
  </si>
  <si>
    <t>8.7.6</t>
  </si>
  <si>
    <t>Fourniture, pose déroulage de cable réseau de telecommunications sous fourreaux en domaine public</t>
  </si>
  <si>
    <t>Ces prix rémunèrent au mètre linéaire la fourniture, pose et déroulage de câble de télécommunication sous fourreaux et de ses accessoires. Le câble sera posé dans la tranchée réalisée à cet effet jusqu'au point de raccordement.</t>
  </si>
  <si>
    <t>˗ la fourniture, le transport, le déchargement, la pose, le calage et l'aiguillage des câbles,</t>
  </si>
  <si>
    <t>˗ les sujétions particulières de raccordement sur les ouvrages amont et aval.</t>
  </si>
  <si>
    <t>8.7.6.1</t>
  </si>
  <si>
    <t xml:space="preserve">Câble 2 paires à graisse </t>
  </si>
  <si>
    <t>8.7.6.2</t>
  </si>
  <si>
    <t xml:space="preserve">Câble 8 paires  à graisse </t>
  </si>
  <si>
    <t>8.7.6.3</t>
  </si>
  <si>
    <t xml:space="preserve">Câble 14 paires à graisse </t>
  </si>
  <si>
    <t>8.7.6.4</t>
  </si>
  <si>
    <t xml:space="preserve">Câble 28 paires à graisse </t>
  </si>
  <si>
    <t>8.7.6.5</t>
  </si>
  <si>
    <t>Câble monomode 24 FO</t>
  </si>
  <si>
    <t>8.7.6.6</t>
  </si>
  <si>
    <t>Câble monomode 48 FO</t>
  </si>
  <si>
    <t>8.7.6.7</t>
  </si>
  <si>
    <t>Câble monomode 72 FO</t>
  </si>
  <si>
    <t>8.7.6.8</t>
  </si>
  <si>
    <t>Câble monomode 148 FO</t>
  </si>
  <si>
    <t>8.7.7</t>
  </si>
  <si>
    <t>Plus value pour mise en œuvre de câble sur façade ou intérieur</t>
  </si>
  <si>
    <t>8.7.8</t>
  </si>
  <si>
    <t>Fourniture et mise en œuvre des accessoires pour reprise du câble réseau téléphone</t>
  </si>
  <si>
    <t>Ce prix rémunère au forfait la fourniture et mise en œuvre de tous les équipements necessaires pour la reprise de cablage de réseaux téléphoniques existants.</t>
  </si>
  <si>
    <t>˗ toutes  les sujétions concernant les découpes nécessaires,</t>
  </si>
  <si>
    <t>8.7.8.1</t>
  </si>
  <si>
    <t>Pour un chantier concernant jusqu'à 10 abonnés</t>
  </si>
  <si>
    <t>8.7.8.2</t>
  </si>
  <si>
    <t>Pour un chantier concernant de 11 à 30 abonnés</t>
  </si>
  <si>
    <t>8.7.8.3</t>
  </si>
  <si>
    <t>Pour un chantier concernant de 31 à 50 abonnés</t>
  </si>
  <si>
    <t>8.7.8.4</t>
  </si>
  <si>
    <t>Pour un chantier concernant de 51 à 70 abonnés</t>
  </si>
  <si>
    <t>8.7.8.5</t>
  </si>
  <si>
    <t>Pour un chantier concernant de 71 abonnés et plus</t>
  </si>
  <si>
    <t>8.7.9</t>
  </si>
  <si>
    <t>Fourniture et pose de Boite de Raccordement étanche en chambre</t>
  </si>
  <si>
    <t>Ce prix rémunère à l'unité la fourniture, pose et raccordement de boite étanche en chambre.</t>
  </si>
  <si>
    <t>˗ la fourniture et la pose de boîte étanche,</t>
  </si>
  <si>
    <t>8.7.10</t>
  </si>
  <si>
    <t>Fourniture, pose, déroulage réseau de telecommunication sous fourreaux en domaine privé</t>
  </si>
  <si>
    <t>Ces prix rémunèrent au mètre linéaire la fourniture, pose et déroulage de câble de télécommunication sous fourreaux  et de ses accessoires en domaine privé. Le câble sera posé dans la tranchée réalisée à cet effet depuis le point de raccordement.</t>
  </si>
  <si>
    <t>8.7.10.1</t>
  </si>
  <si>
    <t>8.7.10.2</t>
  </si>
  <si>
    <t>8.7.10.3</t>
  </si>
  <si>
    <t>8.7.10.4</t>
  </si>
  <si>
    <t>8.7.10.5</t>
  </si>
  <si>
    <t>Câble monomode 2 FO</t>
  </si>
  <si>
    <t>8.7.10.6</t>
  </si>
  <si>
    <t>Câble monomode 4 FO</t>
  </si>
  <si>
    <t>8.7.10.7</t>
  </si>
  <si>
    <t>Câble monomode 6 FO</t>
  </si>
  <si>
    <t>8.7.10.8</t>
  </si>
  <si>
    <t>Câble monomode 12 FO</t>
  </si>
  <si>
    <t>8.7.11</t>
  </si>
  <si>
    <t>Fourniture et mise en œuvre des accessoires pour reprise du branchement téléphone</t>
  </si>
  <si>
    <t>Ce prix rémunère au forfait la fourniture et mise en œuvre de tous les équipements necessaires pour la reprise du branchement téléphonique existant.</t>
  </si>
  <si>
    <t>8.7.11.1</t>
  </si>
  <si>
    <t>8.7.11.2</t>
  </si>
  <si>
    <t>8.7.11.3</t>
  </si>
  <si>
    <t>8.7.11.4</t>
  </si>
  <si>
    <t>8.7.11.5</t>
  </si>
  <si>
    <t>8.7.12</t>
  </si>
  <si>
    <t>Fourniture et mise en œuvre des accessoires pour reprise du branchement téléphonique en aérien sur un nouveau support</t>
  </si>
  <si>
    <t>Ces prix rémunèrent au forfait la fourniture et mise en œuvre de tous les équipements necessaires pour la reprise du branchement téléphonique en aérien sur nouveau support.</t>
  </si>
  <si>
    <t>8.7.12.1</t>
  </si>
  <si>
    <t>8.7.12.2</t>
  </si>
  <si>
    <t>8.7.12.3</t>
  </si>
  <si>
    <t>8.7.12.4</t>
  </si>
  <si>
    <t>8.7.12.5</t>
  </si>
  <si>
    <t>9</t>
  </si>
  <si>
    <t>FOURNITURE ET POSE DE CANALISATIONS D'EAU POTABLE EN TRANCHEE ET EN PUITS - FONTAINERIE ET ROBINETTERIE</t>
  </si>
  <si>
    <t>FOURNITURE ET POSE EN TRANCHEE DE CANALISATION, PIECES ET RACCORD AEP EN FONTE VERROUILLEE</t>
  </si>
  <si>
    <t>Ces prix rémunèrent la fourniture et la pose en tranchée, de tuyaux, pièces et raccords en fonte verrouillée pour réseau d'eau potable.</t>
  </si>
  <si>
    <t>˗ la fourniture, le transport, le déchargement, la pose et le calage, par tout moyen approprié, des canalisations, pièces et raccords y compris joints, brides, contre brides, visserie,</t>
  </si>
  <si>
    <t>Les pièces de raccords (Té, coudes, BU, BE, Manchons ….) seront de type auto butées ou verrouillées.</t>
  </si>
  <si>
    <t>Pour la pose les prix s'appliquent quelles que soit la profondeur moyenne de la fouille.</t>
  </si>
  <si>
    <t>9.1.1</t>
  </si>
  <si>
    <t>Fourniture et pose en tranchée de tuyaux droits d'eau potable en fonte ductile verrouillée</t>
  </si>
  <si>
    <t>9.1.1.1</t>
  </si>
  <si>
    <t>Canalisation diamètre 100 mm</t>
  </si>
  <si>
    <t>Le METRE LINEAIRE</t>
  </si>
  <si>
    <t>9.1.1.2</t>
  </si>
  <si>
    <t>Canalisation diamètre 150 mm</t>
  </si>
  <si>
    <t>9.1.1.3</t>
  </si>
  <si>
    <t>Canalisation diamètre 200 mm</t>
  </si>
  <si>
    <t>9.1.2</t>
  </si>
  <si>
    <t>Fourniture et pose en tranchée de pièces spéciales pour canalisation fonte verrouillée en unité équivalente (UE)</t>
  </si>
  <si>
    <t>Ces prix comprennent la fourniture et pose :</t>
  </si>
  <si>
    <t>- Plaque pleine ou percée : 1,5 UE</t>
  </si>
  <si>
    <t>- Coude tout angle standard : 3,5 UE</t>
  </si>
  <si>
    <t>- Té : 4 UE</t>
  </si>
  <si>
    <t>- Cône standard : 3,5 UE</t>
  </si>
  <si>
    <t>- Bride à emboîtement ou uni : 2,5 UE</t>
  </si>
  <si>
    <t>9.1.2.1</t>
  </si>
  <si>
    <t>diamètre 100 mm</t>
  </si>
  <si>
    <t>L'UNITE EQUIVALENTE</t>
  </si>
  <si>
    <t>UE</t>
  </si>
  <si>
    <t>9.1.2.2</t>
  </si>
  <si>
    <t>diamètre 150 mm</t>
  </si>
  <si>
    <t>9.1.2.3</t>
  </si>
  <si>
    <t>diamètre 200 mm</t>
  </si>
  <si>
    <t>FOURNITURE ET POSE EN TRANCHEE DE CANALISATION, PIECES ET RACCORD AEP EN PEHD PN16</t>
  </si>
  <si>
    <t>Ces prix rémunèrent la fourniture et la pose en tranchée, de canalisations, pièces et raccords en PEHD PN16 pour réseau d'eau potable, y compris les soudures et les manchons éventuels, conformes à la norme NF EN 12201 et dotée impérativement de l'Attestation de Conformité Sanitaire.</t>
  </si>
  <si>
    <t>˗ la fourniture, le transport, le déchargement, la pose et le calage, par tout moyen approprié, des canalisations, pièces et raccords y compris manchons et soudures,</t>
  </si>
  <si>
    <t>9.2.1</t>
  </si>
  <si>
    <t>Fourniture et pose en tranchée de canalisation d'AEP en PEHD PN16</t>
  </si>
  <si>
    <t>9.2.1.1</t>
  </si>
  <si>
    <t>Canalisation diamètre 125 mm</t>
  </si>
  <si>
    <t>9.2.1.2</t>
  </si>
  <si>
    <t>Canalisation diamètre 160 mm</t>
  </si>
  <si>
    <t>9.2.1.3</t>
  </si>
  <si>
    <t>Canalisation diamètre 225 mm</t>
  </si>
  <si>
    <t>9.2.2</t>
  </si>
  <si>
    <t>Fourniture et pose en tranchée de pièces spéciales PEHD à souder pour canalisation PEHD PN16 en unité équivalente (UE)</t>
  </si>
  <si>
    <t>- Bouchon : 1,5 UE</t>
  </si>
  <si>
    <t>- Coude : 2,5 UE</t>
  </si>
  <si>
    <t>- Té : 3,5 UE</t>
  </si>
  <si>
    <t>- Manchon de réduction : 1,5 UE</t>
  </si>
  <si>
    <t>- Collet à souder PEHD avec bride : 1,0 UE</t>
  </si>
  <si>
    <t>- Bride d'assemblage avec tous les matériaux : 3,5 UE</t>
  </si>
  <si>
    <t>9.2.2.1</t>
  </si>
  <si>
    <t>diamètre 125 mm</t>
  </si>
  <si>
    <t>9.2.2.2</t>
  </si>
  <si>
    <t>diamètre 160 mm</t>
  </si>
  <si>
    <t>9.2.2.3</t>
  </si>
  <si>
    <t>diamètre 225 mm</t>
  </si>
  <si>
    <t>9.3</t>
  </si>
  <si>
    <t>Fourniture et pose en tranchée de canalisation, pièces et raccord AEP en PEHD diamètre 50 mm bande blanche pour arrosage</t>
  </si>
  <si>
    <t>Ce prix rémunère au mètre linéaire la fourniture et la pose d'une canalisation AEP diamètre 50 en PEHD bande blanche pour réseau d'arrosage automatique. Il comprend : la fourniture, la pose, y compris manchons électrosoudables, le raccordement au réseau y compris toute sujétions.</t>
  </si>
  <si>
    <t>9.4</t>
  </si>
  <si>
    <t>Fourniture et pose en tranchée de canalisation, pièces et raccord AEP en PEHD diamètre 50 mm bande bleue pour eau potable</t>
  </si>
  <si>
    <t>Ce prix rémunère au mètre linéaire la fourniture et la pose d'une canalisation AEP diamètre 50 en PEHD bande bleue pour réseau d'eau potable. Il comprend : la fourniture, la pose, y compris manchons électrosoudables, le raccordement au réseau y compris toute sujétions.</t>
  </si>
  <si>
    <t>9.5</t>
  </si>
  <si>
    <t xml:space="preserve">Fourniture et pose en tranchée de canalisation, pièces et raccord  en PEHD diamètre 63 mm </t>
  </si>
  <si>
    <t>Ce prix rémunère au mètre la fourniture et la mise en œuvre d’une canalisation en polyéthylène haute densité de diamètre 63 mm.
Ce prix comprend notamment :
- l’étude d’exécution précise du projet et de ses équipements,
- l'implantation,
- le terrassement en tranchée, quelques soit la nature des matériaux rencontrés,
- les interventions ponctuellement réalisées à la main,
- les croisements et les longements de réseaux éventuels et toutes sujétions de raccordement,
- le réglage de fond de forme,
- la fourniture et la pose des canalisations,
- la confection du lit de pose, l’enrobage, y compris la fourniture des matériaux conformes aux normes en vigueur,
- la fourniture et la pose de l’ensemble des équipements de vanneries, purges et ventouses nécessaires au bon fonctionnement de la canalisation,
- la fourniture et mise en œuvre des butées bétons nécessaires à la bonne tenue de la canalisation,
- le chargement et le transport en décharge des produits issus du terrassement, droits de décharge compris,
- la fourniture et la mise en œuvre de matériaux de remblayage conformément aux normes en vigueur, y compris la méthodologie de compactage adapté,
- la fourniture et la pose du grillage avertisseur,
- toute sujétions, tous matériels, matériaux et travaux nécessaires à la bonne réalisation et au bon fonctionnement de l’ensemble.</t>
  </si>
  <si>
    <t>9.6</t>
  </si>
  <si>
    <t>FOURNITURE ET POSE DE ROBINET VANNE A OPERCULE EN FONTE DUCTILE</t>
  </si>
  <si>
    <t>Ces prix rémunèrent la fourniture et la pose en tranchée, de robinet vanne à opercule, pression 16 bars à brides.</t>
  </si>
  <si>
    <t>˗ la fourniture, le transport, le déchargement, la pose et le calage, par tout moyen approprié y compris joints, brides, contre brides, visserie,</t>
  </si>
  <si>
    <t>˗ toutes sujétions particulières de manutention, et de mise en œuvre.</t>
  </si>
  <si>
    <t>9.6.1</t>
  </si>
  <si>
    <t>Diamètre 100 mm</t>
  </si>
  <si>
    <t>9.6.2</t>
  </si>
  <si>
    <t>Diamètre 150 mm</t>
  </si>
  <si>
    <t>Diamètre 200 mm</t>
  </si>
  <si>
    <t>9.7</t>
  </si>
  <si>
    <t>FOURNITURE ET POSE DE VENTOUSE</t>
  </si>
  <si>
    <t>Ces prix rémunèrent à l'unité la fourniture et pose d'une ventouse manuelle.</t>
  </si>
  <si>
    <t>˗ la fourniture, le transport, le déchargement, la pose, par tout moyen approprié,</t>
  </si>
  <si>
    <t>˗ la mise en place d'un tuyau en PE DN40 depuis la canalisation jusqu'au trottoir pour une longueur de 10 mètres maximum et la remontée au coffre ventouse mis en place en surface,</t>
  </si>
  <si>
    <t>˗ la mise en place d'un coffre ventouse sur trottoir,</t>
  </si>
  <si>
    <t>˗ toutes sujétions particulières de manutention et de mise en œuvre.</t>
  </si>
  <si>
    <t>9.8</t>
  </si>
  <si>
    <t>FOURNITURE ET POSE DE COLLIER ET DE ROBINET DE PRISE EN CHARGE</t>
  </si>
  <si>
    <t>Ces prix rémunèrent la fourniture et la pose du collier ou du té et du robinet vanne, le percement, y compris le matériel nécessaire pour le raccordement d'un branchement sur une conduite .</t>
  </si>
  <si>
    <t>9.8.1</t>
  </si>
  <si>
    <t>9.8.2</t>
  </si>
  <si>
    <t>9.8.3</t>
  </si>
  <si>
    <t>9.9</t>
  </si>
  <si>
    <t>FOURNITURE ET POSE DE BOUCHE A CLE REHAUSSABLE</t>
  </si>
  <si>
    <t>Ce prix rémunère la fourniture et pose de bouche à clé en fonte réhaussable en tranchée ouverte, y compris tabernacle ou cloche, tube allonge et tige allonge.</t>
  </si>
  <si>
    <t>9.10</t>
  </si>
  <si>
    <t xml:space="preserve">FOURNITURE ET POSE DE TUBE DE BOUCHE A CLE </t>
  </si>
  <si>
    <t>Ce prix rémunère au mètre linéaire la fourniture et pose de tube de bouche à clé en PVC.</t>
  </si>
  <si>
    <t>9.11</t>
  </si>
  <si>
    <t>CREATION D'UN BRANCHEMENT POUR APPAREIL DE DEFENSE INCENDIE</t>
  </si>
  <si>
    <t>Ce prix rémunère au forfait la création d'un branchement pour la pose ultérieure d'un appareil de défense incendie.</t>
  </si>
  <si>
    <t>˗ la fourniture de tout le personnel, le matériel et les matériaux nécessaire,</t>
  </si>
  <si>
    <t>˗ la founiture et pose de la canalisation de branchement en Fonte DN100 verrouillée jusqu'au Esse y compris toutes les accessoires nécessaires (vannes, manchons, Té, collier de prise en charge, tube et bouche à clé), sur une longueur de 10 mètres maximum,</t>
  </si>
  <si>
    <t>˗ toutes sujétions particulières de manutention, de découpe , d'emboîtement, de mise en place des joints et raccords, ainsi que des scellements,</t>
  </si>
  <si>
    <t>9.12</t>
  </si>
  <si>
    <t>FOURNITURE ET POSE D'UN REGARD DE COMPTAGE D'ARROSAGE AVEC PROGRAMMEUR ET DISCONNECTEUR Y COMPRIS TRAPPES D'ACCES</t>
  </si>
  <si>
    <t>Ce prix rémunère à l'unité la création d’un local de comptage pour arrosage. Il comprend: 
La création d’une chambre en béton armé ou préfabriquée pour arrosage automatique de dimension 3,50 x 1,20m et de profondeur 2,00m, y compris terrassements complémentaires, la dalle béton, la réalisation du local en béton armé ou préfabriqué, l’étanchéité du local, les ventilations haute et basse, l’échelle d'accès, les réservations pour pénétration des canalisations, trappes d'accès verrouillable en tôle larmée, la fourniture et la pose dans la chambre de comptage, d'un disconnecteur de 2', y compris fourniture et pose de vannes d'isolement amont, et aval, et filtre et toutes sujétions de raccordement de la dite chambre.</t>
  </si>
  <si>
    <t>9.13</t>
  </si>
  <si>
    <t xml:space="preserve">Fourniture et pose d'un coffret compteur pour arrosage type borne SETHA </t>
  </si>
  <si>
    <t xml:space="preserve">Ce prix rémunère à l'unité la fourniture et la pose d'un coffret de comptage avec disconnecteur de type borne SETHA ou similaire pour réseau d'arrosage.Il comprend notamment :
˗ la fourniture et la pose, y compris massif
˗ le raccordement au réseau y compris toutes fournitures et sujétions.
</t>
  </si>
  <si>
    <t>9.14</t>
  </si>
  <si>
    <t>Réalisation d'un arrosage goutte-à-goutte</t>
  </si>
  <si>
    <t>Ce prix rémunère les études d’implantation et de dimensionnement ainsi que la fourniture et la pose d’un réseau complet d’arrosage automatique goutte-à-goutte.
Ce prix comprend notamment :
- l’étude d’exécution précise du projet et de ses équipements,
- l'implantation,
- les interventions ponctuellement réalisées à la main,
- le chargement et le transport en décharge des produits issus du terrassement, droits de décharge compris,
- la fourniture et la mise en œuvre de matériaux de remblayage conformément aux normes en vigueur, y compris la méthodologie de compactage adapté,
- la fourniture et la pose d’un programmateur autonome à piles,
- la fourniture et la pose d’électrovannes, y compris les regards,
- la fourniture de tuyau de diamètre 16 mm marron double pour irriguer les massifs, haies et arbres d'alignement avec matériels ayant reçu l'agrément du Maître d'Ouvrage (prévoir un goutteur chaque 30 cm minimum),
- les kits de filtration et de régulation de la pression si nécessaire,
- la réalisation des raccords cannelés et toutes sujétions de raccordement des équipements au réseau structurant,
- toute sujétions, tous matériels, matériaux et travaux nécessaires à la bonne réalisation et au bon fonctionnement de l’ensemble,</t>
  </si>
  <si>
    <t>9.15</t>
  </si>
  <si>
    <t>ESSAIS</t>
  </si>
  <si>
    <t>9.15.1</t>
  </si>
  <si>
    <t>Rinçage et épreuves hydrauliques</t>
  </si>
  <si>
    <t>Ce prix rémunère au forfait pour un tronçon situé, entre deux robinets-vanne ou entre deux tronçons de conduites, le rinçage, les épreuves hydrauliques et les contrôles d’étanchéité des conduites nouvellement posées (quel que soit le diamètre) conformément aux prescriptions du fascicule 71 du C.C.T.G. Les épreuves devront être menées suivant le protocole de l'exploitant. Les mesures devront être réalisées avec un manomètre digital muni d'un enregistreur.</t>
  </si>
  <si>
    <r>
      <t>-</t>
    </r>
    <r>
      <rPr>
        <sz val="7"/>
        <rFont val="Times New Roman"/>
        <family val="1"/>
      </rPr>
      <t> </t>
    </r>
    <r>
      <rPr>
        <sz val="10"/>
        <rFont val="Arial"/>
        <family val="2"/>
      </rPr>
      <t>la fourniture et la pose de plaques pleines ou percées, de butées et de toutes autres installations nécessaires à l’exécution des essais,</t>
    </r>
  </si>
  <si>
    <r>
      <t>-</t>
    </r>
    <r>
      <rPr>
        <sz val="7"/>
        <rFont val="Times New Roman"/>
        <family val="1"/>
      </rPr>
      <t> </t>
    </r>
    <r>
      <rPr>
        <sz val="10"/>
        <rFont val="Arial"/>
        <family val="2"/>
      </rPr>
      <t>la fourniture de l’eau,</t>
    </r>
  </si>
  <si>
    <r>
      <t>-</t>
    </r>
    <r>
      <rPr>
        <sz val="7"/>
        <rFont val="Times New Roman"/>
        <family val="1"/>
      </rPr>
      <t> </t>
    </r>
    <r>
      <rPr>
        <sz val="10"/>
        <rFont val="Arial"/>
        <family val="2"/>
      </rPr>
      <t>le rinçage des conduites avant les épreuves,</t>
    </r>
  </si>
  <si>
    <r>
      <t>-</t>
    </r>
    <r>
      <rPr>
        <sz val="7"/>
        <rFont val="Times New Roman"/>
        <family val="1"/>
      </rPr>
      <t> </t>
    </r>
    <r>
      <rPr>
        <sz val="10"/>
        <rFont val="Arial"/>
        <family val="2"/>
      </rPr>
      <t>la réalisation des épreuves,</t>
    </r>
  </si>
  <si>
    <r>
      <t>-</t>
    </r>
    <r>
      <rPr>
        <sz val="7"/>
        <rFont val="Times New Roman"/>
        <family val="1"/>
      </rPr>
      <t> </t>
    </r>
    <r>
      <rPr>
        <sz val="10"/>
        <rFont val="Arial"/>
        <family val="2"/>
      </rPr>
      <t>la main d’œuvre nécessaire,</t>
    </r>
  </si>
  <si>
    <r>
      <t>-</t>
    </r>
    <r>
      <rPr>
        <sz val="7"/>
        <rFont val="Times New Roman"/>
        <family val="1"/>
      </rPr>
      <t> </t>
    </r>
    <r>
      <rPr>
        <sz val="10"/>
        <rFont val="Arial"/>
        <family val="2"/>
      </rPr>
      <t>y compris toutes suggestions.</t>
    </r>
  </si>
  <si>
    <t>9.15.2</t>
  </si>
  <si>
    <t>Nettoyage et désinfection du réseau</t>
  </si>
  <si>
    <t>Ce prix rémunère au forfait pour un tronçon situé, entre deux robinets-vannes ou entre deux tronçons de conduites existantes, le nettoyage et la désinfection des conduites nouvellement posées (quel que soit le diamètre) conformément aux prescriptions du fascicule 71 du C.C.T.G. La procédure devra être validée au préalable par l'exploitant.</t>
  </si>
  <si>
    <r>
      <t>-</t>
    </r>
    <r>
      <rPr>
        <sz val="7"/>
        <rFont val="Times New Roman"/>
        <family val="1"/>
      </rPr>
      <t xml:space="preserve">     </t>
    </r>
    <r>
      <rPr>
        <sz val="10"/>
        <rFont val="Arial"/>
        <family val="2"/>
      </rPr>
      <t>la fourniture de l’eau,</t>
    </r>
  </si>
  <si>
    <r>
      <t>-</t>
    </r>
    <r>
      <rPr>
        <sz val="7"/>
        <rFont val="Times New Roman"/>
        <family val="1"/>
      </rPr>
      <t xml:space="preserve">     </t>
    </r>
    <r>
      <rPr>
        <sz val="10"/>
        <rFont val="Arial"/>
        <family val="2"/>
      </rPr>
      <t>la fourniture des produits chimiques nécessaires à la désinfection,</t>
    </r>
  </si>
  <si>
    <r>
      <t>-</t>
    </r>
    <r>
      <rPr>
        <sz val="7"/>
        <rFont val="Times New Roman"/>
        <family val="1"/>
      </rPr>
      <t xml:space="preserve">     </t>
    </r>
    <r>
      <rPr>
        <sz val="10"/>
        <rFont val="Arial"/>
        <family val="2"/>
      </rPr>
      <t>la fourniture et la mise en œuvre de tous les matériels nécessaires à ces prestations,</t>
    </r>
  </si>
  <si>
    <r>
      <t>-</t>
    </r>
    <r>
      <rPr>
        <sz val="7"/>
        <rFont val="Times New Roman"/>
        <family val="1"/>
      </rPr>
      <t xml:space="preserve">     </t>
    </r>
    <r>
      <rPr>
        <sz val="10"/>
        <rFont val="Arial"/>
        <family val="2"/>
      </rPr>
      <t>la main d’œuvre nécessaire,</t>
    </r>
  </si>
  <si>
    <r>
      <t>-</t>
    </r>
    <r>
      <rPr>
        <sz val="7"/>
        <rFont val="Times New Roman"/>
        <family val="1"/>
      </rPr>
      <t xml:space="preserve">     </t>
    </r>
    <r>
      <rPr>
        <sz val="10"/>
        <rFont val="Arial"/>
        <family val="2"/>
      </rPr>
      <t>y compris toutes suggestions.</t>
    </r>
  </si>
  <si>
    <t>9.15.3</t>
  </si>
  <si>
    <t>Analyses batériologiques B3 et chlore</t>
  </si>
  <si>
    <t>Ce prix rémunère à l'unité la réalisation d'un prélèvement d'eau et des analyses bactériologiques de type B3 et chlore sur ce dernier par un laboratoire agrée, ainsi que la fourniture d'un rapport d'analyses. Les analyses devront être réalisées suiant le protocole de l'exploitant.</t>
  </si>
  <si>
    <t>10</t>
  </si>
  <si>
    <t xml:space="preserve">REHABILITATION ET RENFORCEMENT STRUCTUREL DE CANALISATIONS NON VISITABLES </t>
  </si>
  <si>
    <t>10.1</t>
  </si>
  <si>
    <t>DERIVATION DES EFFLUENTS</t>
  </si>
  <si>
    <t>Amenée, installation et repli du matériel d'obturation et de pompage</t>
  </si>
  <si>
    <t>Ces prix rémunèrent au forfait l'amenée à pied d'œuvre, la mise en place et le repli du matériel de pompage et des canalisations d'aspiration et de refoulement.</t>
  </si>
  <si>
    <t>IIs comprennent notamment :</t>
  </si>
  <si>
    <t>˗ la mise en place des dispositifs de pompage,</t>
  </si>
  <si>
    <t>˗ la mise en place des canalisations provisoires de pompage,</t>
  </si>
  <si>
    <t>˗ le déplacement dans l'emprise du chantier au fur et à mesure de l'avancement et le retrait des installations.</t>
  </si>
  <si>
    <t>10.1.1.1</t>
  </si>
  <si>
    <t>Pompe de débit &lt; 100 m3/h. Installation repli</t>
  </si>
  <si>
    <t>10.1.1.2</t>
  </si>
  <si>
    <t>Pompe de débit compris entre 100 et 300 m3/h. Installation repli</t>
  </si>
  <si>
    <t>10.1.1.3</t>
  </si>
  <si>
    <t>Pompe de débit compris entre 300 et 500 m3/h. Installation repli</t>
  </si>
  <si>
    <t>10.1.1.4</t>
  </si>
  <si>
    <t>Pompe de débit compris entre 500 et 800 m3/h. Installation repli</t>
  </si>
  <si>
    <t>Location et entretien du matériel d'obturation et de pompage</t>
  </si>
  <si>
    <t>Ces prix rémunèrent à la journée la location et l'entretien du matériel d'obturation et de pompage.</t>
  </si>
  <si>
    <t>10.1.2.1</t>
  </si>
  <si>
    <t xml:space="preserve">Pompe de débit &lt; 100 m3/h. </t>
  </si>
  <si>
    <t>10.1.2.2</t>
  </si>
  <si>
    <t xml:space="preserve">Pompe de débit compris entre 100 et 300 m3/h. </t>
  </si>
  <si>
    <t>10.1.2.3</t>
  </si>
  <si>
    <t xml:space="preserve">Pompe de débit compris entre 300 et 500 m3/h. </t>
  </si>
  <si>
    <t>10.1.2.4</t>
  </si>
  <si>
    <t>Pompe de débit compris entre 500 et 800 m3/h.</t>
  </si>
  <si>
    <t>Fonctionnement du matériel pompage</t>
  </si>
  <si>
    <t>Ces prix rémunèrent à l'heure le fonctionnement du matériel de pompage.</t>
  </si>
  <si>
    <t>10.1.3.1</t>
  </si>
  <si>
    <t>Pompe de débit &lt; 100 m3/h.</t>
  </si>
  <si>
    <t>L'HEURE</t>
  </si>
  <si>
    <t>H</t>
  </si>
  <si>
    <t>10.1.3.2</t>
  </si>
  <si>
    <t>Pompe de débit compris entre 100 et 300 m3/h</t>
  </si>
  <si>
    <t>10.1.3.3</t>
  </si>
  <si>
    <t>Pompe de débit compris entre 300 et 500 m3/h</t>
  </si>
  <si>
    <t>10.1.3.4</t>
  </si>
  <si>
    <t>Pompe de débit compris entre 500 et 800 m3/h</t>
  </si>
  <si>
    <t>10.2</t>
  </si>
  <si>
    <t>CURAGE HYDRODYNAMIQUE</t>
  </si>
  <si>
    <t>Ces prix rémunèrent au mètre linéaire le nettoyage d'une canalisation non visitable, par curage hydrodynamique à haute pression. Ils comprennent également également l'amenée et le repli du matériel nécessaire à la réalisation des travaux et le transport vers le centre de traitement, des liquides et des boues issues du curage de l'ouvrage.</t>
  </si>
  <si>
    <t>Curage de canalisation Ø ≤ 200 mm</t>
  </si>
  <si>
    <t>Curage de canalisation 200 mm &lt; Ø ≤ 300 mm</t>
  </si>
  <si>
    <t>Curage de canalisation 300 mm &lt; Ø ≤ 500 mm</t>
  </si>
  <si>
    <t>10.2.4</t>
  </si>
  <si>
    <t>Curage de canalisation 500 mm &lt; Ø ≤ 700 mm</t>
  </si>
  <si>
    <t>10.2.5</t>
  </si>
  <si>
    <t>Curage de canalisation 700 mm &lt; Ø ≤ 1000 mm</t>
  </si>
  <si>
    <t>10.2.6</t>
  </si>
  <si>
    <t>Curage de canalisation 1000 mm &lt; Ø ≤ 1200 mm</t>
  </si>
  <si>
    <t>10.2.7</t>
  </si>
  <si>
    <t>Curage de canalisation 1200 mm &lt; Ø ≤ 1400 mm</t>
  </si>
  <si>
    <t>10.2.8</t>
  </si>
  <si>
    <t>Curage de canalisation 1400 mm &lt; Ø ≤ 1600 mm</t>
  </si>
  <si>
    <t>10.3</t>
  </si>
  <si>
    <t>INSPECTION TELEVISEE</t>
  </si>
  <si>
    <t>Ces prix rémunèrent au mètre linéaire toutes les sujétions de fourniture, d'amenée, de montage, de réalisation de l'inspection, avec une caméra couleur, et le repli du matériel nécessaire à l'inspection télévisée sur collecteur de toute nature. Ils comprennent également les frais relatifs à la fourniture d'un rapport d'inspection et d'un CD/DVD en 3 exemplaires.</t>
  </si>
  <si>
    <t>Inspection de canalisation Ø ≤ 200 mm</t>
  </si>
  <si>
    <t>Inspection de canalisation 200 mm &lt; Ø ≤ 300 mm</t>
  </si>
  <si>
    <t>Inspection de canalisation 300 mm &lt; Ø ≤ 500 mm</t>
  </si>
  <si>
    <t>Inspection de canalisation 500 mm &lt; Ø ≤ 700 mm</t>
  </si>
  <si>
    <t>Inspection de canalisation 700 mm &lt; Ø ≤ 1000 mm</t>
  </si>
  <si>
    <t>Inspection de canalisation 1000 mm &lt; Ø ≤ 1200 mm</t>
  </si>
  <si>
    <t>Inspection de canalisation 1200 mm &lt; Ø ≤ 1400 mm</t>
  </si>
  <si>
    <t>Inspection de canalisation 1400 mm &lt; Ø ≤ 1600 mm</t>
  </si>
  <si>
    <t>Inspection T100</t>
  </si>
  <si>
    <t>Inspection T130</t>
  </si>
  <si>
    <t>Inspection T150</t>
  </si>
  <si>
    <t>Inspection de branchement depuis la canalisation principale par caméra satellite</t>
  </si>
  <si>
    <t>Ce prix rémunère à l'unité de branchement quelle que soit sa longueur toutes les sujétions de fourniture, d'amenée, de montage, de réalisation de l'inspection depuis la canalisation principale, avec une caméra couleur, et le repli du matériel nécessaire à l'inspection télévisée. Il comprend également les frais relatifs à la fourniture d'un rapport d'inspection et d'un CD/DVD en 3 exemplaires.</t>
  </si>
  <si>
    <t>10.4</t>
  </si>
  <si>
    <t>DECOUPE D'OBSTABLES</t>
  </si>
  <si>
    <t>Amené, repli et mise à disposition du matériel</t>
  </si>
  <si>
    <t>Ce prix rémunère à la journée la mise à disposition du personnel et matériels nécessaires au découpage d’anomalies à l’intérieur de canalisations.</t>
  </si>
  <si>
    <t>Il règle le déplacement du robot découpeur d’un tronçon à l’autre.</t>
  </si>
  <si>
    <t>Découpe d'obstacles</t>
  </si>
  <si>
    <t>Ce prix rémunère à l'heure la mise en station du robot et le fraisage d’anomalies (dépôts résistants, excroissance, racines, branchement pénétrant…), entravant le passage de la caméra ainsi que le rinçage du tronçon.</t>
  </si>
  <si>
    <t>10.5</t>
  </si>
  <si>
    <t>CHEMISAGE PARTIEL</t>
  </si>
  <si>
    <t>10.5.1</t>
  </si>
  <si>
    <t>Amenée et repli du matériel pour chemisage partiel</t>
  </si>
  <si>
    <t>Ce prix s’applique à l’unité journalière pour la mise à disposition des matériels, l’amenée, l’installation, l’entretien et le repli des matériels nécessaires à la mise en œuvre des manchettes quel que soit le nombre de manchettes par tronçon.</t>
  </si>
  <si>
    <t>Il comprend notamment le déplacement du matériel d’un tronçon à l’autre et le repliement ainsi que la mise en place des matériels de signalisation.</t>
  </si>
  <si>
    <t>L'UNITE JOURNALIERE</t>
  </si>
  <si>
    <t>U/J</t>
  </si>
  <si>
    <t>10.5.2</t>
  </si>
  <si>
    <t>Fourniture et mise en œuvre de manchette en inox de type QUICK-LOCK ou similaire</t>
  </si>
  <si>
    <t>Ces prix rémunèrent à l’unité de manchette sur joint, fissure, perforation, raccordement…, la mise en œuvre de manchettes en inox de type QUICK-LOCK ou similaire.</t>
  </si>
  <si>
    <t>Ces prix comprennent toutes sujétions d’exécution et de fournitures y compris le test d’autocontrôle.</t>
  </si>
  <si>
    <t>Ces prix comprennent la note de calcul justifiant les caractéristiques mécaniques retenues et les indices d’abrasion.</t>
  </si>
  <si>
    <t>10.5.2.1</t>
  </si>
  <si>
    <r>
      <t xml:space="preserve">Chemisage partiel inox </t>
    </r>
    <r>
      <rPr>
        <i/>
        <sz val="10"/>
        <rFont val="Calibri"/>
        <family val="2"/>
      </rPr>
      <t>Ø</t>
    </r>
    <r>
      <rPr>
        <i/>
        <sz val="10"/>
        <rFont val="Arial"/>
        <family val="2"/>
      </rPr>
      <t xml:space="preserve"> </t>
    </r>
    <r>
      <rPr>
        <sz val="10"/>
        <rFont val="Calibri"/>
        <family val="2"/>
      </rPr>
      <t>≤</t>
    </r>
    <r>
      <rPr>
        <i/>
        <sz val="10"/>
        <rFont val="Arial"/>
        <family val="2"/>
      </rPr>
      <t xml:space="preserve"> 200 mm</t>
    </r>
  </si>
  <si>
    <t>10.5.2.2</t>
  </si>
  <si>
    <r>
      <t xml:space="preserve">Chemisage partiel inox 200 mm &lt; Ø </t>
    </r>
    <r>
      <rPr>
        <sz val="10"/>
        <rFont val="Calibri"/>
        <family val="2"/>
      </rPr>
      <t>≤</t>
    </r>
    <r>
      <rPr>
        <i/>
        <sz val="10"/>
        <rFont val="Arial"/>
        <family val="2"/>
      </rPr>
      <t xml:space="preserve"> 250 mm</t>
    </r>
  </si>
  <si>
    <t>10.5.2.3</t>
  </si>
  <si>
    <r>
      <t xml:space="preserve">Chemisage partiel inox 250 mm &lt; Ø </t>
    </r>
    <r>
      <rPr>
        <sz val="10"/>
        <rFont val="Calibri"/>
        <family val="2"/>
      </rPr>
      <t>≤</t>
    </r>
    <r>
      <rPr>
        <i/>
        <sz val="10"/>
        <rFont val="Arial"/>
        <family val="2"/>
      </rPr>
      <t xml:space="preserve"> 300 mm</t>
    </r>
  </si>
  <si>
    <t>10.5.2.4</t>
  </si>
  <si>
    <r>
      <t xml:space="preserve">Chemisage partiel inox 300 mm &lt; Ø </t>
    </r>
    <r>
      <rPr>
        <sz val="10"/>
        <rFont val="Calibri"/>
        <family val="2"/>
      </rPr>
      <t>≤</t>
    </r>
    <r>
      <rPr>
        <i/>
        <sz val="10"/>
        <rFont val="Arial"/>
        <family val="2"/>
      </rPr>
      <t xml:space="preserve"> 400 mm</t>
    </r>
  </si>
  <si>
    <t>10.5.2.5</t>
  </si>
  <si>
    <r>
      <t xml:space="preserve">Chemisage partiel inox 400 mm &lt; Ø </t>
    </r>
    <r>
      <rPr>
        <sz val="10"/>
        <rFont val="Calibri"/>
        <family val="2"/>
      </rPr>
      <t>≤</t>
    </r>
    <r>
      <rPr>
        <i/>
        <sz val="10"/>
        <rFont val="Arial"/>
        <family val="2"/>
      </rPr>
      <t xml:space="preserve"> 500 mm</t>
    </r>
  </si>
  <si>
    <t>10.5.2.6</t>
  </si>
  <si>
    <r>
      <t xml:space="preserve">Chemisage partiel inox 500 mm &lt; Ø </t>
    </r>
    <r>
      <rPr>
        <sz val="10"/>
        <rFont val="Calibri"/>
        <family val="2"/>
      </rPr>
      <t>≤</t>
    </r>
    <r>
      <rPr>
        <i/>
        <sz val="10"/>
        <rFont val="Arial"/>
        <family val="2"/>
      </rPr>
      <t xml:space="preserve"> 600 mm</t>
    </r>
  </si>
  <si>
    <t>10.5.2.7</t>
  </si>
  <si>
    <r>
      <t xml:space="preserve">Chemisage partiel inox 600 mm &lt; Ø </t>
    </r>
    <r>
      <rPr>
        <sz val="10"/>
        <rFont val="Calibri"/>
        <family val="2"/>
      </rPr>
      <t>≤</t>
    </r>
    <r>
      <rPr>
        <i/>
        <sz val="10"/>
        <rFont val="Arial"/>
        <family val="2"/>
      </rPr>
      <t xml:space="preserve"> 700 mm</t>
    </r>
  </si>
  <si>
    <t>10.6</t>
  </si>
  <si>
    <t>REHABILITATION PAR CHEMISAGE CONTINU POLYMERISE EN PLACE</t>
  </si>
  <si>
    <t>10.6.1</t>
  </si>
  <si>
    <t>Amenée et repli de l'unité de chemisage continu polymérisé en place</t>
  </si>
  <si>
    <t>Ce prix s’applique au forfait pour la mise à disposition des matériels, l’installation et le repli des matériels nécessaires à la mise en œuvre d’une chemise continue polymérisée en place.</t>
  </si>
  <si>
    <t>Il comprend le chargement, le transport, l’amenée du matériel et des équipes, l’installation aux endroits indiqués par le maître d’œuvre et le repliement de tout le matériel ainsi que la mise en place des matériels de signalisation.</t>
  </si>
  <si>
    <t>10.6.2</t>
  </si>
  <si>
    <t>Fourniture et mise en œuvre de chemisage continu polymérisé en place</t>
  </si>
  <si>
    <t>Ces prix rémunèrent au mètre linéaire, la fourniture des chemises étanches imprégnées sur site de résine EPOXY ou POLYESTER, thermodurcissable, photodurcissable, ou autres ainsi que les fournitures nécessaires à l’exécution des prestations (eau, énergie…).</t>
  </si>
  <si>
    <t>Ils rémunèrent la mise en œuvre des chemises quels que soient la méthode, le transport, ainsi que tous les travaux préparatoires sans que cette liste soit exhaustive.</t>
  </si>
  <si>
    <t xml:space="preserve">Ces prix comprennent, la prise de mesure en place, la découpe des extrémités, y compris dans les regards intermédiaires après durcissement ainsi que la réouverture de la gaine et le traitement par étanchement, l’évacuation des déchets, l’inspection télévisée </t>
  </si>
  <si>
    <t>Ces prix comprennent également la note de calculs justifiant les caractéristiques retenues.</t>
  </si>
  <si>
    <t>10.6.2.1</t>
  </si>
  <si>
    <t>Chemisage continu résine polyester isophtalique</t>
  </si>
  <si>
    <t>10.6.2.1.1</t>
  </si>
  <si>
    <r>
      <t xml:space="preserve">Chemisage continu polyester </t>
    </r>
    <r>
      <rPr>
        <sz val="10"/>
        <rFont val="Calibri"/>
        <family val="2"/>
      </rPr>
      <t>Ø</t>
    </r>
    <r>
      <rPr>
        <sz val="10"/>
        <rFont val="Arial"/>
        <family val="2"/>
      </rPr>
      <t xml:space="preserve"> </t>
    </r>
    <r>
      <rPr>
        <sz val="10"/>
        <rFont val="Calibri"/>
        <family val="2"/>
      </rPr>
      <t>≤</t>
    </r>
    <r>
      <rPr>
        <sz val="10"/>
        <rFont val="Arial"/>
        <family val="2"/>
      </rPr>
      <t xml:space="preserve"> 200 mm</t>
    </r>
  </si>
  <si>
    <t>10.6.2.1.2</t>
  </si>
  <si>
    <r>
      <t xml:space="preserve">Chemisage continu polyester 200 mm &lt; Ø </t>
    </r>
    <r>
      <rPr>
        <sz val="10"/>
        <rFont val="Calibri"/>
        <family val="2"/>
      </rPr>
      <t>≤</t>
    </r>
    <r>
      <rPr>
        <sz val="10"/>
        <rFont val="Arial"/>
        <family val="2"/>
      </rPr>
      <t xml:space="preserve"> 250 mm</t>
    </r>
  </si>
  <si>
    <t>10.6.2.1.3</t>
  </si>
  <si>
    <r>
      <t xml:space="preserve">Chemisage continu polyester 250 mm &lt; Ø </t>
    </r>
    <r>
      <rPr>
        <sz val="10"/>
        <rFont val="Calibri"/>
        <family val="2"/>
      </rPr>
      <t>≤</t>
    </r>
    <r>
      <rPr>
        <sz val="10"/>
        <rFont val="Arial"/>
        <family val="2"/>
      </rPr>
      <t xml:space="preserve"> 300 mm</t>
    </r>
  </si>
  <si>
    <t>10.6.2.1.4</t>
  </si>
  <si>
    <r>
      <t xml:space="preserve">Chemisage continu polyester 300 mm &lt; Ø </t>
    </r>
    <r>
      <rPr>
        <sz val="10"/>
        <rFont val="Calibri"/>
        <family val="2"/>
      </rPr>
      <t>≤</t>
    </r>
    <r>
      <rPr>
        <sz val="10"/>
        <rFont val="Arial"/>
        <family val="2"/>
      </rPr>
      <t xml:space="preserve"> 400 mm</t>
    </r>
  </si>
  <si>
    <t>10.6.2.1.5</t>
  </si>
  <si>
    <r>
      <t xml:space="preserve">Chemisage continu polyester 400 mm &lt; Ø </t>
    </r>
    <r>
      <rPr>
        <sz val="10"/>
        <rFont val="Calibri"/>
        <family val="2"/>
      </rPr>
      <t>≤</t>
    </r>
    <r>
      <rPr>
        <sz val="10"/>
        <rFont val="Arial"/>
        <family val="2"/>
      </rPr>
      <t xml:space="preserve"> 500 mm</t>
    </r>
  </si>
  <si>
    <t>10.6.2.1.6</t>
  </si>
  <si>
    <r>
      <t xml:space="preserve">Chemisage continu polyester 500 mm &lt; Ø </t>
    </r>
    <r>
      <rPr>
        <sz val="10"/>
        <rFont val="Calibri"/>
        <family val="2"/>
      </rPr>
      <t>≤</t>
    </r>
    <r>
      <rPr>
        <sz val="10"/>
        <rFont val="Arial"/>
        <family val="2"/>
      </rPr>
      <t xml:space="preserve"> 600 mm</t>
    </r>
  </si>
  <si>
    <t>10.6.2.1.7</t>
  </si>
  <si>
    <r>
      <t xml:space="preserve">Chemisage continu polyester 600 mm &lt; Ø </t>
    </r>
    <r>
      <rPr>
        <sz val="10"/>
        <rFont val="Calibri"/>
        <family val="2"/>
      </rPr>
      <t>≤</t>
    </r>
    <r>
      <rPr>
        <sz val="10"/>
        <rFont val="Arial"/>
        <family val="2"/>
      </rPr>
      <t xml:space="preserve"> 700 mm</t>
    </r>
  </si>
  <si>
    <t>10.6.2.1.8</t>
  </si>
  <si>
    <r>
      <t xml:space="preserve">Chemisage continu polyester 700 mm &lt; Ø </t>
    </r>
    <r>
      <rPr>
        <sz val="10"/>
        <rFont val="Calibri"/>
        <family val="2"/>
      </rPr>
      <t>≤</t>
    </r>
    <r>
      <rPr>
        <sz val="10"/>
        <rFont val="Arial"/>
        <family val="2"/>
      </rPr>
      <t xml:space="preserve"> 800 mm</t>
    </r>
  </si>
  <si>
    <t>10.6.2.1.9</t>
  </si>
  <si>
    <r>
      <t xml:space="preserve">Chemisage continu polyester 800 mm &lt; Ø </t>
    </r>
    <r>
      <rPr>
        <sz val="10"/>
        <rFont val="Calibri"/>
        <family val="2"/>
      </rPr>
      <t>≤</t>
    </r>
    <r>
      <rPr>
        <sz val="10"/>
        <rFont val="Arial"/>
        <family val="2"/>
      </rPr>
      <t xml:space="preserve"> 900 mm</t>
    </r>
  </si>
  <si>
    <t>10.6.2.1.10</t>
  </si>
  <si>
    <r>
      <t xml:space="preserve">Chemisage continu polyester 900 mm &lt; Ø </t>
    </r>
    <r>
      <rPr>
        <sz val="10"/>
        <rFont val="Calibri"/>
        <family val="2"/>
      </rPr>
      <t>≤</t>
    </r>
    <r>
      <rPr>
        <sz val="10"/>
        <rFont val="Arial"/>
        <family val="2"/>
      </rPr>
      <t xml:space="preserve"> 1000 mm</t>
    </r>
  </si>
  <si>
    <t>10.6.2.1.11</t>
  </si>
  <si>
    <r>
      <t xml:space="preserve">Chemisage continu polyester 1 000 mm &lt; Ø </t>
    </r>
    <r>
      <rPr>
        <sz val="10"/>
        <rFont val="Calibri"/>
        <family val="2"/>
      </rPr>
      <t>≤</t>
    </r>
    <r>
      <rPr>
        <sz val="10"/>
        <rFont val="Arial"/>
        <family val="2"/>
      </rPr>
      <t xml:space="preserve"> 1100 mm</t>
    </r>
  </si>
  <si>
    <t>10.6.2.1.12</t>
  </si>
  <si>
    <r>
      <t xml:space="preserve">Chemisage continu polyester 1100 mm &lt; Ø </t>
    </r>
    <r>
      <rPr>
        <sz val="10"/>
        <rFont val="Calibri"/>
        <family val="2"/>
      </rPr>
      <t>≤</t>
    </r>
    <r>
      <rPr>
        <sz val="10"/>
        <rFont val="Arial"/>
        <family val="2"/>
      </rPr>
      <t xml:space="preserve"> 1200 mm</t>
    </r>
  </si>
  <si>
    <t>10.6.2.2</t>
  </si>
  <si>
    <t>Chemisage continu résine époxy</t>
  </si>
  <si>
    <t>10.6.2.2.1</t>
  </si>
  <si>
    <r>
      <t xml:space="preserve">Chemisage continu époxy </t>
    </r>
    <r>
      <rPr>
        <sz val="10"/>
        <rFont val="Calibri"/>
        <family val="2"/>
      </rPr>
      <t>Ø ≤</t>
    </r>
    <r>
      <rPr>
        <sz val="10"/>
        <rFont val="Arial"/>
        <family val="2"/>
      </rPr>
      <t xml:space="preserve"> 200 mm</t>
    </r>
  </si>
  <si>
    <t>10.6.2.2.2</t>
  </si>
  <si>
    <r>
      <t xml:space="preserve">Chemisage continu époxy 200 mm &lt; Ø </t>
    </r>
    <r>
      <rPr>
        <sz val="10"/>
        <rFont val="Calibri"/>
        <family val="2"/>
      </rPr>
      <t>≤</t>
    </r>
    <r>
      <rPr>
        <sz val="10"/>
        <rFont val="Arial"/>
        <family val="2"/>
      </rPr>
      <t xml:space="preserve"> 250 mm</t>
    </r>
  </si>
  <si>
    <t>10.6.2.2.3</t>
  </si>
  <si>
    <r>
      <t xml:space="preserve">Chemisage continu époxy 250 mm &lt; Ø </t>
    </r>
    <r>
      <rPr>
        <sz val="10"/>
        <rFont val="Calibri"/>
        <family val="2"/>
      </rPr>
      <t>≤</t>
    </r>
    <r>
      <rPr>
        <sz val="10"/>
        <rFont val="Arial"/>
        <family val="2"/>
      </rPr>
      <t xml:space="preserve"> 300 mm</t>
    </r>
  </si>
  <si>
    <t>10.6.2.2.4</t>
  </si>
  <si>
    <r>
      <t xml:space="preserve">Chemisage continu époxy 300 mm &lt; Ø </t>
    </r>
    <r>
      <rPr>
        <sz val="10"/>
        <rFont val="Calibri"/>
        <family val="2"/>
      </rPr>
      <t>≤</t>
    </r>
    <r>
      <rPr>
        <sz val="10"/>
        <rFont val="Arial"/>
        <family val="2"/>
      </rPr>
      <t xml:space="preserve"> 400 mm</t>
    </r>
  </si>
  <si>
    <t>10.6.2.2.5</t>
  </si>
  <si>
    <r>
      <t xml:space="preserve">Chemisage continu époxy 400 mm &lt; Ø </t>
    </r>
    <r>
      <rPr>
        <sz val="10"/>
        <rFont val="Calibri"/>
        <family val="2"/>
      </rPr>
      <t>≤</t>
    </r>
    <r>
      <rPr>
        <sz val="10"/>
        <rFont val="Arial"/>
        <family val="2"/>
      </rPr>
      <t xml:space="preserve"> 500 mm</t>
    </r>
  </si>
  <si>
    <t>10.6.2.2.6</t>
  </si>
  <si>
    <r>
      <t xml:space="preserve">Chemisage continu époxy 500 mm &lt; Ø </t>
    </r>
    <r>
      <rPr>
        <sz val="10"/>
        <rFont val="Calibri"/>
        <family val="2"/>
      </rPr>
      <t>≤</t>
    </r>
    <r>
      <rPr>
        <sz val="10"/>
        <rFont val="Arial"/>
        <family val="2"/>
      </rPr>
      <t xml:space="preserve"> 600 mm</t>
    </r>
  </si>
  <si>
    <t>10.6.2.2.7</t>
  </si>
  <si>
    <r>
      <t xml:space="preserve">Chemisage continu époxy 600 mm &lt; Ø </t>
    </r>
    <r>
      <rPr>
        <sz val="10"/>
        <rFont val="Calibri"/>
        <family val="2"/>
      </rPr>
      <t>≤</t>
    </r>
    <r>
      <rPr>
        <sz val="10"/>
        <rFont val="Arial"/>
        <family val="2"/>
      </rPr>
      <t xml:space="preserve"> 700 mm</t>
    </r>
  </si>
  <si>
    <t>10.6.2.2.8</t>
  </si>
  <si>
    <r>
      <t xml:space="preserve">Chemisage continu époxy 700 mm &lt; Ø </t>
    </r>
    <r>
      <rPr>
        <sz val="10"/>
        <rFont val="Calibri"/>
        <family val="2"/>
      </rPr>
      <t>≤</t>
    </r>
    <r>
      <rPr>
        <sz val="10"/>
        <rFont val="Arial"/>
        <family val="2"/>
      </rPr>
      <t xml:space="preserve"> 800 mm</t>
    </r>
  </si>
  <si>
    <t>10.6.2.2.9</t>
  </si>
  <si>
    <r>
      <t xml:space="preserve">Chemisage continu époxy 800 mm &lt; Ø </t>
    </r>
    <r>
      <rPr>
        <sz val="10"/>
        <rFont val="Calibri"/>
        <family val="2"/>
      </rPr>
      <t>≤</t>
    </r>
    <r>
      <rPr>
        <sz val="10"/>
        <rFont val="Arial"/>
        <family val="2"/>
      </rPr>
      <t xml:space="preserve"> 900 mm</t>
    </r>
  </si>
  <si>
    <t>10.6.2.2.10</t>
  </si>
  <si>
    <r>
      <t xml:space="preserve">Chemisage continu époxy 900 mm &lt; Ø </t>
    </r>
    <r>
      <rPr>
        <sz val="10"/>
        <rFont val="Calibri"/>
        <family val="2"/>
      </rPr>
      <t>≤</t>
    </r>
    <r>
      <rPr>
        <sz val="10"/>
        <rFont val="Arial"/>
        <family val="2"/>
      </rPr>
      <t xml:space="preserve"> 1000 mm</t>
    </r>
  </si>
  <si>
    <t>10.6.2.2.11</t>
  </si>
  <si>
    <r>
      <t xml:space="preserve">Chemisage continu époxy 1000 mm &lt; Ø </t>
    </r>
    <r>
      <rPr>
        <sz val="10"/>
        <rFont val="Calibri"/>
        <family val="2"/>
      </rPr>
      <t>≤</t>
    </r>
    <r>
      <rPr>
        <sz val="10"/>
        <rFont val="Arial"/>
        <family val="2"/>
      </rPr>
      <t xml:space="preserve"> 11 00 mm</t>
    </r>
  </si>
  <si>
    <t>10.6.2.2.12</t>
  </si>
  <si>
    <r>
      <t xml:space="preserve">Chemisage continu époxy 1100 mm &lt; Ø </t>
    </r>
    <r>
      <rPr>
        <sz val="10"/>
        <rFont val="Calibri"/>
        <family val="2"/>
      </rPr>
      <t>≤</t>
    </r>
    <r>
      <rPr>
        <sz val="10"/>
        <rFont val="Arial"/>
        <family val="2"/>
      </rPr>
      <t xml:space="preserve"> 1200 mm</t>
    </r>
  </si>
  <si>
    <t>10.6.2.3</t>
  </si>
  <si>
    <t>Chemisage continu aux UV</t>
  </si>
  <si>
    <t>10.6.2.3.1</t>
  </si>
  <si>
    <r>
      <t xml:space="preserve">Chemisage continu aux UV </t>
    </r>
    <r>
      <rPr>
        <sz val="10"/>
        <rFont val="Calibri"/>
        <family val="2"/>
      </rPr>
      <t>Ø ≤</t>
    </r>
    <r>
      <rPr>
        <sz val="10"/>
        <rFont val="Arial"/>
        <family val="2"/>
      </rPr>
      <t xml:space="preserve"> 200 mm</t>
    </r>
  </si>
  <si>
    <t>10.6.2.3.2</t>
  </si>
  <si>
    <r>
      <t xml:space="preserve">Chemisage continu aux UV 200 mm &lt; Ø </t>
    </r>
    <r>
      <rPr>
        <sz val="10"/>
        <rFont val="Calibri"/>
        <family val="2"/>
      </rPr>
      <t>≤</t>
    </r>
    <r>
      <rPr>
        <sz val="10"/>
        <rFont val="Arial"/>
        <family val="2"/>
      </rPr>
      <t xml:space="preserve"> 250 mm</t>
    </r>
  </si>
  <si>
    <t>10.6.2.3.3</t>
  </si>
  <si>
    <r>
      <t xml:space="preserve">Chemisage continu aux UV 250 mm &lt; Ø </t>
    </r>
    <r>
      <rPr>
        <sz val="10"/>
        <rFont val="Calibri"/>
        <family val="2"/>
      </rPr>
      <t>≤</t>
    </r>
    <r>
      <rPr>
        <sz val="10"/>
        <rFont val="Arial"/>
        <family val="2"/>
      </rPr>
      <t xml:space="preserve"> 300 mm</t>
    </r>
  </si>
  <si>
    <t>10.6.2.3.4</t>
  </si>
  <si>
    <r>
      <t xml:space="preserve">Chemisage continu aux UV 300 mm &lt; Ø </t>
    </r>
    <r>
      <rPr>
        <sz val="10"/>
        <rFont val="Calibri"/>
        <family val="2"/>
      </rPr>
      <t>≤</t>
    </r>
    <r>
      <rPr>
        <sz val="10"/>
        <rFont val="Arial"/>
        <family val="2"/>
      </rPr>
      <t xml:space="preserve"> 400 mm</t>
    </r>
  </si>
  <si>
    <t>10.6.2.3.5</t>
  </si>
  <si>
    <r>
      <t xml:space="preserve">Chemisage continu aux UV 400 mm &lt; Ø </t>
    </r>
    <r>
      <rPr>
        <sz val="10"/>
        <rFont val="Calibri"/>
        <family val="2"/>
      </rPr>
      <t>≤</t>
    </r>
    <r>
      <rPr>
        <sz val="10"/>
        <rFont val="Arial"/>
        <family val="2"/>
      </rPr>
      <t xml:space="preserve"> 500 mm</t>
    </r>
  </si>
  <si>
    <t>10.6.2.3.6</t>
  </si>
  <si>
    <r>
      <t xml:space="preserve">Chemisage continu aux UV 500 mm &lt; Ø </t>
    </r>
    <r>
      <rPr>
        <sz val="10"/>
        <rFont val="Calibri"/>
        <family val="2"/>
      </rPr>
      <t>≤</t>
    </r>
    <r>
      <rPr>
        <sz val="10"/>
        <rFont val="Arial"/>
        <family val="2"/>
      </rPr>
      <t xml:space="preserve"> 600 mm</t>
    </r>
  </si>
  <si>
    <t>10.6.2.3.7</t>
  </si>
  <si>
    <r>
      <t xml:space="preserve">Chemisage continu aux UV 600 mm &lt; Ø </t>
    </r>
    <r>
      <rPr>
        <sz val="10"/>
        <rFont val="Calibri"/>
        <family val="2"/>
      </rPr>
      <t>≤</t>
    </r>
    <r>
      <rPr>
        <sz val="10"/>
        <rFont val="Arial"/>
        <family val="2"/>
      </rPr>
      <t xml:space="preserve"> 700 mm</t>
    </r>
  </si>
  <si>
    <t>10.6.2.3.8</t>
  </si>
  <si>
    <r>
      <t xml:space="preserve">Chemisage continu aux UV 700 mm &lt; Ø </t>
    </r>
    <r>
      <rPr>
        <sz val="10"/>
        <rFont val="Calibri"/>
        <family val="2"/>
      </rPr>
      <t>≤</t>
    </r>
    <r>
      <rPr>
        <sz val="10"/>
        <rFont val="Arial"/>
        <family val="2"/>
      </rPr>
      <t xml:space="preserve"> 800 mm</t>
    </r>
  </si>
  <si>
    <t>10.6.2.3.9</t>
  </si>
  <si>
    <r>
      <t xml:space="preserve">Chemisage continu aux UV 800 mm &lt; Ø </t>
    </r>
    <r>
      <rPr>
        <sz val="10"/>
        <rFont val="Calibri"/>
        <family val="2"/>
      </rPr>
      <t>≤</t>
    </r>
    <r>
      <rPr>
        <sz val="10"/>
        <rFont val="Arial"/>
        <family val="2"/>
      </rPr>
      <t xml:space="preserve"> 900 mm</t>
    </r>
  </si>
  <si>
    <t>10.6.2.3.10</t>
  </si>
  <si>
    <r>
      <t xml:space="preserve">Chemisage continu aux UV 900 mm &lt; Ø </t>
    </r>
    <r>
      <rPr>
        <sz val="10"/>
        <rFont val="Calibri"/>
        <family val="2"/>
      </rPr>
      <t>≤</t>
    </r>
    <r>
      <rPr>
        <sz val="10"/>
        <rFont val="Arial"/>
        <family val="2"/>
      </rPr>
      <t xml:space="preserve"> 1000 mm</t>
    </r>
  </si>
  <si>
    <t>10.6.2.3.11</t>
  </si>
  <si>
    <r>
      <t xml:space="preserve">Chemisage continu aux UV 1000 mm &lt; Ø </t>
    </r>
    <r>
      <rPr>
        <sz val="10"/>
        <rFont val="Calibri"/>
        <family val="2"/>
      </rPr>
      <t>≤</t>
    </r>
    <r>
      <rPr>
        <sz val="10"/>
        <rFont val="Arial"/>
        <family val="2"/>
      </rPr>
      <t xml:space="preserve"> 11 00 mm</t>
    </r>
  </si>
  <si>
    <t>10.6.2.3.12</t>
  </si>
  <si>
    <r>
      <t xml:space="preserve">Chemisage continu aux UV 1100 mm &lt; Ø </t>
    </r>
    <r>
      <rPr>
        <sz val="10"/>
        <rFont val="Calibri"/>
        <family val="2"/>
      </rPr>
      <t>≤</t>
    </r>
    <r>
      <rPr>
        <sz val="10"/>
        <rFont val="Arial"/>
        <family val="2"/>
      </rPr>
      <t xml:space="preserve"> 1200 mm</t>
    </r>
  </si>
  <si>
    <t>10.7</t>
  </si>
  <si>
    <t>REHABILITATION PAR TUBAGE PAR TUYAUX CONTINUS SANS ESPACE ANNULAIRE</t>
  </si>
  <si>
    <t>10.7.1</t>
  </si>
  <si>
    <t>Amenée et repli du matériel de tubage par tuyaux continus sans espace annulaire</t>
  </si>
  <si>
    <t>Ce prix s’applique au forfait pour la mise à disposition des matériels, l’installation et le repli des matériels nécessaires à la mise en œuvre de tubage par tuyaux continus sans espace annulaire.</t>
  </si>
  <si>
    <t>Il comprend le chargement, le transport, l’amenée du matériel et des équipes, l’installation aux endroits indiqués par le Maître d’œuvre et le repliement de tout le matériel ainsi que la mise en place des matériels de signalisation.</t>
  </si>
  <si>
    <t xml:space="preserve">LE FORFAIT: </t>
  </si>
  <si>
    <t>10.7.2</t>
  </si>
  <si>
    <t>Tubage sans espace annulaire par tuyaux continus</t>
  </si>
  <si>
    <t>Ces prix rémunèrent forfaitairement au mètre linéaire de canalisation à tuber, la fourniture, le transport à pied d'œuvre, le stockage des tuyaux ainsi que leur reprise depuis l'aire de stockage jusqu'au lieu du chantier, la création d'éventuels puits d'accès ou l'agrandissement des regards existants y compris toutes sujétions, la mise en place des tubes pré-déformés à froid ou à chaud, la soudure, l’introduction, l’étanchéité du raccordement, le transport, ainsi que tous les travaux préparatoires (nettoyage …).</t>
  </si>
  <si>
    <t>La note de calcul de justification mécanique de dimensionnement est à la charge de l'entreprise. Elle est comprise dans ces prix.</t>
  </si>
  <si>
    <t>10.7.2.1</t>
  </si>
  <si>
    <t>Tuyaux Ø ≤ 250 mm</t>
  </si>
  <si>
    <t>10.7.2.2</t>
  </si>
  <si>
    <t>Tuyaux de 250 mm &lt; Ø ≤ 300 mm</t>
  </si>
  <si>
    <t>10.7.2.3</t>
  </si>
  <si>
    <t>Tuyaux de 300 mm &lt; Ø ≤ 400 mm</t>
  </si>
  <si>
    <t>10.7.2.4</t>
  </si>
  <si>
    <t>Tuyaux de 400 mm &lt; Ø ≤ 600 mm</t>
  </si>
  <si>
    <t>10.7.2.5</t>
  </si>
  <si>
    <t>Tuyaux de 600 mm &lt; Ø ≤ 800 mm</t>
  </si>
  <si>
    <t>10.7.2.6</t>
  </si>
  <si>
    <t>Tuyaux de 800 mm &lt; Ø ≤ 1000 mm</t>
  </si>
  <si>
    <t>10.7.2.7</t>
  </si>
  <si>
    <t>Tuyaux de 1000 mm &lt; Ø ≤ 1200 mm</t>
  </si>
  <si>
    <t>10.8</t>
  </si>
  <si>
    <t>REHABILITATION PAR TUBAGE AVEC ESPACE ANNULAIRE</t>
  </si>
  <si>
    <t>10.8.1</t>
  </si>
  <si>
    <t>Amenée et repli du matériel de tubage avec espace annulaire</t>
  </si>
  <si>
    <t xml:space="preserve">Ce prix s’applique au forfait pour la mise à disposition, l’installation et le repli des matériels nécessaires à la mise en œuvre d’éléments préfabriqués  avec espace annulaire et du matériel d’injection de coulis. </t>
  </si>
  <si>
    <t>Il comprend le chargement, le transport, l’amenée des matériels et des équipes, l’installation aux endroits indiqués par le Maître d’œuvre et le repliement de tout le matériel ainsi que la mise en place des matériels de signalisation.</t>
  </si>
  <si>
    <t>10.8.2</t>
  </si>
  <si>
    <t xml:space="preserve">Tubage avec espace annulaire  </t>
  </si>
  <si>
    <t>Ces prix rémunèrent forfaitairement au mètre linéaire de collecteur à tuber par éléments préfabriqués quel que soit le type :</t>
  </si>
  <si>
    <t xml:space="preserve">- la fourniture, le transport à pied d'œuvre, le stockage des éléments préfabriqués ainsi que leur reprise depuis l'aire de stockage jusqu'au lieu du chantier, </t>
  </si>
  <si>
    <r>
      <t>-</t>
    </r>
    <r>
      <rPr>
        <sz val="7"/>
        <rFont val="Times New Roman"/>
        <family val="1"/>
      </rPr>
      <t> </t>
    </r>
    <r>
      <rPr>
        <sz val="10"/>
        <rFont val="Arial"/>
        <family val="2"/>
      </rPr>
      <t>la création d'éventuels puits d'accès ou l'agrandissement des regards existants y compris toutes sujétions, de blindage, de démolition, de réfection…</t>
    </r>
  </si>
  <si>
    <r>
      <t>-</t>
    </r>
    <r>
      <rPr>
        <sz val="7"/>
        <rFont val="Times New Roman"/>
        <family val="1"/>
      </rPr>
      <t> </t>
    </r>
    <r>
      <rPr>
        <sz val="10"/>
        <rFont val="Arial"/>
        <family val="2"/>
      </rPr>
      <t xml:space="preserve">la mise en place des coques rigides, leur calage, le transport, </t>
    </r>
  </si>
  <si>
    <r>
      <t>-</t>
    </r>
    <r>
      <rPr>
        <sz val="7"/>
        <rFont val="Times New Roman"/>
        <family val="1"/>
      </rPr>
      <t xml:space="preserve">   </t>
    </r>
    <r>
      <rPr>
        <sz val="10"/>
        <rFont val="Arial"/>
        <family val="2"/>
      </rPr>
      <t>les opérations de soudure ou de raccordement étanche des éléments.</t>
    </r>
  </si>
  <si>
    <t>La fourniture, la confection et la mise en œuvre du coulis de remplissage du vide annulaire  sont rémunérées par les prix 9.10</t>
  </si>
  <si>
    <t>10.8.2.1</t>
  </si>
  <si>
    <t>10.8.2.2</t>
  </si>
  <si>
    <t>10.8.2.3</t>
  </si>
  <si>
    <t>10.8.2.4</t>
  </si>
  <si>
    <t>10.8.2.5</t>
  </si>
  <si>
    <t>10.8.2.6</t>
  </si>
  <si>
    <t>10.8.2.7</t>
  </si>
  <si>
    <t>10.9</t>
  </si>
  <si>
    <t>REOUVERTURE DES BRANCHEMENTS APRES GAINAGE / TUBAGE</t>
  </si>
  <si>
    <t>10.9.1</t>
  </si>
  <si>
    <t>Amenée, installation et repli du robot</t>
  </si>
  <si>
    <t>Ce prix rémunère l'amenée du matériel à pied d'œuvre, son installation en égout et son repli. Il s'applique au forfait.</t>
  </si>
  <si>
    <t>10.9.2</t>
  </si>
  <si>
    <t>Réouverture de branchement dans canalisation par Robot</t>
  </si>
  <si>
    <t>Ce prix s'applique à l'unité forfaitaire de branchement pour la réouverture par l'intérieur de branchement particulier existant à l'aide de robot télécommandé.</t>
  </si>
  <si>
    <t>Il comprend la réouverture soignée des branchements sous contrôle vidéo, y compris la mise en oeuvre et le fonctionnement du système de télévision en circuit fermé.</t>
  </si>
  <si>
    <t>Il tient compte de toutes les fournitures, sujétions et main d'œuvre nécessaires à l'opération ainsi que de la présence d'eau dans la canalisation réhabilitée et dans le branchement en service. Il s'applique pour la réouverture d'un branchement direct dan</t>
  </si>
  <si>
    <t>10.9.3</t>
  </si>
  <si>
    <t>Réouverture de branchement dans boite borgne par Robot</t>
  </si>
  <si>
    <t>Ce prix s'applique à l'unité forfaitaire de branchement pour la réouverture par l'intérieur de branchement particulier existant dans une boîte borgne à l'aide de robot télécommandé.</t>
  </si>
  <si>
    <t>Il tient compte de toutes les fournitures, sujétions et main d'œuvre nécessaires à l'opération ainsi que de la présence d'eau dans la canalisation réhabilitée et dans le branchement en service. Il s'applique pour la réouverture d'un branchement dans une b</t>
  </si>
  <si>
    <t>10.10</t>
  </si>
  <si>
    <t>REPARATION DES DEFAUTS LOCALISES PAR ROBOT</t>
  </si>
  <si>
    <t>10.10.1</t>
  </si>
  <si>
    <t>Amenée, repli et mise à disposition du matériel</t>
  </si>
  <si>
    <t>Ce prix rémunère à la journée la mise à disposition du personnel et matériels nécessaires à la réparation des défauts localisés par robot à l’intérieur de canalisations.</t>
  </si>
  <si>
    <t>Il règle le déplacement du robot d’un tronçon à l’autre.</t>
  </si>
  <si>
    <t>10.10.2</t>
  </si>
  <si>
    <t>Réparation de trous, perforations, fissures localisées par Robot</t>
  </si>
  <si>
    <t xml:space="preserve">Ce prix rémunère à l'heure l'utilisation d'un robot multifonctions pour la réparation de défauts localisés dans les canalisations. Il comprend l'amenée, la descente en égout du robot, la réalisation de la réparation. Il comprend également les fournitures </t>
  </si>
  <si>
    <t>10.10.3</t>
  </si>
  <si>
    <t>Injection de résine</t>
  </si>
  <si>
    <t xml:space="preserve">Ce prix rémunère au litre l'injection de résine pour la réparation de défauts localisés dans les canalisations. Il comprend l'amenée, la descente en égout du robot, la réalisation de l'injection et le repli. Toute sujetion comprise. </t>
  </si>
  <si>
    <t>LE LITRE</t>
  </si>
  <si>
    <t>L</t>
  </si>
  <si>
    <t>10.10.4</t>
  </si>
  <si>
    <t>Réparation de branchement pénétrant</t>
  </si>
  <si>
    <t>Ce prix rémunère à l'unité, la réparation d'un branchement pénétrant quel que soit le diamètre de la canalisation d'accueil et la présence d'effluents en provenance de branchements. Il comprend notamment le fraisage des parois du branchement pénétrant, le</t>
  </si>
  <si>
    <t>Il inclut la fourniture d'un CD ROM retraçant la réparation.</t>
  </si>
  <si>
    <t>10.10.4.1</t>
  </si>
  <si>
    <r>
      <t xml:space="preserve">Réparation de branchement pénétrant Ø </t>
    </r>
    <r>
      <rPr>
        <sz val="10"/>
        <rFont val="Calibri"/>
        <family val="2"/>
      </rPr>
      <t>≤</t>
    </r>
    <r>
      <rPr>
        <i/>
        <sz val="10"/>
        <rFont val="Arial"/>
        <family val="2"/>
      </rPr>
      <t xml:space="preserve"> 200 mm</t>
    </r>
  </si>
  <si>
    <t>10.10.4.2</t>
  </si>
  <si>
    <r>
      <t xml:space="preserve">Réparation de branchement pénétrant 200 &lt; Ø </t>
    </r>
    <r>
      <rPr>
        <sz val="10"/>
        <rFont val="Calibri"/>
        <family val="2"/>
      </rPr>
      <t>≤</t>
    </r>
    <r>
      <rPr>
        <i/>
        <sz val="10"/>
        <rFont val="Arial"/>
        <family val="2"/>
      </rPr>
      <t xml:space="preserve"> 300 mm</t>
    </r>
  </si>
  <si>
    <t>11</t>
  </si>
  <si>
    <t>REHABILITATION ET RENFORCEMENT STRUCTUREL DE COLLECTEURS VISITABLES ET REGARDS DE VISITE</t>
  </si>
  <si>
    <t>11.1</t>
  </si>
  <si>
    <t>CURAGE - NETTOYAGE</t>
  </si>
  <si>
    <t>11.1.1</t>
  </si>
  <si>
    <t>Curage, extraction et évacuation de sables</t>
  </si>
  <si>
    <t>Ce prix rémunère au mètre cube, le curage, l'extraction, et l’évacuation en décharge dans le cadre de travaux de nettoyage préliminaires à un chantier de réhabilitation, de vases, sables et autres produits de curage des collecteurs visitables et semi visitables, quelles que soient leurs caractéristiques, pompables ou non, et quel que soit le procédé utilisé, compris écopage, travail dans l'eau, présence de câbles et de canalisations, transport sous galerie, montage, chargement en camion, transport en un centre de traitement agréé, frais de décharge.</t>
  </si>
  <si>
    <t>11.1.2</t>
  </si>
  <si>
    <t>Plus-value au prix 11.1.1 pour curage, extraction et évacuation de corps volumineux &gt; 30 dm3</t>
  </si>
  <si>
    <t>11.1.3</t>
  </si>
  <si>
    <t>Extraction de tous produits exceptés ceux de curage</t>
  </si>
  <si>
    <t>Ce prix rémunère l'extraction de l’ouvrage, quels que soient les moyens employés, le chargement, le transport en décharge agréée, les frais de décharge, de tous produits à l’exception de ceux de curage.</t>
  </si>
  <si>
    <t>11.1.4</t>
  </si>
  <si>
    <t>Plus-value au prix 11.1.3 pour utilisation de big-bag avec accord du maître d'œuvre</t>
  </si>
  <si>
    <t>11.1.5</t>
  </si>
  <si>
    <t>Nettoyage général</t>
  </si>
  <si>
    <t xml:space="preserve">Ce prix rémunère l'amenée et le repli du matériel et le nettoyage général du parement de l’ouvrage à l'eau à haute pression (15 MPa minimum) avant tous travaux de réhabilitation. 
</t>
  </si>
  <si>
    <t>Il rémunère le m² de parement nettoyé de la zone de travail.</t>
  </si>
  <si>
    <t>11.1.6</t>
  </si>
  <si>
    <t>Nettoyage des égouts après débordement</t>
  </si>
  <si>
    <t xml:space="preserve">Ce prix rémunère l'amenée et le repli du matériel et le nettoyage général du parement de l’ouvrage (galerie principale, regard de visite, bouches d’égouts...), après débordement. 
Il sera appliqué sur accord préalable du maître d’œuvre ou maître d'ouvrage, pour un nettoyage suite à une inondation due à un orage.
</t>
  </si>
  <si>
    <t>Il rémunère le m² de parement nettoyé après débordement.</t>
  </si>
  <si>
    <t>11.1.7</t>
  </si>
  <si>
    <t>Installation et repli d'un chantier en égout</t>
  </si>
  <si>
    <t>Ce prix rémunère l'amenée, la mise en place, tout déplacement en cours de travaux et le repli de l’installation d’éclairage de l’ensemble des ouvrages comprenant au moins un point lumineux tous les 10 m, la mise en place du système de repérage décamétrique, les moyens de communication sur chantier, la ventilation mécanique de l’ouvrage si besoin est, toutes sujétions incluses.</t>
  </si>
  <si>
    <t>11.2</t>
  </si>
  <si>
    <t xml:space="preserve">DÉPOSE DE CABLES, CONDUITES ET SUPPORTS EN COLLECTEUR D'ASSAINISSEMENT VISITABLE </t>
  </si>
  <si>
    <t>Démontage et évacuation des conduites et canalisation désaffectées</t>
  </si>
  <si>
    <t>Ces prix rémunèrent, au mètre linéaire, la dépose, la découpe et l’évacuation des conduites et canalisations désaffectées, y compris la dépose par sectionnement au ras du support ou par descellement, la découpe, l’évacuation des supports dans un centre d’élimination et la remise en état du parement.</t>
  </si>
  <si>
    <t>11.2.1.1</t>
  </si>
  <si>
    <t>Conduites Ø ≤ 100 mm</t>
  </si>
  <si>
    <t>11.2.1.2</t>
  </si>
  <si>
    <t>Conduites Ø &gt; 100 mm</t>
  </si>
  <si>
    <t>Dépose de supports désaffectés</t>
  </si>
  <si>
    <t>Ces prix rémunèrent la dépose des supports métalliques désaffectés par sectionnement au ras du support ou par descellement, la découpe et l’évacuation de supports, y compris enlèvement et transport dans un centre d’élimination ainsi que tous les travaux de maçonnerie nécessaires pour le rebouchage des trous et la remise en état du parement.</t>
  </si>
  <si>
    <t>11.2.2.1</t>
  </si>
  <si>
    <r>
      <t>Section inférieure à 2 cm</t>
    </r>
    <r>
      <rPr>
        <i/>
        <vertAlign val="superscript"/>
        <sz val="10"/>
        <rFont val="Arial"/>
        <family val="2"/>
      </rPr>
      <t xml:space="preserve">2 </t>
    </r>
  </si>
  <si>
    <t>11.2.2.2</t>
  </si>
  <si>
    <r>
      <t>Section comprise entre 2 et 5 cm</t>
    </r>
    <r>
      <rPr>
        <i/>
        <vertAlign val="superscript"/>
        <sz val="10"/>
        <rFont val="Arial"/>
        <family val="2"/>
      </rPr>
      <t>2</t>
    </r>
  </si>
  <si>
    <t>11.2.2.3</t>
  </si>
  <si>
    <r>
      <t>Section supérieure à 5 cm</t>
    </r>
    <r>
      <rPr>
        <i/>
        <vertAlign val="superscript"/>
        <sz val="10"/>
        <rFont val="Arial"/>
        <family val="2"/>
      </rPr>
      <t xml:space="preserve">2 </t>
    </r>
  </si>
  <si>
    <t>Dépose de câbles</t>
  </si>
  <si>
    <t>Ces prix rémunèrent la dépose, la découpe et l’évacuation des câbles désaffectés, y compris l’enlèvement et le transport dans un centre d’élimination.</t>
  </si>
  <si>
    <t>Ils comprennent également la dépose par sectionnement au ras du support ou par descellement, la découpe, l’évacuation des supports de câbles dans un centre d’élimination et la remise en état du parement, toutes sujétions comprises.</t>
  </si>
  <si>
    <t>Ces prix comprennent également toutes les protections, platelages ainsi que la location de tout le matériel nécessaire à l’exécution de ces prestations.</t>
  </si>
  <si>
    <t>11.2.3.1</t>
  </si>
  <si>
    <t>Câbles Ø ≤ 5 cm ou "diamètre équivalent"</t>
  </si>
  <si>
    <t>11.2.3.2</t>
  </si>
  <si>
    <t>Câbles Ø &gt; 5 cm ou "diamètre équivalent"</t>
  </si>
  <si>
    <t>Dépose de chemin de câbles</t>
  </si>
  <si>
    <t>Ce prix rémunère la dépose, la découpe et l’évacuation d’un chemin de câbles désaffecté, y compris l’enlèvement des tôles, la dépose par sectionnement au ras du support ou par descellement, la découpe, l’évacuation des supports dans un centre d’élimination et la remise en état du parement.</t>
  </si>
  <si>
    <t>11.3</t>
  </si>
  <si>
    <t>MISE EN ŒUVRE DE PLANCHER PROVISOIRE</t>
  </si>
  <si>
    <t>Mise en place et enlèvement de plancher provisoire en égout</t>
  </si>
  <si>
    <t>Ce prix sera appliqué après accord du Maître d’œuvre.</t>
  </si>
  <si>
    <t>Il s'applique au mètre carré pour la mise en place et l'enlèvement de plancher provisoire en égout.</t>
  </si>
  <si>
    <t>Il comprend la fourniture des éléments à pied d’œuvre, leur assemblage quelle que soit la hauteur des effluents, le calage du plancher et son évacuation en fin de travaux.</t>
  </si>
  <si>
    <t>Le plancher mis en place sera constitué d’éléments ajourés et de rigoles en base de  piédroits pour  la récupération des pertes d’enduits.</t>
  </si>
  <si>
    <t>Déplacement de plancher provisoire en égout</t>
  </si>
  <si>
    <t>Ce prix s'applique au mètre carré pour le déplacement de plancher provisoire en égout.</t>
  </si>
  <si>
    <t>Location de plancher</t>
  </si>
  <si>
    <t xml:space="preserve">Ce prix s'applique au mètre carré par jour pour la location de plancher provisoire posé en égout.
</t>
  </si>
  <si>
    <t>Le temps de location sera compté par jour calendaire de présence de plancher en égout.</t>
  </si>
  <si>
    <t>LE METRE CARRE PAR JOUR</t>
  </si>
  <si>
    <t>M2/J</t>
  </si>
  <si>
    <t>11.4</t>
  </si>
  <si>
    <t>CONSOLIDATION DES OUVRAGES PAR INJECTIONS</t>
  </si>
  <si>
    <t>Forages et perforations</t>
  </si>
  <si>
    <t>11.4.1.1</t>
  </si>
  <si>
    <t>Amenée et repli de l'installation d'un atelier de forage</t>
  </si>
  <si>
    <t>Ces prix rémunèrent au forfait l’amenée et le repli d'un atelier de forage (perforatrices, tubages, tiges, matériels de préparation et d'épuration des coulis de forage et de gaine...), y compris la fourniture d'énergie jusqu'au point de perforation et y compris conduite de transport, la préparation, l'amenée, l'installation, la mise en service dans l’ouvrage, tout déplacement dans l’ouvrage ou hors de l’ouvrage et le repli d'un atelier de forage (perforatrices, pompes, moteurs, tiges, tubages, outillages divers, trépieds, matériel de préparation et d'épuration des coulis...) compris tout frais d'entretien, de réparation, d'aménagement des plates-formes de travail, bacs de décantation etc ...</t>
  </si>
  <si>
    <t>11.4.1.1.1</t>
  </si>
  <si>
    <t>Pour forages depuis la surface</t>
  </si>
  <si>
    <t>11.4.1.1.2</t>
  </si>
  <si>
    <t>Pour forages depuis l'intérieur d'un collecteur</t>
  </si>
  <si>
    <t>11.4.1.2</t>
  </si>
  <si>
    <t xml:space="preserve">Forages pour injection de traitement de terrain </t>
  </si>
  <si>
    <t>Ces prix rémunèrent au mètre linéaire l’exécution des forages pour injection de traitement de terrains à partir de la surface ou d’un collecteur, y compris la mise en station sur chaque point de forage et la perforation des maçonneries, son équipement pour l'injection, toutes les fournitures, la mise en œuvre ainsi que le rebouchage du trou au moyen d’un mortier sans retrait après l’injection.</t>
  </si>
  <si>
    <t>11.4.1.2.1</t>
  </si>
  <si>
    <t>11.4.1.2.2</t>
  </si>
  <si>
    <t>Forages depuis le radier du collecteur</t>
  </si>
  <si>
    <t>11.4.1.3</t>
  </si>
  <si>
    <t>Fourniture et mise en oeuvre tube lisse ou à manchette y compris le coulis de gaine</t>
  </si>
  <si>
    <t>11.4.1.4</t>
  </si>
  <si>
    <t>Perforation de la structure du collecteur pour injection (autre qu'injection de traitement de terrain) jusqu'à 0,40 m de profondeur</t>
  </si>
  <si>
    <t>Ces prix rémunèrent à l’unité les perforations pour injection, réalisées à l’intérieur de l’ouvrage y compris le déplacement et la mise en station sur chaque forage, son équipement pour l'injection, toutes les fournitures, la mise en œuvre ainsi que le rebouchage du trou au moyen d’un mortier sans retrait après l’injection.</t>
  </si>
  <si>
    <t xml:space="preserve">Ces prix comprennent :
˗ la mise en place de matériel de perforation sur chaque emplacement et son déplacement entre chaque point de forage dans l'ouvrage,
˗ l’exécution du forage conformément aux prescriptions du C.C.T.P. ,
˗ le nettoyage du forage à l’eau avant injection, sauf indication contraire du Maître d’œuvre,
˗ la fourniture, la pose et la dépose du matériel d’équipement des têtes de forage, y compris leur protection en radier (canules d’injection scellées au droit du forage ou canules autobloquantes),
˗ le rebouchage du forage après injection qui comprend :
    • la purge du forage sur 10 cm (dans le cas de maçonnerie) ou sur toute l’épaisseur du matériau foré dans le cas du béton armé ou non,
    • le nettoyage du forage,
    • le rebouchage soigné à l’aide d’un mortier hydraulique modifié à retrait compensé agréé par le maître d’œuvre,
    • la réalisation éventuelle d’un raccord avec l’enduit existant.
</t>
  </si>
  <si>
    <t>La rémunération des forages s'effectue quelles que soient les conditions d'exécution, que les forages soient droits ou inclinés.</t>
  </si>
  <si>
    <t>Les points de foration seront réalisés conformément au C.C.T.P. et un plan de foration sera préalablement soumis à l’approbation du maître d’œuvre.</t>
  </si>
  <si>
    <t>La quantité à prendre en compte pour la rémunération résulte des plans d'exécution établis par l'entrepreneur et visés par le maître d'œuvre, et des contrôles contradictoires effectués après exécution des forages.</t>
  </si>
  <si>
    <t>Ce prix s’applique toutes sujétions comprises</t>
  </si>
  <si>
    <t>Jusqu’à 0,40 m de profondeur :</t>
  </si>
  <si>
    <t>11.4.1.4.1</t>
  </si>
  <si>
    <t>dans un ouvrage en meulière</t>
  </si>
  <si>
    <t>11.4.1.4.2</t>
  </si>
  <si>
    <t>dans un ouvrage en béton</t>
  </si>
  <si>
    <t>11.4.1.5</t>
  </si>
  <si>
    <t>Plus-value au prix 11.4.1.4 par tranche de 10 cm</t>
  </si>
  <si>
    <t>11.4.1.5.1</t>
  </si>
  <si>
    <t>plus-value au prix 11.4.1.4.1</t>
  </si>
  <si>
    <t>11.4.1.5.2</t>
  </si>
  <si>
    <t>plus-value au prix 11.4.1.4.2</t>
  </si>
  <si>
    <t>11.4.1.6</t>
  </si>
  <si>
    <t>Plus-value aux prix 11.4.1.4 pour perforation dans un collecteur de hauteur &lt; 1,60 m</t>
  </si>
  <si>
    <t>11.4.1.7</t>
  </si>
  <si>
    <t>Reforage de forages déjà injectés</t>
  </si>
  <si>
    <t>Ce prix s’applique à l’unité pour le reforage de forages déjà injectés, dans le cas des injections de seconde passe et dans les mêmes conditions que les prix précédents.</t>
  </si>
  <si>
    <t>Ce prix s’applique quelle que soit la profondeur de reforage.</t>
  </si>
  <si>
    <t>Ce prix comprend toutes les fournitures et sujétions de mise en œuvre nécessaires à ce type de travaux, y compris les déplacements éventuels du matériel ou des ateliers de forage ainsi que la dépose et la repose des canules, canules autobloquantes ou tubes à manchettes.</t>
  </si>
  <si>
    <t>11.4.1.8</t>
  </si>
  <si>
    <t>Equipement de la tête de forage</t>
  </si>
  <si>
    <t>Ce prix s'applique pour l'équipement de chaque tête de forage à l’aide d’un obturateur avec vanne en tête de forage et d’un dispositif de raccord sur la conduite d'amenée du coulis.</t>
  </si>
  <si>
    <t>Il s'applique quel que soit le matériel mis en œuvre, canule en plastique, manchette à sceller, manchette « métro », etc.</t>
  </si>
  <si>
    <t>Ce prix comprend la fourniture et la mise en place du matériel sur chaque trou ainsi que son scellement éventuel dans l'épaisseur de la maçonnerie de l'ouvrage, sa dépose après injection et son repliement.</t>
  </si>
  <si>
    <t>11.4.1.9</t>
  </si>
  <si>
    <t xml:space="preserve">Equipement des fissures au moyen de canules </t>
  </si>
  <si>
    <t>Ce prix rémunère l'équipement des fissures destinées à l’injection au moyen de canules (3 canules par mètre linéaire), compris perforation et scellement, toutes fournitures comprises.</t>
  </si>
  <si>
    <t>11.4.2</t>
  </si>
  <si>
    <t>Injections</t>
  </si>
  <si>
    <t>Centrale d'injection à 4 presses</t>
  </si>
  <si>
    <t>Ce prix rémunère au forfait l'amenée, la mise en place et le repli de la centrale d’injection, comprenant quatre presses, destinées à desservir tous les travaux de traitement par injection à exécuter (injections de traitement de terrain, de remplissage de vides annulaires ou à l’extrados, de régénération ou de collage). Il comprend la préparation, le transport, l'installation, la mise en service et le repli, de l'ensemble des équipements composé de : pompes d'injection, appareillages de stockage, de mélange, de dosage, de contrôle, l'aménagement des plates-formes de travail, bacs de décantation, dalle de béton de propreté, etc… nécessaires aux injections.</t>
  </si>
  <si>
    <t>Plus-value ou moins-value au prix 11.4.2.1 par presse en plus ou en moins</t>
  </si>
  <si>
    <t>Ce prix rémunère à l’unité la plus ou moins-value au prix 11.4.2.1, pour l'amenée, la mise en place et le repli d’une presse en plus ou en moins.</t>
  </si>
  <si>
    <t>Location de la centrale d'injection</t>
  </si>
  <si>
    <t>Ce prix rémunère au mois la location d’une centrale d’injection comprenant 4 presses, y compris tous frais d’entretien et de réparation pendant la durée effective de fonctionnement de la centrale.</t>
  </si>
  <si>
    <t>LE MOIS</t>
  </si>
  <si>
    <t>M</t>
  </si>
  <si>
    <t>Plus-value ou moins-value au prix 11.4.2.3 par presse en plus ou en moins</t>
  </si>
  <si>
    <t>Ce prix rémunère au mois, la plus ou moins-value au prix 11.4.2.3 pour la location d’une presse en plus ou en moins.</t>
  </si>
  <si>
    <t>Installation et repli d'un conduit de transport de coulis</t>
  </si>
  <si>
    <t>Ce prix rémunère au mètre linéaire l’installation et le repli entre la centrale et le point d'injection d’un conduit de transport de coulis ou de tout autre fluide, quelle que soit la configuration des lieux et le nombre de replis effectués dans un secteur de travaux.</t>
  </si>
  <si>
    <t>11.4.2.6</t>
  </si>
  <si>
    <t>Installation sur le point d'injection</t>
  </si>
  <si>
    <t>Ce prix rémunère à l’unité la ou les connexion(s) du raccord sur le tube d'injection et la ou les déconnexion (s), ainsi que la dépose du tube d'injection. Toute connexion réalisée à la suite d'une fin de poste n'est pas considérée comme une installation.</t>
  </si>
  <si>
    <t>11.4.2.7</t>
  </si>
  <si>
    <t>Injection de coulis à base de ciment</t>
  </si>
  <si>
    <t xml:space="preserve">Ces prix comprennent la fabrication du coulis (dosage, malaxage, …), son transport, l’injection proprement dite du coulis, toutes les opérations de mise en œuvre, de pilotage, de colmatage des fissures à l'avancement, des contrôles internes réalisés par l’entreprise et des contrôles externes réalisés par un laboratoire indépendant agréé, accepté par le maître d’œuvre.
</t>
  </si>
  <si>
    <t>Ces prix s'appliquent au mètre cube de coulis liquide à base de ciment, injecté.</t>
  </si>
  <si>
    <t xml:space="preserve">Ces prix comprennent notamment:
˗ les études de formulation et les contrôles de qualités conformément aux dispositions du C.C.T.P.,
˗ la fourniture de l'eau,
˗ le mélange des produits et leur injection suivant les prescriptions du C.C.T.P.,
˗ toutes les fournitures (énergie, eau, air comprimé...) à l'exclusion des matériaux à injecter rémunérés aux prix correspondants du présent bordereau,
˗ le nettoyage et la remise en état de la chaussée.
</t>
  </si>
  <si>
    <t>Ces prix comprennent, en outre, le colmatage provisoire des fissures existantes avant travaux d'injection ainsi que toutes les sujétions, fournitures et matériaux nécessaires à cette opération.</t>
  </si>
  <si>
    <t>La rémunération s'effectue quelles que soient les conditions de réalisation en vue du colmatage des vides. Elle est indépendante du niveau de la nappe phréatique.</t>
  </si>
  <si>
    <t>11.4.2.7.1</t>
  </si>
  <si>
    <t>Injection de traitement de terrain (débit inf. à 1000l/h)</t>
  </si>
  <si>
    <t>11.4.2.7.2</t>
  </si>
  <si>
    <t>Injection de collage et/ou régénération (débit inf. à 800 l/h)</t>
  </si>
  <si>
    <t>11.4.2.7.3</t>
  </si>
  <si>
    <t>Injection de remplissage de vides (débit &gt; 800 l/h)</t>
  </si>
  <si>
    <t>11.4.2.7.4</t>
  </si>
  <si>
    <t>Injection d'espace annulaire dans le cadre de travaux de tubage</t>
  </si>
  <si>
    <t>11.4.2.8</t>
  </si>
  <si>
    <t>Plus-value aux prix 11.4.2.7 pour injection dans un collecteur de hauteur &lt; 1,60m</t>
  </si>
  <si>
    <t>11.4.2.9</t>
  </si>
  <si>
    <t>Injection de produit chimique</t>
  </si>
  <si>
    <t>Ce prix comprend la fourniture du produit à injecter , son transport, l’injection proprement dite, toutes les opérations de mise en œuvre, de pilotage, de colmatage des fissures à l'avancement, des contrôles internes réalisés par l’entreprise et des contrôles externes réalisés par un laboratoire indépendant agréé, accepté par le maître d’œuvre.</t>
  </si>
  <si>
    <t>Ce prix s'applique au mètre cube de produit injecté.</t>
  </si>
  <si>
    <t>Ce prix comprend notamment:
˗ les études de formulation et les contrôles de qualités conformément aux dispositions du C.C.T.P.,
˗ la fourniture de l'eau,
˗ le mélange des produits et leur injection suivant les prescriptions du C.C.T.P.,
˗ toutes les fournitures (énergie, eau, air comprimé...) à l'exclusion des matériaux à injecter rémunérés aux prix correspondants du présent bordereau,
˗ le nettoyage et la remise en état de la chaussée.</t>
  </si>
  <si>
    <t>Ce prix comprend, en outre, le colmatage provisoire des fissures existantes avant travaux d'injection ainsi que toutes les sujétions, fournitures et matériaux nécessaires à cette opération.</t>
  </si>
  <si>
    <t>11.4.2.10</t>
  </si>
  <si>
    <t xml:space="preserve">Injection de fissures à la pompe à main sur demande de maître d'œuvre </t>
  </si>
  <si>
    <t>Ces prix rémunèrent au litre l’injection des fissures à la pompe à main, y compris la fourniture et mise en œuvre du produit d’injection, les essais de convenance et tous les contrôles internes réalisés par l’entreprise et les contrôles externes réalisés par un laboratoire indépendant agréé, accepté par le maître d’œuvre.</t>
  </si>
  <si>
    <t>11.4.2.10.1</t>
  </si>
  <si>
    <t>Sans venue d'eau ou humide</t>
  </si>
  <si>
    <t>11.4.2.10.2</t>
  </si>
  <si>
    <t>En présence d'eau libre ou sous pression</t>
  </si>
  <si>
    <t>11.4.2.11</t>
  </si>
  <si>
    <t>Fourniture des matériaux pour coulis d'injection</t>
  </si>
  <si>
    <t>Ces prix rémunèrent à la tonne ou au kilogramme, la fourniture, le stockage et le système de contrôle permanent de l’état des stocks des matériaux pour coulis d’injection conformément aux prescriptions du C.C.T.P.</t>
  </si>
  <si>
    <t>La quantité à prendre en compte résulte des bons de livraison fournis sur chantier par l'entrepreneur ainsi que de constats contradictoires établit par le Maître d’œuvre, et de la composition des coulis.</t>
  </si>
  <si>
    <t>Ces prix s’appliquent toutes sujétions comprises.</t>
  </si>
  <si>
    <t>11.4.2.11.1</t>
  </si>
  <si>
    <t>Ciment en sac</t>
  </si>
  <si>
    <t>11.4.2.11.2</t>
  </si>
  <si>
    <t>Ciment en vrac</t>
  </si>
  <si>
    <t>11.4.2.11.3</t>
  </si>
  <si>
    <t>Ciment ultra-fin</t>
  </si>
  <si>
    <t>11.4.2.11.4</t>
  </si>
  <si>
    <t>Bentonite</t>
  </si>
  <si>
    <t>11.4.2.11.5</t>
  </si>
  <si>
    <t>Silicates</t>
  </si>
  <si>
    <t>11.4.2.11.6</t>
  </si>
  <si>
    <t>Réactif organique</t>
  </si>
  <si>
    <t>11.4.2.11.7</t>
  </si>
  <si>
    <t>Adjuvants, superplastifiants ou fluidifiants</t>
  </si>
  <si>
    <t>11.4.2.12</t>
  </si>
  <si>
    <t>Carottage de contrôle</t>
  </si>
  <si>
    <t>Ce prix rémunère l'exécution de carottage de contrôle ø 100 à 150 mm dans les maçonneries et les terrains encaissants sur une profondeur de 50 cm.</t>
  </si>
  <si>
    <t>11.4.2.13</t>
  </si>
  <si>
    <t>Gestion informatisée des injections pour la gestion de 4 pompes</t>
  </si>
  <si>
    <t>Ces prix rémunèrent au mois l'installation, la location et l'exploitation d'une centrale de gestion automatisée et informatisée des injections pour la gestion de 4 pompes, pendant la durée effective d’utilisation du système.</t>
  </si>
  <si>
    <t>Ces prix règlent également l’exploitation des enregistrements et la remise de fiches de synthèse des quantités injectées au maître d’œuvre en cours de travaux.</t>
  </si>
  <si>
    <t>MOIS</t>
  </si>
  <si>
    <t>11.4.2.14</t>
  </si>
  <si>
    <r>
      <t xml:space="preserve">Plus-value ou moins-value au prix 11.4.2.13 pour la gestion d'une pompe </t>
    </r>
    <r>
      <rPr>
        <b/>
        <i/>
        <sz val="10"/>
        <rFont val="Arial"/>
        <family val="2"/>
      </rPr>
      <t>en + ou en -</t>
    </r>
  </si>
  <si>
    <t>11.5</t>
  </si>
  <si>
    <t>REFECTION DES PAREMENTS</t>
  </si>
  <si>
    <t>Réfection ponctuelle des parements</t>
  </si>
  <si>
    <t>11.5.1.1</t>
  </si>
  <si>
    <t>Réparation de fissures</t>
  </si>
  <si>
    <t>11.5.1.1.1</t>
  </si>
  <si>
    <t>Réparation de fissures d'ouverture inférieure ou égale à 1 mm</t>
  </si>
  <si>
    <t>Ce prix rémunère au mètre linéaire de fissures à traiter, leur réparation telle que définie au C.C.T.P.</t>
  </si>
  <si>
    <t xml:space="preserve">Il comprend notamment :
˗ l'élargissement de la fissure par réalisation d'une saignée de 10 mm x 20 mm minimum,
˗ le soufflage et le séchage soigné ou le mouillage si le produit proposé exige une certaine humidité,
˗ la fourniture et le transport à pied d'œuvre des produits de calfatage et de ragréage, ainsi que le fond de joint et le primaire d'accrochage,
˗ la mise en en œuvre de ces produits,
˗ les matériels nécessaires à cette opération et d'une manière générale toutes les sujétions pour la réalisation de ces travaux dans les règles de l'art.
</t>
  </si>
  <si>
    <t>11.5.1.1.2</t>
  </si>
  <si>
    <t>Réparation de fissure d’ouverture supérieure à 1 mm ou de joint</t>
  </si>
  <si>
    <t>Il comprend notamment :
˗ le ragréage des bords de la fissure si nécessaire,
˗ l'élargissement de la fissure par réalisation d'une saignée de 30 mm minimum de profondeur axée sur la fissure,
˗ le soufflage et le séchage soigné ou le mouillage si le produit proposé exige une certaine humidité,
˗ la fourniture et le transport à pied d'œuvre des produits de ragréage, 
˗ leur mise en œuvre, 
˗ les matériels nécessaires à cette opération et d'une manière générale toutes les sujétions pour la réalisation de ces travaux dans les règles de l'art.</t>
  </si>
  <si>
    <t>11.5.1.1.3</t>
  </si>
  <si>
    <t>Plus-value aux prix 11.5.1.1.1 et 11.5.1.1.2 pour étanchement de fissure ou de joint avec venue d’eau.</t>
  </si>
  <si>
    <t>Cette plus-value rémunère au mètre linéaire de fissures à traiter, toutes les opérations d'injection ou d'aveuglement provisoire.</t>
  </si>
  <si>
    <t>Il règle également les matériels et la fourniture, le transport des résines aquaréactives, nécessaires à leur étanchement complet dans le cas où elles présentent des infiltrations ou des venues d'eau, ceci conformément au C.C.T.P.</t>
  </si>
  <si>
    <t>11.5.1.2</t>
  </si>
  <si>
    <t>Réfection manuelle d'enduit</t>
  </si>
  <si>
    <t>11.5.1.2.1</t>
  </si>
  <si>
    <t>Démolition d'enduit jusqu'à 3 cm d'épaisseur</t>
  </si>
  <si>
    <t>Ce prix rémunère au mètre carré d'ouvrage jusqu'à 3 cm d'épaisseur, la démolition d’enduit, quel que soit le support.</t>
  </si>
  <si>
    <t>Il inclut, au-delà de la couche d’enduit, le dégarnissage des joints de hourdage des meulières en place, et règle l'enlèvement des gravats.</t>
  </si>
  <si>
    <t>Il comprend la mise à disposition du matériel, son entretien et d'une manière générale tout ce qui est nécessaire à la bonne exécution de ce travail dans les règles de l'art.</t>
  </si>
  <si>
    <t>11.5.1.2.2</t>
  </si>
  <si>
    <t>Pus-value au prix 9.11.1.2.1 par cm d'épaisseur supplémentaire de démolition</t>
  </si>
  <si>
    <t>LE METRE CARRE PAR CENTIMETRE</t>
  </si>
  <si>
    <t>M2/CM</t>
  </si>
  <si>
    <t>11.5.1.2.3</t>
  </si>
  <si>
    <t>Exécution manuelle d'enduit jusqu'à 3 cm d'épaisseur</t>
  </si>
  <si>
    <t>Ce prix s’applique au mètre carré pour la réalisation manuellement d’enduits d’accrochage et de finition d’une épaisseur de 3 cm appliqués sur tous types de supports et quel que soit le nombre de couches.</t>
  </si>
  <si>
    <t xml:space="preserve">Ils rémunèrent toutes sujétions liées aux fournitures, à l’exécution pour raccords divers et à la mise en œuvre éventuelle d’échafaudage dans les ouvrages. </t>
  </si>
  <si>
    <t>11.5.1.2.4</t>
  </si>
  <si>
    <t xml:space="preserve">Pus value au prix 11.5.1.2.3 par cm d'épaisseur supplémentaire </t>
  </si>
  <si>
    <t>11.5.1.3</t>
  </si>
  <si>
    <t>Bouchage de trous</t>
  </si>
  <si>
    <t xml:space="preserve">Ces prix s’appliquent à l’unité pour la reprise de maçonnerie de meulière ou de béton, en radier, en piédroits, en voûte, dans les ouvrages principaux et annexes (cheminées des regards d’accès, avaloir, BPO, BPF…). </t>
  </si>
  <si>
    <t xml:space="preserve">Ces prix comprennent la dégradation de l’enduit, la démolition de la maçonnerie existante, le repiquage et le nettoyage de la maçonnerie à conserver, la réfection de la maçonnerie de meulière ou de béton, l’exécution des enduits et des raccords divers.
Ces prix tiennent compte de toutes sujétions et fournitures nécessaires aux travaux y compris étaiements et coffrages éventuels.
</t>
  </si>
  <si>
    <t>Les bouchages de trous mesurant plus de 0,30 x 0,30 m de surface équivalente seront réglés par application des prix de maçonnerie. Les trous de section inférieure à 0,10 x 0,10 m seront réglés par application des prix de réfection de surface d’enduit.</t>
  </si>
  <si>
    <t>11.5.1.3.1</t>
  </si>
  <si>
    <t>Trou de section comprise entre 0,10 x 0,10 m et 0,20 x 0,20 m</t>
  </si>
  <si>
    <t>11.5.1.3.2</t>
  </si>
  <si>
    <t>Trou de section comprise entre 0,20 x 0,20 m et 0,30 x 0,30 m</t>
  </si>
  <si>
    <t>11.5.1.4</t>
  </si>
  <si>
    <t>Réfection ponctuelle de maçonnerie de meulière ou de béton non armé</t>
  </si>
  <si>
    <t>Ce prix s'applique au mètre cube mesuré sur place pour la réfection ponctuelle à partir de l'intérieur des ouvrages d'assainissement, de maçonnerie ou de béton, en radier, en piédroit ou en voûte.</t>
  </si>
  <si>
    <t>Ce prix comprend la dégradation de l'enduit, la démolition de la maçonnerie existante dégradée, le repiquage et le nettoyage de la maçonnerie à conserver, la réfection de la maçonnerie ou du béton, l'exécution des enduits et les raccords divers.</t>
  </si>
  <si>
    <t>Réfection des maçonneries par béton projeté</t>
  </si>
  <si>
    <t>11.5.2.1</t>
  </si>
  <si>
    <t>Ouverture des fissures pour préparation du support</t>
  </si>
  <si>
    <t>Ce prix s'applique au mètre à traiter et mesuré en place dans les zones de mise en œuvre de béton projeté, pour l'ouverture de fissures quel que soit le matériau constitutif de l'émissaire.</t>
  </si>
  <si>
    <t>Il comprend toutes les sujétions et main d'œuvre nécessaire à l'opération.</t>
  </si>
  <si>
    <t>Ce prix comprend notamment :
˗ le ragréage des bords de la fissure si nécessaire,
˗ l'élargissement de la fissure par réalisation d'une saignée en fonction de l’ouverture de la fissure tel que défini au C.C.T.P.,
˗ le soufflage et le séchage soigné ou le mouillage si le produit proposé exige une certaine humidité.</t>
  </si>
  <si>
    <t>Le linéaire de fissure à traiter sera métré en présence du maître d’œuvre.</t>
  </si>
  <si>
    <t>Ce prix s’applique toutes sujétions comprises.</t>
  </si>
  <si>
    <t>11.5.2.2</t>
  </si>
  <si>
    <t>Plus-value au prix 11.5.2.1 pour étanchement de fissure avec venue d’eau</t>
  </si>
  <si>
    <t>Cette plus-value rémunère au mètre linéaire de fissures ou de joint à traiter, toutes les opérations d'injection ou d'aveuglement provisoire.</t>
  </si>
  <si>
    <t>11.5.2.3</t>
  </si>
  <si>
    <t>Démolition mécanique d'enduit en voûte et piédroits d'épaisseur inférieure ou égale à 3 cm</t>
  </si>
  <si>
    <t>Ce prix rémunère au mètre carré jusqu'à 3 cm d'épaisseur, la démolition dans l’ouvrage, quel que soit le support, de tous les enduits, l'enlèvement des gravats et toutes les manutentions nécessaires.</t>
  </si>
  <si>
    <t>Il inclut le dégarnissage des joints de hourdage des meulières en place au-delà des 3 cm.</t>
  </si>
  <si>
    <t>Il comprend la fourniture du matériel, son entretien et d'une manière générale tout ce qui est nécessaire à la bonne exécution de ce travail dans les règles de l'art et dans un espace restreint.</t>
  </si>
  <si>
    <t xml:space="preserve">Ce prix comprend également la mise en œuvre d’échafaudages pour la réalisation des travaux si nécessaire, la remontée des gravats de démolition, le chargement et le transport en centre de stockage et de traitement, y compris les frais de décharges.  </t>
  </si>
  <si>
    <t>11.5.2.4</t>
  </si>
  <si>
    <t>Pus value au prix 11.5.2.3 par cm d'épaisseur supplémentaire de démolition</t>
  </si>
  <si>
    <t>11.5.2.5</t>
  </si>
  <si>
    <t>Amenée et repli du matériel de projection de béton</t>
  </si>
  <si>
    <t>Ce prix rémunère l’amenée, la mise en place, tous déplacements, et le repli d’un ou plusieurs ateliers de projection et des matériels nécessaires à la projection de béton par voie mouillée dans un secteur de travaux tel que défini au C.C.T.P.</t>
  </si>
  <si>
    <t>Il comprend l'amenée, la mise en place aux endroits indiqués par le Maître d'œuvre, l'ensemble des démontages et réinstallations, le déplacement, le repliement du matériel et toutes les sujétions, fournitures, matériel et main d'œuvre nécessaires à la projection.</t>
  </si>
  <si>
    <t>11.5.2.6</t>
  </si>
  <si>
    <t>Fourniture et mise en œuvre de béton projeté fibré sur 3 cm d'épaisseur</t>
  </si>
  <si>
    <t>Ce prix s'applique au mètre carré mesuré en place sur les pointes en saillie de la maçonnerie (meulière ou béton) existante pour la réalisation d'une coque structurante en béton projeté fibré de 3 cm d’épaisseur sur pointe.</t>
  </si>
  <si>
    <t>Il comprend la fourniture des composants et de l'énergie nécessaire à l'opération ainsi que les mains d'œuvre et sujétions pour la projection du produit.</t>
  </si>
  <si>
    <t>Il tient compte de la mise en place de guides d'épaisseur et de protection des lieux ne devant pas recevoir de mortier ainsi que du nettoyage du chantier après l'opération.</t>
  </si>
  <si>
    <t>Il tient compte également des difficultés rencontrées dans le collecteur et de la présence de busage.</t>
  </si>
  <si>
    <t>Il comprend la fourniture, l'amenée des fibres en polypropylène sur le chantier, leur dosage et toutes les sujétions de mise en œuvre qui en résultent y compris le ralentissement du chantier.</t>
  </si>
  <si>
    <t>Il tient compte également des difficultés de projeter du béton contenant des fibres synthétiques.</t>
  </si>
  <si>
    <t>Il tient compte du traitement spécifique de la liaison entre le bas de piédroit et le haut du radier. Ce travail correspond à la découpe à la fraise de façon rectiligne au niveau de liaison piédroit-radier. Ce trait de scie devra être incliné conformément au C.C.T.P. La fourniture et l’application du produit d’accrochage avant toute projection sur la partie découpée incluse afin d’en assurer l’adhérence.</t>
  </si>
  <si>
    <t>Il tient compte de l’état de finition de surface du chemisage (enduit ou coque) qui doit être « lisse » (taloche) et « glacé » (truelle).</t>
  </si>
  <si>
    <t>Il comprend le rebouchage des fissures démolies et les contrôles sur les matériels de projection ainsi que sur les matériaux projetés en cours de chantier.</t>
  </si>
  <si>
    <t>La note de calcul de justification mécanique de dimensionnement, qui doit fournir les valeurs de contraintes à reprendre, est à la charge de l'entreprise. 
Elle n'est pas rémunérée par ce prix, mais par le prix correspondant du présent bordereau.</t>
  </si>
  <si>
    <t>Il ne comprend pas l’ouverture des fissures, ni leur étanchement si venues d’eau avant application du béton projeté rémunérés au prix correspondant du présent bordereau.</t>
  </si>
  <si>
    <t>Il ne comprend pas la préparation des maçonneries.
Il comprend la remontée des pertes en surface et l'évacuation des pertes en centre de stockage et de traitement.</t>
  </si>
  <si>
    <t>11.5.2.7</t>
  </si>
  <si>
    <t xml:space="preserve">Pus value au prix 11.5.2.6 par cm d'épaisseur supplémentaire </t>
  </si>
  <si>
    <t>11.5.2.8</t>
  </si>
  <si>
    <t xml:space="preserve">Plus-value au prix 11.5.2.6 pour projection sur armatures </t>
  </si>
  <si>
    <t>Ce prix s'applique en plus-value au prix 11.5.2.6 pour la projection par voie mouillée sur armatures.</t>
  </si>
  <si>
    <t>Il comprend toutes les sujétions et mains d'œuvre nécessaires, y compris la fixation des guides d'épaisseur sur les armatures.</t>
  </si>
  <si>
    <t>Il tient compte du ralentissement du chantier de projection.</t>
  </si>
  <si>
    <t>11.5.2.9</t>
  </si>
  <si>
    <t>Fourniture et pose d'armatures traitées anti-corrosion</t>
  </si>
  <si>
    <t xml:space="preserve">Ce prix comprend la fourniture et la pose d’armatures pour béton ou mortiers projetés traitées contre la corrosion (aciers galvanisés, inox, passivés, …). </t>
  </si>
  <si>
    <t>Il tient compte des manipulations de pose et de transport en dehors et dans l’ouvrage, du refouillement des trous et de la pose des crochets d’ancrage, de la fixation des crochets, du cintrage et du calage suivant le gabarit de l’ouvrage.</t>
  </si>
  <si>
    <t>Il comprend également :
˗ tous les travaux préparatoires liés à la découpe, au cintrage et aux assemblages par ligatures en fils oxydables,
˗ toutes les sujétions résultant de la mise en place dans l’embarras des étais, des busages et de la mise en place des bétons et mortiers.</t>
  </si>
  <si>
    <t xml:space="preserve">La quantité à prendre en compte pour la rémunération résulte des plans d’exécution établis par l’entrepreneur et visés par le maître d’œuvre. </t>
  </si>
  <si>
    <t>Fourniture et mise en œuvre d'un produit de protection contre l'hydrogène sulfuré</t>
  </si>
  <si>
    <t>11.5.3.1</t>
  </si>
  <si>
    <t>Fourniture et mise en œuvre d'un mortier de protection composé à 100% d'aluminate de calcium</t>
  </si>
  <si>
    <t>Ce prix s’applique au mètre carré par centimètre pour la fourniture et la mise en œuvre d’un mortier de protection composé à 100% d’aluminate de calcium capable de résister à la corrosion biogénique liée à l’H2S conformément au C.C.T.P.</t>
  </si>
  <si>
    <t>Ce prix comprend la fourniture, le transport à pied d’œuvre et l’application quel que soit le support.</t>
  </si>
  <si>
    <t>Le produit sera soumis à l’agrément du maître d'œuvre.</t>
  </si>
  <si>
    <t>11.5.3.2</t>
  </si>
  <si>
    <t>Fourniture et mise en œuvre d'un produit de protection à base de résines époxydes ou de polymères fluorés</t>
  </si>
  <si>
    <t>Ce prix s’applique au mètre carré pour la mise en œuvre d’une protection millimétrique contre l’H2S sur l’ensemble des parements de l’ouvrage après réfection.</t>
  </si>
  <si>
    <t>Ce prix comprend la fourniture, le transport à pied d’œuvre et l’application sur le support ragréé quelle que soit la méthode utilisée d’un produit de protection à base de résines synthétiques qui résiste aux hautes teneurs en sulfate conformément au C.C.T.P.</t>
  </si>
  <si>
    <t>Ce prix s’applique toute sujétion comprise.</t>
  </si>
  <si>
    <t>11.6</t>
  </si>
  <si>
    <t>REPROFILAGE ET REFECTION DU RADIER OU DE LA CUNETTE</t>
  </si>
  <si>
    <t>11.6.1</t>
  </si>
  <si>
    <t>Préparation du support</t>
  </si>
  <si>
    <t>Démolition d'enduit en radier ou de cunette</t>
  </si>
  <si>
    <t>11.6.1.1.1</t>
  </si>
  <si>
    <t>Démolition d'enduit en radier (ou de cunette) jusqu'à 3 cm d'épaisseur</t>
  </si>
  <si>
    <t>Ce prix rémunère au mètre carré jusqu'à 3 cm d'épaisseur, la démolition dans l’ouvrage, quel que soit le support, des enduits en radier, cunette et banquettes, l'enlèvement des gravats et toutes les manutentions nécessaires.</t>
  </si>
  <si>
    <t>11.6.1.1.2</t>
  </si>
  <si>
    <t>Pus value au prix 11.6.1.1.1 par cm d'épaisseur supplémentaire de démolition</t>
  </si>
  <si>
    <t>Démolition de maçonnerie ou de béton pour reprofilage du radier</t>
  </si>
  <si>
    <t>Ce prix rémunère toute démolition ou tout refouillement de maçonnerie ou de béton à exécuter dans le cadre des travaux d'aménagement hydraulique des ouvrages, y compris l’évacuation des gravats en décharge, quels que soient l'épaisseur, la disposition des lieux, le besoin d'étaiement ou non, toutes sujétions comprises.</t>
  </si>
  <si>
    <t>11.6.1.2.1</t>
  </si>
  <si>
    <t>Démolition de maçonnerie ou de béton non armé</t>
  </si>
  <si>
    <t>11.6.1.2.2</t>
  </si>
  <si>
    <t>Démolition de béton armé</t>
  </si>
  <si>
    <t>11.6.2</t>
  </si>
  <si>
    <t>Reprofilage et réfection du radier ou de la cunette</t>
  </si>
  <si>
    <t>Fourniture et mise en œuvre de béton pour reprofilage du radier</t>
  </si>
  <si>
    <t>Ce prix rémunère au mètre cube la fourniture et mise en œuvre d’un béton coffré C35/45 de classe XA2 dosé à 385 kg/m3, y compris tout frais de coffrage, pour reprofilage du radier et des banquettes, toutes sujétions comprises.</t>
  </si>
  <si>
    <t>Fourniture et mise en œuvre d'acier pour béton armé</t>
  </si>
  <si>
    <t>Ce prix rémunère la fourniture, le façonnage et la mise en œuvre d’aciers pour béton armé dans le cadre des travaux d’aménagement hydraulique des ouvrages, toutes sujétions comprises.</t>
  </si>
  <si>
    <t>Fourniture et mise en œuvre d'un enduit anti-abrasif en radier ou cunette d'indice CNR &lt; 2</t>
  </si>
  <si>
    <t>11.6.2.3.1</t>
  </si>
  <si>
    <t>Fourniture et mise en œuvre d'un enduit anti-abrasif en radier ou cunette d'indice CNR &lt; 2 sur 3 cm d'épaisseur</t>
  </si>
  <si>
    <t>Ce prix rémunère au mètre carré la fourniture et la mise en œuvre d’un enduit anti-abrasif d’indice CNR &lt; 2 en radier ou cunette sur 3 cm d’épaisseur et le lissage à la truelle.
Ce prix comprend également les travaux de raccordement des ouvrages adjacents (travaux de remplissage en béton, ragréage des raccords au mortier sans retrait et toutes sujétions de finition).</t>
  </si>
  <si>
    <t>11.6.2.3.2</t>
  </si>
  <si>
    <t>Plus-value au prix 11.6.2.3.1 par cm d'épaisseur supplémentaire</t>
  </si>
  <si>
    <t>Fourniture et pose d'un revêtement de radier / cunette de type coque préfabriquée</t>
  </si>
  <si>
    <t>Ces prix rémunèrent au mètre carré la fourniture et la mise en œuvre d’élément de coque de type PRV, PVC ou PEHD, le relevé topographique du profil en long du radier, le reprofilage du radier et les démolitions si nécessaire, la fourniture, le transport et la pose de la coque, y compris la mise en état de recette du support, le calage et l’étaiement, toutes les opérations de raccordement des éléments entre eux et aux ouvrages raccordés, la fourniture, la confection et la mise en œuvre du mortier de scellement et du coulis de remplissage et la confection ou réfection des banquettes conformément aux prescriptions du C.C.T.P.</t>
  </si>
  <si>
    <t>11.6.2.4.1</t>
  </si>
  <si>
    <t>Fourniture et pose de coque PRV en radier ou cunette</t>
  </si>
  <si>
    <t>11.6.2.4.2</t>
  </si>
  <si>
    <t>Fourniture et pose de coque PVC en radier ou cunette</t>
  </si>
  <si>
    <t>11.6.2.4.3</t>
  </si>
  <si>
    <t>Fourniture et pose de coque PEHD en radier ou cunette</t>
  </si>
  <si>
    <t>11.7</t>
  </si>
  <si>
    <t>FOURNITURE ET POSE DE REGARDS DE VISITES EN PRV SUR OUVRAGE DE STOKAGE</t>
  </si>
  <si>
    <t>Fourniture et pose d'élément de fond adapté à l'ouvrage de diamètre intérieur 2 100 mm</t>
  </si>
  <si>
    <t>Fourniture et pose de cheminée de regard adapté à l'ouvrage de diamètre intérieur 2 100 mm</t>
  </si>
  <si>
    <t>Dalle de couverture pour regard adaptée à l'ouvrage de diamètre intérieur 2 100 mm</t>
  </si>
  <si>
    <t>11.7.4</t>
  </si>
  <si>
    <t>Fourniture et pose d'élément de fond adapté à l'ouvrage de section intérieure 1,90 x 3,50 m</t>
  </si>
  <si>
    <t>11.7.5</t>
  </si>
  <si>
    <t>Fourniture et pose de cheminée de regard adaptée à l'ouvrage de section intérieure 1,90 x 3,50 m</t>
  </si>
  <si>
    <t>11.7.6</t>
  </si>
  <si>
    <t>Dalle de couverture pour regard adaptée à l'ouvrage de section intérieure 1,90 x 3,50 m</t>
  </si>
  <si>
    <t>11.8</t>
  </si>
  <si>
    <t>FOURNITURE ET POSE D'OUVRAGE DE STOCKAGE EN PRV</t>
  </si>
  <si>
    <t>Fourniture et pose d'ouvrage de stockage de diamètre intérieur 2 100 mm</t>
  </si>
  <si>
    <t xml:space="preserve">Fourniture et pose d'ouvrage de stockage de section intérieure 1,90 x 3,50 m </t>
  </si>
  <si>
    <t>11.9</t>
  </si>
  <si>
    <t>FOURNITURE ET POSE D'OUVRAGE DE STOCKAGE EN BETON ARME</t>
  </si>
  <si>
    <t>11.9.1</t>
  </si>
  <si>
    <t xml:space="preserve">Fourniture et pose d'ouvrage de stockage de section intérieure 1,80 x 1,80 m </t>
  </si>
  <si>
    <t>11.9.2</t>
  </si>
  <si>
    <t xml:space="preserve">Fourniture et pose d'ouvrage de stockage de section intérieure 1,90 x 2,00 m </t>
  </si>
  <si>
    <t>11.10</t>
  </si>
  <si>
    <t>FOURNITURE ET POSE DE REGARDS DE VISITE SUR OUVRAGE DE STOCKAGE</t>
  </si>
  <si>
    <t>11.10.1</t>
  </si>
  <si>
    <t>Fourniture et pose d'élément de fond en béton préfabriqué de section intérieure 2,50 x 1,50 m</t>
  </si>
  <si>
    <t>11.10.2</t>
  </si>
  <si>
    <t>Fourniture et pose de cheminée de regard en béton préfabriqué de section intérieure 2,50 x 1,50 m</t>
  </si>
  <si>
    <t>11.10.3</t>
  </si>
  <si>
    <t>Dalle de couverture pour regard en béton préfabriqué de section intérieure 2,50 x 1,50 m</t>
  </si>
  <si>
    <t>11.10.4</t>
  </si>
  <si>
    <t>Fourniture et pose d'élément de fond en béton préfabriqué de section intérieure 1,90 x 2,00 m</t>
  </si>
  <si>
    <t>11.10.5</t>
  </si>
  <si>
    <t>Fourniture et pose de cheminée de regard en béton préfabriqué de section intérieure 1,90 x 2,00 m</t>
  </si>
  <si>
    <t>11.10.6</t>
  </si>
  <si>
    <t>Dalle de couverture pour regard en béton préfabriqué de section intérieure 1,90 x 2,00 m</t>
  </si>
  <si>
    <t>11.10.7</t>
  </si>
  <si>
    <t>Fourniture et pose d'élément de fond en béton préfabriqué de section intérieure 1,80 x 1,80 m</t>
  </si>
  <si>
    <t>11.10.8</t>
  </si>
  <si>
    <t>Fourniture et pose de cheminée de regard en béton préfabriqué de section intérieure 1,80 x 1,80 m</t>
  </si>
  <si>
    <t>11.10.9</t>
  </si>
  <si>
    <t>Dalle de couverture pour regard en béton préfabriqué de section intérieure 1,80 x 1,80 m</t>
  </si>
  <si>
    <t>12</t>
  </si>
  <si>
    <t>TRAVAUX DE MAÇONNERIE - GENIE CIVIL</t>
  </si>
  <si>
    <t>12.1</t>
  </si>
  <si>
    <t>FOURNITURE ET MISE EN ŒUVRE DE COFFRAGE</t>
  </si>
  <si>
    <t>Coffrage plan vertical</t>
  </si>
  <si>
    <t>Ces prix rémunèrent, au mètre carré, la fourniture et la mise en œuvre de coffrages verticaux plans « simple face » dans les conditions fixées à l'article 30 du fascicule 65 du CCTG.</t>
  </si>
  <si>
    <t>- toutes les sujétions relatives aux étaiements, en particulier la préparation du sol d'assise,</t>
  </si>
  <si>
    <t>- la pose et le réglage des coffrages,</t>
  </si>
  <si>
    <t>- l'incorporation des profilés d'angle pour ouvertures,</t>
  </si>
  <si>
    <t>- la fourniture et la mise en place des produits de décoffrage,</t>
  </si>
  <si>
    <t>- les bois abandonnés ou détériorés,</t>
  </si>
  <si>
    <t>- le repliement et le nettoyage des coffrages.</t>
  </si>
  <si>
    <t>Ces prix s'appliquent quel que soit le volume d'étaiement nécessaire.</t>
  </si>
  <si>
    <t>12.1.1.1</t>
  </si>
  <si>
    <t>En tranchée</t>
  </si>
  <si>
    <t>12.1.1.2</t>
  </si>
  <si>
    <t>En puits</t>
  </si>
  <si>
    <t>12.1.1.3</t>
  </si>
  <si>
    <t>En souterrrain</t>
  </si>
  <si>
    <t>Coffrage plan horizontal</t>
  </si>
  <si>
    <t>Ces prix rémunèrent, au mètre carré, la fourniture et la mise en œuvre de coffrages horizontaux plans dans les conditions fixées à l'article 30 du fascicule 65 du CCTG.</t>
  </si>
  <si>
    <t>- la fourniture à pied d'œuvre et la pose des matériels d'échafaudage,</t>
  </si>
  <si>
    <t>12.1.2.1</t>
  </si>
  <si>
    <t>12.1.2.2</t>
  </si>
  <si>
    <t>12.1.2.3</t>
  </si>
  <si>
    <t>Coffrage courbe</t>
  </si>
  <si>
    <t>Ces prix rémunèrent, au mètre carré, la fourniture et la mise en œuvre de coffrages courbes dans les conditions fixées à l'article 30 du fascicule 65 du C.C.T.G.</t>
  </si>
  <si>
    <t>12.1.3.1</t>
  </si>
  <si>
    <t>12.1.3.2</t>
  </si>
  <si>
    <t>12.1.3.3</t>
  </si>
  <si>
    <t>12.2</t>
  </si>
  <si>
    <t>FOURNITURE ET POSE D'ARMATURES</t>
  </si>
  <si>
    <t>12.2.1</t>
  </si>
  <si>
    <t>Acier Adx</t>
  </si>
  <si>
    <t>Ces prix rémunèrent le transport, la fourniture, la coupe, le façonnage et la pose d'acier Adx.</t>
  </si>
  <si>
    <t>˗ le façonnage des armatures.</t>
  </si>
  <si>
    <t>y compris toutes les sujétions d'exécution.</t>
  </si>
  <si>
    <t>Ces prix seront rémunérés au kilogramme constaté sur place.</t>
  </si>
  <si>
    <t>Mis en place en élévation</t>
  </si>
  <si>
    <t>Mis en place en tranchée ou en puits</t>
  </si>
  <si>
    <t>Mis en place en souterrain</t>
  </si>
  <si>
    <t>12.2.2</t>
  </si>
  <si>
    <t>Acier HA</t>
  </si>
  <si>
    <t>Ces prix rémunèrent le transport, la fourniture, la coupe, le façonnage et la pose d'acier HA.</t>
  </si>
  <si>
    <t>Treillis soudé</t>
  </si>
  <si>
    <t>Ces prix rémunèrent le transport, la fourniture, la coupe, le façonnage et la pose de treillis soudés.</t>
  </si>
  <si>
    <t>12.2.3.1</t>
  </si>
  <si>
    <t>12.2.3.2</t>
  </si>
  <si>
    <t>12.2.3.3</t>
  </si>
  <si>
    <t>12.3</t>
  </si>
  <si>
    <t>FOURNITURE ET MISE EN ŒUVRE DE BETON</t>
  </si>
  <si>
    <t>Ces prix rémunèrent, au mètre cube, la fourniture et mise en œuvre de béton, pour la réalisation d'ouvrages d'assainissment (regards, avaloirs, chambres, galeries, …) y compris toutes sujétions d'approvisionnement et de vibration.</t>
  </si>
  <si>
    <t>- la fourniture à pied d'œuvre,</t>
  </si>
  <si>
    <t>- l'emploi de dispositifs de mise en œuvre adaptés (goulottes, pompes, bennes, ...),</t>
  </si>
  <si>
    <t>- l'emploi d'engins de vibrations mécaniques,</t>
  </si>
  <si>
    <t>- le repiquage des bétons durcis pour reprise,</t>
  </si>
  <si>
    <t>- le nettoyage et l'humidification à saturation du support,</t>
  </si>
  <si>
    <t>- le réglage et le clavage soigné s'il y a lieu,</t>
  </si>
  <si>
    <t>- toutes sujétions résultant de l'emploi d'armatures et de coffrage ainsi que l'exécution d'ouvrages en plots multiples,</t>
  </si>
  <si>
    <t>- le réglage selon la pente théorique.</t>
  </si>
  <si>
    <t>Béton de propreté C20/25</t>
  </si>
  <si>
    <t>Béton C30/37</t>
  </si>
  <si>
    <t>Béton C35/45 XA2</t>
  </si>
  <si>
    <t>Béton C40/50 XA3</t>
  </si>
  <si>
    <t>12.3.5</t>
  </si>
  <si>
    <t>Plus-value aux prix de béton pour mise en œuvre en souterrain</t>
  </si>
  <si>
    <t>12.3.6</t>
  </si>
  <si>
    <t>Plus-value pour mise en œuvre de béton à la pompe</t>
  </si>
  <si>
    <t>12.4</t>
  </si>
  <si>
    <t>FOURNITURE ET MISE EN ŒUVRE DE PARPAINGS</t>
  </si>
  <si>
    <t>Fourniture et mise en œuvre de parpaing à bancher</t>
  </si>
  <si>
    <t>Ce prix comprend la fourniture et mise en œuvre de parpaings à bancher y compris chainage, raidisseurs, béton et réalisation d'un enduit sur 1 face. Ce prix ne comprend pas la réalisation de fondation.</t>
  </si>
  <si>
    <t>Fourniture et mise en œuvre de parpaing creux d'épaisseur supérieure à 10 cm et inférieure à 20 cm</t>
  </si>
  <si>
    <t>Ce prix comprend la fourniture et mise en œuvre de parpaings creux y compris chainage, raidisseurs, mortier et réalisation d'un enduit sur les 2 faces. Ce prix ne comprend pas la réalisation de fondation.</t>
  </si>
  <si>
    <t>Fourniture et mise en œuvre de parpaing plein d'épaisseur  supérieure à 10 cm et inférieure à 20 cm</t>
  </si>
  <si>
    <t>Ce prix comprend la fourniture et mise en œuvre de parpaings plein y compris chainage, raidisseurs, mortier et réalisation d'un enduit sur les 2 faces. Ce prix ne comprend pas la réalisation de fondation.</t>
  </si>
  <si>
    <t>12.5</t>
  </si>
  <si>
    <t>FOURNITURE ET POSE DE JOINTS</t>
  </si>
  <si>
    <t xml:space="preserve">Fourniture et pose d’une bande d’arrêt d’eau type Waterstop ou similaire </t>
  </si>
  <si>
    <t>Ce prix s'applique à la fourniture et à la mise en place d'un mètre linéaire de joints en caoutchouc synthétique ou naturel type « Water stop » à mettre sur ouvrage en place.</t>
  </si>
  <si>
    <t>Il comprend toutes les sujétions de mise en œuvre en tranchée, en puits ou en souterrain, dégarnissage des aciers, préparation des assises dans les massifs, les bétons de 2ème phase, les massifs d’ancrage, etc.</t>
  </si>
  <si>
    <t>Fourniture et pose d’un joint hydrogonflant</t>
  </si>
  <si>
    <t>Ce prix s'applique à la fourniture et à la mise en place d'un mètre linéaire de joint hydrogonflant.</t>
  </si>
  <si>
    <t>Il comprend toutes les sujétions de mise en œuvre en tranchée, en puits ou en souterrain, préparation des assises dans les massifs et les fixations.</t>
  </si>
  <si>
    <t>Réalisation d'un joint à la pompe</t>
  </si>
  <si>
    <t>Ce prix s'applique à la fourniture et à la mise en place d'un mètre linéaire de joint mis en place à la pompe.</t>
  </si>
  <si>
    <t>Il comprend toutes les sujétions de mise en œuvre.</t>
  </si>
  <si>
    <t>12.6</t>
  </si>
  <si>
    <t>CREATION DE REGARDS DE VISITE</t>
  </si>
  <si>
    <t>Fourniture et pose de cunette en béton préfabriqué ou coulée en place</t>
  </si>
  <si>
    <t>Ces prix rémunèrent à l'unité la fourniture et la pose d'une cunette préfabriquée ou coulée en place.</t>
  </si>
  <si>
    <t>˗ la fourniture et la pose de la cunette ou son coulage en place,</t>
  </si>
  <si>
    <t>˗ y compris toutes les sujétions d'exécution,</t>
  </si>
  <si>
    <t>˗ les tests d'autocontrôle (étanchéité, etc.),</t>
  </si>
  <si>
    <t>12.6.1.1</t>
  </si>
  <si>
    <t xml:space="preserve">Cunette béton pour regard de visite simple de section intérieure Ø 1000 mm ou 1,00 x 1,00 m </t>
  </si>
  <si>
    <t>12.6.1.1.1</t>
  </si>
  <si>
    <r>
      <t xml:space="preserve">sur Ø </t>
    </r>
    <r>
      <rPr>
        <sz val="10"/>
        <rFont val="Calibri"/>
        <family val="2"/>
      </rPr>
      <t>≤</t>
    </r>
    <r>
      <rPr>
        <i/>
        <sz val="8.5"/>
        <rFont val="Arial"/>
        <family val="2"/>
      </rPr>
      <t xml:space="preserve"> </t>
    </r>
    <r>
      <rPr>
        <sz val="9"/>
        <rFont val="Arial"/>
        <family val="2"/>
      </rPr>
      <t>500 mm</t>
    </r>
  </si>
  <si>
    <t>12.6.1.1.2</t>
  </si>
  <si>
    <r>
      <t>sur Ø &gt;</t>
    </r>
    <r>
      <rPr>
        <sz val="9"/>
        <rFont val="Arial"/>
        <family val="2"/>
      </rPr>
      <t>500 mm</t>
    </r>
  </si>
  <si>
    <t>12.6.1.2</t>
  </si>
  <si>
    <t xml:space="preserve">Cunette béton pour regard de visite simple de section intérieure Ø 1200 mm ou 1,20 x 1,20 m </t>
  </si>
  <si>
    <t>12.6.1.2.1</t>
  </si>
  <si>
    <t>12.6.1.2.2</t>
  </si>
  <si>
    <t>12.6.1.3</t>
  </si>
  <si>
    <t xml:space="preserve">Cunette béton pour regard de visite double de section intérieure Ø 1200 mm ou 1,00 x 2,25 m </t>
  </si>
  <si>
    <t>12.6.1.4</t>
  </si>
  <si>
    <t>Elément de fond de regard de visite de section intérieure Ø 2500 mm</t>
  </si>
  <si>
    <t>Fourniture et pose de cheminée de regard en béton préfabriqué ou coulée en place</t>
  </si>
  <si>
    <t>Ces prix rémunèrent au mètre linéaire la fourniture et la pose d'une cheminée de regard préfabriquée ou coulée en place.</t>
  </si>
  <si>
    <t>˗ la fourniture et pose ou le coulage en place de la cheminée verticale quelle que soit sa hauteur, du cône de réduction permettant de raccorder la cheminée à la partie du regard supérieur, des échelons et de la crosse,</t>
  </si>
  <si>
    <t>˗ les tests d'autocontrôle (étanchéité, etc.)</t>
  </si>
  <si>
    <t>12.6.2.1</t>
  </si>
  <si>
    <t xml:space="preserve">Cheminée de regard de visite simple de section intérieure Ø 1000 mm ou 1,00 x 1,00 m </t>
  </si>
  <si>
    <t>12.6.2.2</t>
  </si>
  <si>
    <t xml:space="preserve">Cheminée de regard de visite simple de section intérieure Ø 1200 mm ou 1,20 x 1,20 m </t>
  </si>
  <si>
    <t>12.6.2.3</t>
  </si>
  <si>
    <t xml:space="preserve">Cheminée de regard de visite double de section intérieure Ø 1200 mm ou 1,00 x 2,25 m </t>
  </si>
  <si>
    <t>12.6.2.4</t>
  </si>
  <si>
    <t>Cheminée de regard de visite de section intérieure Ø 2500 mm</t>
  </si>
  <si>
    <t>12.6.2.5</t>
  </si>
  <si>
    <t>Dalle de couverture pour regard de visite double de section intérieure Ø 1200 mm ou 1,00 x 2,25 m</t>
  </si>
  <si>
    <t>12.6.2.6</t>
  </si>
  <si>
    <t>Dalle de couverture pour regard de visite double de section intérieure Ø 2500 m</t>
  </si>
  <si>
    <t>12.7</t>
  </si>
  <si>
    <t>CREATION DE BOITE DE BRANCHEMENT EN BETON PREFABRIQUE</t>
  </si>
  <si>
    <t>Cunette en béton préfabriqué pour boîte de branchement</t>
  </si>
  <si>
    <t>Ces prix rémunèrent à l'unité la fourniture et la pose d'une cunette préfabriquée en béton pour boîte de branchement.</t>
  </si>
  <si>
    <t>˗ la fourniture et la pose de la cunette,</t>
  </si>
  <si>
    <t>12.7.1.1</t>
  </si>
  <si>
    <t>Cunette 30 x 30 cm</t>
  </si>
  <si>
    <t>12.7.1.2</t>
  </si>
  <si>
    <t>Cunette 40 x 40 cm</t>
  </si>
  <si>
    <t>12.7.1.3</t>
  </si>
  <si>
    <t>Cunette 60 x 60 cm</t>
  </si>
  <si>
    <t>12.7.1.4</t>
  </si>
  <si>
    <t>Cunette 80 x 80 cm</t>
  </si>
  <si>
    <t>Eléments de réhausse en béton préfabriqué pour boîte de branchement</t>
  </si>
  <si>
    <t>Ces prix rémunèrent au mètre linéaire la fourniture et la pose de réhausse en béton préfabriqué pour boîte de branchement.</t>
  </si>
  <si>
    <t>˗ la fourniture et la pose de réhausses,</t>
  </si>
  <si>
    <t>12.7.2.1</t>
  </si>
  <si>
    <t>Elément de réhausse 30 x 30 cm</t>
  </si>
  <si>
    <t>12.7.2.2</t>
  </si>
  <si>
    <t>Elément de réhausse 40 x 40 cm</t>
  </si>
  <si>
    <t>12.7.2.3</t>
  </si>
  <si>
    <t>Elément de réhausse 60 x 60 cm</t>
  </si>
  <si>
    <t>12.7.2.4</t>
  </si>
  <si>
    <t>Elément de réhausse 80 x 80 cm</t>
  </si>
  <si>
    <t>Elément de réduction en béton préfabriqué</t>
  </si>
  <si>
    <t>Ces prix rémunèrent à l'unité la fourniture et la pose d'éléments de réduction pour boîte de branchement.</t>
  </si>
  <si>
    <t>˗ la fourniture et la pose des éléments de réduction,</t>
  </si>
  <si>
    <t>12.7.3.1</t>
  </si>
  <si>
    <t>Elément de réduction 60 x 60 cm en 30 x 30 cm</t>
  </si>
  <si>
    <t>12.7.3.2</t>
  </si>
  <si>
    <t>Elément de réduction 60 x 60 cm en 40 x 40 cm</t>
  </si>
  <si>
    <t>12.7.3.3</t>
  </si>
  <si>
    <t>Elément de réduction 80 x 80 cm en 40 x 40 cm</t>
  </si>
  <si>
    <t>Dalle sous tampon d'ouverture minimum 40 X 40 cm</t>
  </si>
  <si>
    <t>Ce prix rémunère à l'unité la fourniture et la pose d'une dalle sous tampon de boîte de branchement d'ouverture minimum 40 x 40 cm.</t>
  </si>
  <si>
    <t>˗ la fourniture et la pose de dalle sous tampon d'ouverture minimum 40 x 40 cm,</t>
  </si>
  <si>
    <t>12.8</t>
  </si>
  <si>
    <t>TABOURET DE BRANCHEMENT PVC</t>
  </si>
  <si>
    <t>Ces prix rémunèrent la fourniture et la pose d'un tabouret de branchement en PVC.</t>
  </si>
  <si>
    <t>˗ la fourniture et la pose du tabouret et des rehausses éventuelles en PVC,</t>
  </si>
  <si>
    <t>˗ toutes sujétions de travaux sur les canalisations, y compris pompage d'effluents,</t>
  </si>
  <si>
    <t>˗ les raccordements et scellements sur le réseau,</t>
  </si>
  <si>
    <t>˗ les tests d'autocontrôle (étanchéité, etc.).</t>
  </si>
  <si>
    <t>Ces prix seront réglés à l'unité constatée en place et au mètre linéaire pour les rehausses.</t>
  </si>
  <si>
    <t>Tabouret de branchement PVC Ø 250 mm hors rehausse</t>
  </si>
  <si>
    <t>Tabouret de branchement PVC Ø 315 mm hors rehausse</t>
  </si>
  <si>
    <t>Tabouret de branchement PVC Ø 400 mm hors rehausse</t>
  </si>
  <si>
    <t>Rehausse PVC pour tabouret Ø 250 mm</t>
  </si>
  <si>
    <t>12.8.5</t>
  </si>
  <si>
    <t>Rehausse PVC pour tabouret Ø 315 mm</t>
  </si>
  <si>
    <t>12.8.6</t>
  </si>
  <si>
    <t>Rehausse PVC pour tabouret Ø 400 mm</t>
  </si>
  <si>
    <t>12.9</t>
  </si>
  <si>
    <t>OUVRAGES DE RECUPERATION DES EAUX PLUVIALES</t>
  </si>
  <si>
    <t>12.9.1</t>
  </si>
  <si>
    <t>Création d'ouvrage de récupération des eaux pluviales</t>
  </si>
  <si>
    <t>Ces prix rémunèrent, au mètre (profondeur), la création d'ouvrage de récupération d'eaux pluviales en tranchée ouverte  muni d'une décantation d'une hauteur minimum de 0,30 m. Il comprend la fourniture et pose des éléments béton, les raccordements à la canalisation.</t>
  </si>
  <si>
    <t>Ces prix ne comprennent pas les terrassements et remblais, la fourniture de grille, grille-avaloir ou bouche d'avaloir.</t>
  </si>
  <si>
    <t>Cheminée et cunette d'ouverture 300 mm x 300 mm</t>
  </si>
  <si>
    <t>Cheminée et cunette d'ouverture 400 mm x 400 mm</t>
  </si>
  <si>
    <t>Cheminée et cunette d'ouverture 500 mm x 500 mm</t>
  </si>
  <si>
    <t>Cheminée et cunette d'ouverture 600 mm x 600 mm</t>
  </si>
  <si>
    <t>Cheminée et cunette d'ouverture 700 mm x 700 mm</t>
  </si>
  <si>
    <t>12.9.1.6</t>
  </si>
  <si>
    <t>Cheminée et cunette d'ouverture 800 mm x 800 mm</t>
  </si>
  <si>
    <t>12.9.1.7</t>
  </si>
  <si>
    <t>Cheminée et cunette d'ouverture 1000 mm x 700 mm</t>
  </si>
  <si>
    <t>12.9.1.8</t>
  </si>
  <si>
    <t>Cheminée et cunette d'ouverture 1000 mm x 1000 mm</t>
  </si>
  <si>
    <t>12.9.1.9</t>
  </si>
  <si>
    <t>Création d'un puisard</t>
  </si>
  <si>
    <t>Ce prix rémunère au mètre linéaire (profondeur) la fourniture et la pose d'un puisard en béton de diamètre 1000mm perforé.</t>
  </si>
  <si>
    <t>- la réalisation des terrassements, y compris évacuation des déblais à la décharge, frais de décharge inclus,</t>
  </si>
  <si>
    <t>- le bindage de la fouille,</t>
  </si>
  <si>
    <t>- la fourniture et la pose de géotextile,</t>
  </si>
  <si>
    <t>- la fourniture et la pose de buses perforées de diamètre 1000mm,</t>
  </si>
  <si>
    <t>- le remplissage périphérique en cailloux sur 0,50m de large,</t>
  </si>
  <si>
    <t>- la fourniture et la pose d'une dalle sous tampon</t>
  </si>
  <si>
    <t>- la fourniture et la pose d'une grille de diamètre 600mm ou 600x600mm.</t>
  </si>
  <si>
    <t>12.10</t>
  </si>
  <si>
    <t>COMBLEMENT D'OUVRAGE</t>
  </si>
  <si>
    <t>Réalisation d'un mur masque</t>
  </si>
  <si>
    <t>Ce prix s’applique, au mètre cube de maçonnerie de meulière, de parpaings ou de béton mis en place en ouvrage d'assainissement pour la réalisation de murs masques définitifs.</t>
  </si>
  <si>
    <t>- le nettoyage de la maçonnerie de l'ouvrage,</t>
  </si>
  <si>
    <t>- la dégradation de l’enduit, le repiquage et les démolitions nécessaires pour l’ancrage,</t>
  </si>
  <si>
    <t>- la mise en œuvre de tous les matériaux nécessaires à l’exécution de la maçonnerie y compris les coffrages éventuels et l’ancrage dans la maçonnerie,</t>
  </si>
  <si>
    <t>- la réalisation des enduits et les raccords divers,</t>
  </si>
  <si>
    <t>- l’enlèvement, le transport et le déchargement en centre de stockage et de traitement des produits de la démolition, droits compris.</t>
  </si>
  <si>
    <t>Ce prix tient compte de toutes les fournitures et matériels nécessaires.</t>
  </si>
  <si>
    <t>Les épaisseurs des maçonneries devront tenir compte des contraintes d’écoulement et des mises en charge.</t>
  </si>
  <si>
    <t xml:space="preserve">LE METRE CUBE : </t>
  </si>
  <si>
    <t>Comblement d'ouvrage existant abandonné (autre que canalisation non visitable)</t>
  </si>
  <si>
    <t>Ce prix rémunère, au mètre cube, la fourniture et la mise en œuvre de remblais liquide stabilisé au béton reexcavable pour le comblement d’ouvrages hors service ou abandonnés (regards, baches,…) quelles que soient leur nature et leurs dimensions.</t>
  </si>
  <si>
    <t>- la reprise de l’étanchéité préalable de l’ouvrage et le colmatage des fissures avant remblai,</t>
  </si>
  <si>
    <t>- le dosage, le mélange en centrale, le transport,</t>
  </si>
  <si>
    <t>- la mise en œuvre de remblai liquide stabilisé.</t>
  </si>
  <si>
    <t>12.11</t>
  </si>
  <si>
    <t>REHAUSSE / MISE A LA COTE D'OUVRAGE DE GENIE CIVIL EXISTANT (Y COMPRIS TAMPON)</t>
  </si>
  <si>
    <t>Ces prix rémunèrent au décimètre la réhausse /  mise à la cote d'ouvrage de génie civil existant.
Ces prix incluent toutes sujétions de démolition, de terrassement, fourniture de dalle sous tampon, réalisation de petit génie civil, pose et scellement. Ces prix ne comprennent pas la fourniture du tampon, ni le remplacement des échelons/échelles.</t>
  </si>
  <si>
    <t>Rehausse d'ouvrage de génie civil 30 x 30 cm</t>
  </si>
  <si>
    <t>Rehausse d'ouvrage de génie civil 40 x 40 cm</t>
  </si>
  <si>
    <t>Rehausse d'ouvrage de génie civil 50 x 50 cm</t>
  </si>
  <si>
    <t>Rehausse d'ouvrage de génie civil 60 x 60 cm</t>
  </si>
  <si>
    <t>12.11.5</t>
  </si>
  <si>
    <r>
      <t xml:space="preserve">Rehausse d'ouvrage de génie civil 80 x 80 cm ou </t>
    </r>
    <r>
      <rPr>
        <b/>
        <sz val="10"/>
        <rFont val="Calibri"/>
        <family val="2"/>
      </rPr>
      <t>Ø</t>
    </r>
    <r>
      <rPr>
        <b/>
        <sz val="11.5"/>
        <rFont val="Arial"/>
        <family val="2"/>
      </rPr>
      <t xml:space="preserve"> </t>
    </r>
    <r>
      <rPr>
        <b/>
        <sz val="10"/>
        <rFont val="Arial"/>
        <family val="2"/>
      </rPr>
      <t>800</t>
    </r>
  </si>
  <si>
    <t>12.11.6</t>
  </si>
  <si>
    <r>
      <t xml:space="preserve">Rehausse d'ouvrage de génie civil 1,00 x 1,00 cm ou </t>
    </r>
    <r>
      <rPr>
        <b/>
        <sz val="10"/>
        <rFont val="Calibri"/>
        <family val="2"/>
      </rPr>
      <t>Ø</t>
    </r>
    <r>
      <rPr>
        <b/>
        <sz val="11.5"/>
        <rFont val="Arial"/>
        <family val="2"/>
      </rPr>
      <t xml:space="preserve"> </t>
    </r>
    <r>
      <rPr>
        <b/>
        <sz val="10"/>
        <rFont val="Arial"/>
        <family val="2"/>
      </rPr>
      <t>1000</t>
    </r>
  </si>
  <si>
    <t>12.11.7</t>
  </si>
  <si>
    <t>Rehausse d'ouvrage de génie civil 1,20 x 1,20 m</t>
  </si>
  <si>
    <t>12.11.8</t>
  </si>
  <si>
    <t>Rehausse d'ouvrage de génie civil 0,80 x 1,00 m</t>
  </si>
  <si>
    <t>12.11.9</t>
  </si>
  <si>
    <t>Rehausse d'ouvrage de génie civil 0,80 x 1,20 m</t>
  </si>
  <si>
    <t>12.11.12</t>
  </si>
  <si>
    <t>Rehausse d'ouvrage de génie civil 1,00 x 1,50 m</t>
  </si>
  <si>
    <t>12.11.11</t>
  </si>
  <si>
    <t>Rehausse d'ouvrage de génie civil 1,00 x 2,25 m</t>
  </si>
  <si>
    <t>Rehausse de chambre L0T</t>
  </si>
  <si>
    <t>12.11.13</t>
  </si>
  <si>
    <t>Rehausse de chambre L1T</t>
  </si>
  <si>
    <t>12.11.14</t>
  </si>
  <si>
    <t>Rehausse de chambre L2T</t>
  </si>
  <si>
    <t>12.11.15</t>
  </si>
  <si>
    <t>Rehausse de chambre L3T</t>
  </si>
  <si>
    <t>12.11.16</t>
  </si>
  <si>
    <t>Rehausse de chambre L4T</t>
  </si>
  <si>
    <t>12.11.17</t>
  </si>
  <si>
    <t>Rehausse de chambre L5T</t>
  </si>
  <si>
    <t>12.11.18</t>
  </si>
  <si>
    <t>Rehausse de chambre L6T</t>
  </si>
  <si>
    <t>12.11.19</t>
  </si>
  <si>
    <t>Rehausse de chambre K1C</t>
  </si>
  <si>
    <t>12.11.20</t>
  </si>
  <si>
    <t>Rehausse de chambre K2C</t>
  </si>
  <si>
    <t>12.11.21</t>
  </si>
  <si>
    <t>Rehausse de chambre K3C</t>
  </si>
  <si>
    <t>12.12</t>
  </si>
  <si>
    <t>FOURNITURE ET POSE D'UN REGARD D'ECLAIRAGE 60X60 CM Y COMPRIS TERRASSEMENT, CADRE ET TAMPON DE FERMETURE EN ACIER GALVANISE C250 ET PERCEMENT DE VOILE</t>
  </si>
  <si>
    <t>Ce prix rémunère à l'unité la fourniture et la pose de regard d'éclairage public 60 x 60 cm. Ce prix comprend notamment : l'amenée et le repli de tout matériel nécessaire à la bonne exécution, les terrassements nécessaires, la réalisation du lit de pose, la fourniture, le transport, le déchargement et la pose de regard d'éclairage (préfabriqué ou coulé en place), le remblaiment de la fouille, la fourniture, le transport, le déchargement et la pose de tampon et de cadre en acier galvanisé, toutes sujetions de scellement comprises, le percement si nécessaire du regard armé par carottage y compris repérage préventif et traitement des ferraillages, scellement du tuyau, reprise de l'étanchéité et enduits, toutes sujétions particulières d'exécution.</t>
  </si>
  <si>
    <t>12.12.1</t>
  </si>
  <si>
    <t>Plue value au prix 12.12 pour remplacement tampon acier galvanisé en tampon fonte</t>
  </si>
  <si>
    <t>12.13</t>
  </si>
  <si>
    <t>FOURNITURE ET POSE D'UN CADRE EN BETON ARME POUR TRAPPE CIRCULAIRE</t>
  </si>
  <si>
    <t>Ces prix rémunèrent à l'unité la fourniture et la pose de cadre en béton armé agréé par le maître d'œuvre ou le maître d'ouvrage.</t>
  </si>
  <si>
    <t>˗ le chargement du cadre,</t>
  </si>
  <si>
    <t>˗ le transport du cadre,</t>
  </si>
  <si>
    <t>˗ la fourniture et déchargement du cadre,</t>
  </si>
  <si>
    <t>˗ la pose et les scellements adéquats.</t>
  </si>
  <si>
    <t>12.13.1</t>
  </si>
  <si>
    <t>Fourniture et pose d'un cadre en béton armé de 15 cm d'épaisseur pour trappe circulaire</t>
  </si>
  <si>
    <t>12.13.2</t>
  </si>
  <si>
    <t>Fourniture et pose d'un cadre en béton armé de 20 cm d'épaisseur pour trappe circulaire</t>
  </si>
  <si>
    <t>12.14</t>
  </si>
  <si>
    <t>PERCEMENT DE VOILE</t>
  </si>
  <si>
    <t>Ce prix rémunère, à l'unité, le percement d'un ouvrage de génie civil en béton armé par carottage y compris repérage préventif et traitement des ferraillages, scellement du tuyau, reprise de l'étanchéité et enduits.</t>
  </si>
  <si>
    <t>12.15</t>
  </si>
  <si>
    <t>FOURNITURE ET MISE EN ŒUVRE DE MUR DE SOUTENEMENT PREFABRIQUE</t>
  </si>
  <si>
    <t>Ces prix rémunèrent au mètre linéaire la fourniture et mise en œuvre de mur de soutènement préfabriqué. Ces prix ne comprennent pas la réalisation de fondation.</t>
  </si>
  <si>
    <t>12.15.1</t>
  </si>
  <si>
    <t>Mur de soutènement hauteur inférieure ou égale à 1 m</t>
  </si>
  <si>
    <t xml:space="preserve">LE METRE LINEAIRE : </t>
  </si>
  <si>
    <t>12.15.2</t>
  </si>
  <si>
    <t>Mur de soutènement hauteur comprise entre 1 m (exclus) et 2 m (inclus)</t>
  </si>
  <si>
    <t>12.15.3</t>
  </si>
  <si>
    <t>Mur de soutènement hauteur comprise entre 2 m (exclus) et 4 m (inclus)</t>
  </si>
  <si>
    <t>12.15.4</t>
  </si>
  <si>
    <t>Mur de soutènement hauteur comprise entre 4 m (exclus) et 6 m (inclus)</t>
  </si>
  <si>
    <t>12.16</t>
  </si>
  <si>
    <t>REALISATION D'UN SOUTENEMENT EN MEULIERES LARGEUR 0,40 m, HAUTEUR 2,60 à 3,50m</t>
  </si>
  <si>
    <t>Ce prix rémunère au mètre linéaire la réalisation de mur de soutènement en parpaing et habillage moellons en meulières sur la face vue, de largeur 0,40m et de hauteur variable de 2,60 à 3,50m. Il comprend :
Les calculs de dimensionnement et plans d'exécution, l'implantation, les terrassements y compris évacuation, la fourniture et la mise en œuvre d'un béton de propreté, la réalisation hors gel de la semelle de fondation, ferraillée, en béton B25 vibré, le coffrage, le ferraillage, la fourniture et la mise en œuvre de béton B25 vibré pour élévation des poteaux raidisseurs, à raison d'un poteau tous les 5 ml, le décoffrage, l'élévation du mur entre les poteaux en parpaings de 20, dernier rang réalisé en parpaings à bancher, pour réalisation du chainage en tête, la réalisation d'un drainage périphérique en pied de mur, y compris raccordement au réseau EP, la fourniture, l'amenée à pied d'œuvre et l'incorporation au mur, de tubes fonte diamètre 100 pour barbacanes d'évacuation des eaux de ruissellement, la fourniture, l'amenée à pied d'œuvre de blocs de meulières, la fourniture et la mise en œuvre du mortier de montage, l'appareillage des blocs, y compris dispositifs de solidarisation avec l'âme en béton armé, la réalisation des joints beurrés ton pierre, le remblaiement en tout-venant puis en terre végétale et le réglage des terres à l'arrière du mur. NOTA : L'Entreprise devra les vérifications de dimensionnement de cet ouvrage avec note de calcul et plan d'exécution.</t>
  </si>
  <si>
    <t>12.17</t>
  </si>
  <si>
    <t>REALISATION D'UN SOUTENEMENT EN MEULIERES LARGEUR 0,60 m, HAUTEUR 0,50 à 2,90m</t>
  </si>
  <si>
    <t>Ce prix rémunère au mètre linéaire la réalisation de mur de soutènement en parpaing et habillage moellons en meulières sur les 2 faces vues, de largeur 0,60m et de hauteur variable de 0,50 à 2,90m.ll comprend :
Les calculs de dimensionnement et plans d'exécution, l'implantation, les terrassements y compris évacuation, la fourniture et la mise en œuvre d'un béton de propreté, la réalisation hors gel de la semelle de fondation, ferraillée, en béton B25 vibré, le coffrage, le ferraillage, la fourniture et la mise en œuvre de béton B25 vibré pour élévation des poteaux raidisseurs, à raison d'un poteau tous les 5 ml, le décoffrage, l'élévation du mur entre les poteaux en parpaings de 20, dernier rang réalisé en parpaings à bancher, pour réalisation du chainage en tête, la réalisation d'un drainage périphérique en pied de mur, y compris raccordement au réseau EP, la fourniture, l'amenée à pied d'œuvre et l'incorporation au mur, de tubes fonte diamètre 100 pour barbacanes d'évacuation des eaux de ruissellement, la fourniture, l'amenée à pied d'œuvre de blocs de meulières, la fourniture et la mise en œuvre du mortier de montage, l'appareillage des blocs, y compris dispositifs de solidarisation avec l'âme en béton armé, la réalisation des joints beurrés ton pierre, le remblaiement en tout-venant puis en terre végétale et le réglage des terres à l'arrière du mur. NOTA : L'Entreprise devra les vérifications de dimensionnement de cet ouvrage avec note de calcul et plan d'exécution. Elle devra aussi prévoir la réservation pour un coffret CIBE.</t>
  </si>
  <si>
    <t>12.18</t>
  </si>
  <si>
    <t>REALISATION D'UN SOUTENEMENT EN PIERRES RECUPEREES LARGEUR 0,60 m, HAUTEUR 1,00 à 1,30m</t>
  </si>
  <si>
    <t>Ce prix rémunère au mètre linéaire la réalisation de mur de soutènement en parpaing et habillage sur les 2 faces vues avec les pierres récupérées sur site des murs démolis, de largeur 0,60m et de hauteur variable de 1,00 à 1,30m.Il comprend :
Les calculs de dimensionnement et plans d'exécution, l'implantation, les terrassements y compris évacuation, la fourniture et la mise en œuvre d'un béton de propreté, la réalisation hors gel de la semelle de fondation, ferraillée, en béton B25 vibré, le coffrage, le ferraillage, la fourniture et la mise en œuvre de béton B25 vibré pour élévation des poteaux raidisseurs, à raison d'un poteau tous les 5 ml, le décoffrage, l'élévation du mur entre les poteaux en parpaings de 20, dernier rang réalisé en parpaings à bancher, pour réalisation du chainage en tête, la réalisation d'un drainage périphérique en pied de mur, y compris raccordement au réseau EP, la fourniture, l'amenée à pied d'œuvre et l'incorporation au mur, de tubes fonte diamètre 100 pour barbacanes d'évacuation des eaux de ruissellement, la fourniture, la récupération des pierres des murs démolis, leur nettoyage, la fourniture et la mise en œuvre du mortier de montage, l'appareillage des pierres, y compris dispositifs de solidarisation avec l'âme en béton armé, la réalisation des joints beurrés ton pierre, le remblaiement en tout-venant puis en terre végétale et le réglage des terres à l'arrière du mur. NOTA : L'Entreprise devra les vérifications de dimensionnement de cet ouvrage avec note de calcul et plan d'exécution.</t>
  </si>
  <si>
    <t>12.19</t>
  </si>
  <si>
    <t>FOURNITURE ET POSE DE GABIONS</t>
  </si>
  <si>
    <t xml:space="preserve">Ce prix rémunère au mètre linéaire la fourniture et la pose de gabion pour soutènement.
Comprenant :
˗ le réglage et compactage du fond de forme, 
˗ la fourniture, l'amenée à pied d'œuvre et le déroulage d'un géotextile classe III, 
- la fourniture et mise en œuvre d'une grave drainante 4/20 sur 0,15m d'épaisseur,
-la fourniture et la mise en oeuvre de gravillons fins 3-6mm pour confection du lit de pose sur une épaisseur de 5cm,
- la fourniture et la mise en oeuvre de gabions de largeur 50cm en soutènement,
- l'assemblage et la fermeture des cages rigides en panneaux electrosoudés,
- la fourniture et l'assemblage du matériau de remplissage conformément aux prescriptions du CCTP, 
-  le transport sur le site de pose, la pose des gabions y compris toutes sujétions de réglage latéral des coffrages, de trames, d'essais et de contrôle
</t>
  </si>
  <si>
    <t xml:space="preserve">LE METRE CARRE : </t>
  </si>
  <si>
    <t>12.20</t>
  </si>
  <si>
    <t>REALISATION D'UN SOUTENEMENT EN RONDINS DE BOIS H=1,00m (y/c terrassements)</t>
  </si>
  <si>
    <t>˗ tout le matériel et les matériaux nécessaires</t>
  </si>
  <si>
    <t>˗ les implantations et le piquetage</t>
  </si>
  <si>
    <t>˗ les terrassements et fouilles nécessaires aux fondations</t>
  </si>
  <si>
    <t>˗ la mise à niveau des fonds de fouille</t>
  </si>
  <si>
    <t>- la pose d'un drainage en gravillons</t>
  </si>
  <si>
    <t>- la pose de rondins de bois h=1,00m</t>
  </si>
  <si>
    <t>- la résalisation d'un massif de fondations en béton</t>
  </si>
  <si>
    <r>
      <t>-</t>
    </r>
    <r>
      <rPr>
        <sz val="10"/>
        <rFont val="Times New Roman"/>
        <family val="1"/>
      </rPr>
      <t> </t>
    </r>
    <r>
      <rPr>
        <sz val="10"/>
        <rFont val="Arial"/>
        <family val="2"/>
      </rPr>
      <t>le remblaiement, la remise en état des abords des travaux</t>
    </r>
  </si>
  <si>
    <t>13</t>
  </si>
  <si>
    <t>EQUIPEMENT</t>
  </si>
  <si>
    <t>13.1</t>
  </si>
  <si>
    <t>DEPOSE D'EQUIPEMENT</t>
  </si>
  <si>
    <t>Dépose de tampon</t>
  </si>
  <si>
    <t>Ce prix rémunère à l’unité la dépose de tampon de regard quelles que soient leur nature et leurs dimensions.</t>
  </si>
  <si>
    <t>Il comprend :</t>
  </si>
  <si>
    <t>˗ la démolition et l’évacuation en centre de stockage et de traitement du mortier de scellement, droits compris,</t>
  </si>
  <si>
    <r>
      <t>˗</t>
    </r>
    <r>
      <rPr>
        <sz val="10"/>
        <rFont val="Times New Roman"/>
        <family val="1"/>
      </rPr>
      <t xml:space="preserve"> </t>
    </r>
    <r>
      <rPr>
        <sz val="10"/>
        <rFont val="Arial"/>
        <family val="2"/>
      </rPr>
      <t>la dépose du tampon de tout type et de toute dimension, y compris le cadre,</t>
    </r>
  </si>
  <si>
    <r>
      <t>˗</t>
    </r>
    <r>
      <rPr>
        <sz val="10"/>
        <rFont val="Times New Roman"/>
        <family val="1"/>
      </rPr>
      <t xml:space="preserve"> </t>
    </r>
    <r>
      <rPr>
        <sz val="10"/>
        <rFont val="Arial"/>
        <family val="2"/>
      </rPr>
      <t>le stockage, s’il y a lieu, sur le chantier en vue de leur réutilisation,</t>
    </r>
  </si>
  <si>
    <t>˗ le chargement, le déchargement et le transport jusqu’au dépôt désigné par le maître d’ouvrage des éléments réutilisables,</t>
  </si>
  <si>
    <t>˗ le chargement, le transport et le déchargement en centre de stockage et de traitement des éléments non réutilisables, droits compris.</t>
  </si>
  <si>
    <t>Dépose de bouche avaloir</t>
  </si>
  <si>
    <t>Ce prix s'applique à l’unité pour la dépose de la bavette et du couronnement d'une bouche avaloir.</t>
  </si>
  <si>
    <t>˗ la dépose soignée des bordures quelle que soit leur nature,</t>
  </si>
  <si>
    <r>
      <t>˗</t>
    </r>
    <r>
      <rPr>
        <sz val="10"/>
        <rFont val="Times New Roman"/>
        <family val="1"/>
      </rPr>
      <t xml:space="preserve"> </t>
    </r>
    <r>
      <rPr>
        <sz val="10"/>
        <rFont val="Arial"/>
        <family val="2"/>
      </rPr>
      <t>la démolition du béton de fondation,</t>
    </r>
  </si>
  <si>
    <t>Dépose de grille</t>
  </si>
  <si>
    <t>Ce prix s'applique à l’unité pour la dépose de grille quelles que soient leur nature et leurs dimensions.</t>
  </si>
  <si>
    <t>˗ la dépose de la grille de tout type et de toute dimension, y compris le cadre,</t>
  </si>
  <si>
    <t>Dépose d'équipement de sécurité</t>
  </si>
  <si>
    <t>Ces prix s'appliquent au mètre linéaire ou à l'unité d’éléments déposés y compris leurs appareils de fixation ou de scellement.</t>
  </si>
  <si>
    <t>Ces prix comprennent la dépose des éléments à remplacer ou déposer par descellement, y compris l'évacuation des éléments en centre de stockage et de traitement, le rebouchage des trous et le ragréage de la maçonnerie et de l’enduit.</t>
  </si>
  <si>
    <t>13.1.4.1</t>
  </si>
  <si>
    <t>Dépose d'échelon</t>
  </si>
  <si>
    <t>13.1.4.2</t>
  </si>
  <si>
    <t>Dépose d'échelle</t>
  </si>
  <si>
    <t>13.1.4.3</t>
  </si>
  <si>
    <t>Dépose de crosse</t>
  </si>
  <si>
    <t>Dépose d'accessoire d'assainissement</t>
  </si>
  <si>
    <t>Ce prix s'applique au kilogramme pour la dépose de petits équipements tels que les portes de chasse, les vannettes à glissières, râteliers de stockage, caillebotis et tient compte de toutes les sujétions nécessaires à l'opération, y compris le transport et l’évacuation des éléments en centre de stockage et de traitement.</t>
  </si>
  <si>
    <t>13.2</t>
  </si>
  <si>
    <t>FOURNITURE ET POSE D'EQUIPEMENT</t>
  </si>
  <si>
    <t>Fourniture et pose de tampon de regard en fonte de classe DN400 articulé</t>
  </si>
  <si>
    <t>Ces prix rémunèrent, à l'unité, la fourniture et la pose d'un tampon de classe 400 KN articulé de type PAMREX ou similaire sur un regard de visite.</t>
  </si>
  <si>
    <t>˗ la fourniture, le transport, le déchargement, la pose d'un tampon 400 KN, suivant les prescriptions du C.C.T.P. et les recommandations du fabricant,</t>
  </si>
  <si>
    <t>˗ les sujétions particulières de scellement sur l'ouvrage existant.</t>
  </si>
  <si>
    <t>13.2.1.1</t>
  </si>
  <si>
    <t>Tampon fonte ductile articulé classe D400 ouverture libre Ø 600 mm</t>
  </si>
  <si>
    <t>13.2.1.1.1</t>
  </si>
  <si>
    <t>A cadre circulaire</t>
  </si>
  <si>
    <t>13.2.1.1.2</t>
  </si>
  <si>
    <t>A cadre carré</t>
  </si>
  <si>
    <t>13.2.1.2</t>
  </si>
  <si>
    <t>Tampon fonte ductile articulé classe D400 ouverture libre Ø 700 mm</t>
  </si>
  <si>
    <t>13.2.1.2.1</t>
  </si>
  <si>
    <t>13.2.1.2.2</t>
  </si>
  <si>
    <t>13.2.1.3</t>
  </si>
  <si>
    <t>Tampon fonte ductile articulé classe D400 ouverture libre Ø 800 mm</t>
  </si>
  <si>
    <t>13.2.1.3.1</t>
  </si>
  <si>
    <t>13.2.1.3.2</t>
  </si>
  <si>
    <t xml:space="preserve">Fourniture et pose de tampon fonte de classe C250 </t>
  </si>
  <si>
    <t>Ces prix rémunèrent, à l'unité, la fourniture et la pose d'un tampon de classe C250  sur un regard de visite.</t>
  </si>
  <si>
    <t>˗ la fourniture, le transport, le déchargement, la pose d'un tampon de classe C250,</t>
  </si>
  <si>
    <t>˗ les sujétions particulières de scellement sur l'ouvrage existant</t>
  </si>
  <si>
    <t>13.2.2.1</t>
  </si>
  <si>
    <t>Tampon fonte ductile articulé classe C250 ouverture Ø 600 mm</t>
  </si>
  <si>
    <t>13.2.2.2</t>
  </si>
  <si>
    <t>Tampon fonte ductile non articulé classe C250 ouverture Ø 600 mm</t>
  </si>
  <si>
    <t>13.2.2.3</t>
  </si>
  <si>
    <t>Tampon fonte ductile articulé classe C250 ouverture Ø 800 mm</t>
  </si>
  <si>
    <t>13.2.2.4</t>
  </si>
  <si>
    <t>Tampon fonte ductile non articulé classe C250 ouverture Ø 800 mm</t>
  </si>
  <si>
    <t>Fourniture et pose de tampon fonte sur boîte de branchement</t>
  </si>
  <si>
    <t>Ces prix rémunèrent à l'unité la fourniture et la pose d'un tampon trottoir fonte de classe 125 KN ou 250 KN à cadre carré sur une boîte de branchement.</t>
  </si>
  <si>
    <t>˗ la fourniture, le transport, le déchargement, la pose d'un tampon 125 KN ou 250 KN,</t>
  </si>
  <si>
    <t>13.2.3.1</t>
  </si>
  <si>
    <t>Tampon à fermeture hydraulique 300x300 mm ouverture minimale 230 mm Classe B125</t>
  </si>
  <si>
    <t>13.2.3.2</t>
  </si>
  <si>
    <t>Tampon à fermeture hydraulique 415x415 mm ouverture minimale 300 mm Classe B125</t>
  </si>
  <si>
    <t>13.2.3.3</t>
  </si>
  <si>
    <t>Tampon à fermeture hydraulique 520x520 mm ouverture minimale 400 mm Classe B125</t>
  </si>
  <si>
    <t>13.2.3.4</t>
  </si>
  <si>
    <t>Tampon  à fermeture hydraulique 600x600 mm ouverture minimale 500 mm Classe B125</t>
  </si>
  <si>
    <t>13.2.3.5</t>
  </si>
  <si>
    <r>
      <t xml:space="preserve">Tampon à fermeture hydraulique </t>
    </r>
    <r>
      <rPr>
        <sz val="10"/>
        <color indexed="8"/>
        <rFont val="Calibri"/>
        <family val="2"/>
      </rPr>
      <t>Ø</t>
    </r>
    <r>
      <rPr>
        <i/>
        <sz val="10"/>
        <color indexed="8"/>
        <rFont val="Arial"/>
        <family val="2"/>
      </rPr>
      <t xml:space="preserve"> 360 mm ouverture minimale 220 mm Classe C250</t>
    </r>
  </si>
  <si>
    <t>13.2.3.6</t>
  </si>
  <si>
    <t>Tampon à fermeture hydraulique 450x430 mm ouverture minimale 300 mm Classe C250</t>
  </si>
  <si>
    <t>13.2.3.7</t>
  </si>
  <si>
    <t>Tampon à fermeture hydraulique 550x530 mm ouverture minimale 400 mm Classe C250</t>
  </si>
  <si>
    <t>13.2.3.8</t>
  </si>
  <si>
    <t>Tampon à fermeture hydraulique 650x630 ouverture minimale 500 mm Classe C250</t>
  </si>
  <si>
    <t>Fourniture et pose de tampon fonte sur tabouret de branchement</t>
  </si>
  <si>
    <t>Ces prix rémunèrent à l'unité la fourniture et la pose d'un tampon trottoir fonte de classe 250 KN sur tabouret de branchement</t>
  </si>
  <si>
    <t>˗ la fourniture, le transport, le déchargement, la pose d'un tampon 250 KN,</t>
  </si>
  <si>
    <t>Ces prix seront réglés à l'unité constatée en place.</t>
  </si>
  <si>
    <t>13.2.4.1</t>
  </si>
  <si>
    <t>Tampon articulé classe C250 sur tabouret Ø 250 mm</t>
  </si>
  <si>
    <t>13.2.4.2</t>
  </si>
  <si>
    <t>Tampon articulé classe C250 sur tabouret Ø 315 mm</t>
  </si>
  <si>
    <t>13.2.4.3</t>
  </si>
  <si>
    <t>Tampon articulé classe C250 sur tabouret Ø 400 mm</t>
  </si>
  <si>
    <t>Fourniture et pose de couverture d'éléments de bouche d'avaloir</t>
  </si>
  <si>
    <t>˗ la fourniture, le transport, le déchargement, la mise en œuvre, par tout moyen approprié, des matériaux et produits,</t>
  </si>
  <si>
    <t>˗ les sujétions particulières de manutention, et d'application des matériaux et produits.</t>
  </si>
  <si>
    <t>13.2.5.1</t>
  </si>
  <si>
    <t>Fourniture et pose de couronnement en béton armé préfabriqué</t>
  </si>
  <si>
    <t>13.2.5.2</t>
  </si>
  <si>
    <t>Fourniture et pose de couronnement en granit</t>
  </si>
  <si>
    <t>13.2.5.3</t>
  </si>
  <si>
    <t>Fourniture et pose de bavettes en béton armé préfabriqué</t>
  </si>
  <si>
    <t>13.2.5.4</t>
  </si>
  <si>
    <t>Fourniture et pose de bavettes en granit</t>
  </si>
  <si>
    <t>13.2.5.5</t>
  </si>
  <si>
    <t>Fourniture et pose de grille avaloir type SELECTA 500</t>
  </si>
  <si>
    <t>13.2.5.5.1</t>
  </si>
  <si>
    <t>Profil A classe C250</t>
  </si>
  <si>
    <t>13.2.5.5.2</t>
  </si>
  <si>
    <t>Profil A classe D400</t>
  </si>
  <si>
    <t>13.2.5.5.3</t>
  </si>
  <si>
    <t>Profil T classe C250</t>
  </si>
  <si>
    <t>13.2.5.5.4</t>
  </si>
  <si>
    <t>Profil T classe D400</t>
  </si>
  <si>
    <t>13.2.5.6</t>
  </si>
  <si>
    <t>Fourniture et pose de grille avaloir type SELECTA MAXI</t>
  </si>
  <si>
    <t>13.2.5.6.1</t>
  </si>
  <si>
    <t>13.2.5.6.2</t>
  </si>
  <si>
    <t>13.2.5.6.3</t>
  </si>
  <si>
    <t>13.2.5.6.4</t>
  </si>
  <si>
    <t>Fourniture et pose d'un clapet anti-odeur DN300 dans un avaloir ou une grille</t>
  </si>
  <si>
    <t>Ce prix rémunère à l'unité la fourniture et pose d'un clapet anti-odeur dans un avaloir et comprend notamment :</t>
  </si>
  <si>
    <t>˗ la fourniture, le transport, le déchargement, la pose d'un clapet anti-odeur (y compris tout accessoire nécessaire à sa fixation et la fixation dans l'avaloir), suivant les recommandations du fabricant.</t>
  </si>
  <si>
    <t>Fourniture et pose de grille fonte plate ou concave PMR classe C250</t>
  </si>
  <si>
    <t>Ces prix rémunèrent à l'unité la fourniture et la pose d'une grille fonte plate ou concave PMR de classe classe C250.</t>
  </si>
  <si>
    <t>˗ la fourniture, le transport, le déchargement, la pose d'une grille,</t>
  </si>
  <si>
    <t>13.2.7.1</t>
  </si>
  <si>
    <t>Ouverture 320 x 320 mm</t>
  </si>
  <si>
    <t>13.2.7.2</t>
  </si>
  <si>
    <t>Ouverture 420 x 420 mm</t>
  </si>
  <si>
    <t>13.2.7.3</t>
  </si>
  <si>
    <t>Ouverture 520 x 520 mm</t>
  </si>
  <si>
    <t>13.2.7.4</t>
  </si>
  <si>
    <t>Ouverture 620 x 620 mm</t>
  </si>
  <si>
    <t>13.2.7.5</t>
  </si>
  <si>
    <t>Ouverture 720 x 720 mm</t>
  </si>
  <si>
    <t>13.2.7.6</t>
  </si>
  <si>
    <t>Ouverture 750 x 300 mm</t>
  </si>
  <si>
    <t>13.2.7.7</t>
  </si>
  <si>
    <t>Ouverture 820 x 820 mm</t>
  </si>
  <si>
    <t>Fourniture et pose de caniveau à grille</t>
  </si>
  <si>
    <t>Ces prix rémunèrent la fourniture et pose de caniveau à grille à fond plat ou pente intégrée. Ce prix comprennent la fourniture et pose de l'ouvrage en béton ou béton de polyester, la grille en acier galvanisé ou fonte, toutes les sujétions liées aux terrassements, remblais et scellement. Ces prix ne comprennent pas la réfection des surfaces.</t>
  </si>
  <si>
    <t>13.2.8.1</t>
  </si>
  <si>
    <t>Caniveau largeur 0,10 m type Acodrain</t>
  </si>
  <si>
    <t>13.2.8.2</t>
  </si>
  <si>
    <t>Caniveau largeur 0,15 m type Acodrain</t>
  </si>
  <si>
    <t>13.2.8.3</t>
  </si>
  <si>
    <t>Caniveau largeur 0,20 m type Acodrain</t>
  </si>
  <si>
    <t>13.2.8.4</t>
  </si>
  <si>
    <t>Caniveau type M ou I largeur 0,10 m, hauteur ≤ 0,15 m classe C250 ou D400</t>
  </si>
  <si>
    <t>13.2.8.5</t>
  </si>
  <si>
    <t>Caniveau type M ou I largeur 0,15 m, hauteur ≤ 0,20 m classe C250 ou D400</t>
  </si>
  <si>
    <t>13.2.8.6</t>
  </si>
  <si>
    <t>Caniveau type M ou I largeur 0,20 m, hauteur ≤ 0,30 m classe C250 ou D400</t>
  </si>
  <si>
    <t>13.2.8.7</t>
  </si>
  <si>
    <t>Caniveau type M ou I largeur 0,25 m, hauteur ≤ 0,30 m classe C250 ou D400</t>
  </si>
  <si>
    <t>Fourniture et pose de canalisation et accessoire pour évacuation des eaux pluviales au caniveau</t>
  </si>
  <si>
    <t>Ces prix rémunèrent la fourniture et la pose de canalisation et accessoire pour évacuation des eaux pluviales au caniveau.</t>
  </si>
  <si>
    <t>˗ la fourniture, le transport, le déchargement et la pose,</t>
  </si>
  <si>
    <t>Ces prix seront réglés à l'unité pour les accessoires et au mètre pour les canalisation</t>
  </si>
  <si>
    <t>13.2.9.1</t>
  </si>
  <si>
    <t>Dépose de gargouille</t>
  </si>
  <si>
    <t>13.2.9.2</t>
  </si>
  <si>
    <t>Fourniture et pose de tête/sabot de gargouille en fonte profil A</t>
  </si>
  <si>
    <t>13.2.9.3</t>
  </si>
  <si>
    <t>Fourniture et pose de tête/sabot de gargouille en fonte profil T</t>
  </si>
  <si>
    <t>13.2.9.4</t>
  </si>
  <si>
    <t>Fourniture et pose de gargouille plate</t>
  </si>
  <si>
    <t xml:space="preserve">Ce prix rémunère au mètre liénaire la fourniture et pose d'une gargouille équipée d'un sabot section plate
Il comprend :
 - la fourniture de gargouille en fonte de section de section plate 60mm x 160mm, les coupes, la pose sur forme au bain de mortier, les raccords à la bordure de trottoir et à la descente d'eau, à la limite de propriété, les découpes soignées du revêtement existant, l'exécution des déblai et leur évacuation
 - le remblaiement de la fouille nécessaire à l'opération,
 - la fourniture et pose d'un sabot de section identique à la gargouille et s'insérant parfaitement à la vue de bordure.
 - la plus-value éventuelle pour la fourniture d'une section inférieur permettant une meilleur adaptation de la gargouille au contexte du nivellement  </t>
  </si>
  <si>
    <t>13.2.9.5</t>
  </si>
  <si>
    <t>Fourniture et pose de canalisation en fonte DN80/100</t>
  </si>
  <si>
    <t>13.2.9.6</t>
  </si>
  <si>
    <t>Fourniture et pose de canalisation en PVC DN80/100</t>
  </si>
  <si>
    <t>13.2.9.7</t>
  </si>
  <si>
    <t>Fourniture et pose de canalisation en acier DN80/100</t>
  </si>
  <si>
    <t>13.2.9.8</t>
  </si>
  <si>
    <t>Fourniture et pose de raccord entre la descente de gouttière et la canalisation sous trottoir DN80/100</t>
  </si>
  <si>
    <t>13.2.9.9</t>
  </si>
  <si>
    <t>Fourniture et pose de boîte 20x20 cm (y compris tampon fonte C250 adapté)</t>
  </si>
  <si>
    <t>Fourniture et pose d'équipements de sécurité</t>
  </si>
  <si>
    <t>13.2.10.1</t>
  </si>
  <si>
    <t>Fourniture et pose d'échelon</t>
  </si>
  <si>
    <t>Ce prix s’applique à l’unité pour la fourniture, le transport et la pose de fer forgé galvanisé pour échelons à poser en regard de visite.</t>
  </si>
  <si>
    <r>
      <rPr>
        <sz val="10"/>
        <color indexed="8"/>
        <rFont val="Arial"/>
        <family val="2"/>
      </rPr>
      <t>˗</t>
    </r>
    <r>
      <rPr>
        <sz val="10"/>
        <color indexed="8"/>
        <rFont val="Times New Roman"/>
        <family val="1"/>
      </rPr>
      <t xml:space="preserve"> </t>
    </r>
    <r>
      <rPr>
        <sz val="10"/>
        <color indexed="8"/>
        <rFont val="Arial"/>
        <family val="2"/>
      </rPr>
      <t>la fourniture et le transport,</t>
    </r>
  </si>
  <si>
    <t>˗ les percements, scellements,</t>
  </si>
  <si>
    <r>
      <rPr>
        <sz val="10"/>
        <color indexed="8"/>
        <rFont val="Arial"/>
        <family val="2"/>
      </rPr>
      <t>˗ la fixation des échelons.</t>
    </r>
  </si>
  <si>
    <t>13.2.10.2</t>
  </si>
  <si>
    <t>Fourniture et pose d'échelle</t>
  </si>
  <si>
    <t>Ce prix s’applique au mètre pour la fourniture, le transport et la pose de fer forgé galvanisé pour échelles à poser en regard de visite (y compris la crosse).</t>
  </si>
  <si>
    <t>˗ la fixation des échelles.</t>
  </si>
  <si>
    <t>13.2.10.3</t>
  </si>
  <si>
    <t>Fourniture et pose de crosse</t>
  </si>
  <si>
    <t>Ce prix s’applique à l’unité pour la fourniture, le transport et la pose d’une crosse en fer forgé galvanisé pour descente de regards.</t>
  </si>
  <si>
    <t>Ce prix comprend les percements, scellements nécessaires à sa fixation.</t>
  </si>
  <si>
    <t>13.2.10.4</t>
  </si>
  <si>
    <t>Fourniture et pose d'accessoire d'assainissement en acier galvanisé</t>
  </si>
  <si>
    <t>Ce prix s’applique au kilogramme pour la fourniture, le transport et la pose d'accessoire d'assainissement en acier galvanisé.</t>
  </si>
  <si>
    <t>Ce prix comprend tous les percements et scellements nécessaires à sa fixation.</t>
  </si>
  <si>
    <t>14</t>
  </si>
  <si>
    <t>POSTE DE POMPAGE ET REFOULEMENT</t>
  </si>
  <si>
    <t>14.1</t>
  </si>
  <si>
    <t>CHAMBRE DE POMPAGE</t>
  </si>
  <si>
    <t>Ces prix rémunèrent la fourniture et la pose d'une chambre de pompage en béton préfabriquée ou coulée en place quelle que soit la hauteur.</t>
  </si>
  <si>
    <t>˗ la fourniture et la pose des éléments préfabriqués, y compris l’élément de fond et la dalle de couverture, pour les ouvrages préfabriqués,</t>
  </si>
  <si>
    <t>- l’amenée et la mise en œuvre de coffrage à parement lisse,</t>
  </si>
  <si>
    <t>- la fourniture et la mise en œuvre d’acier pour béton armé y compris façonnage,</t>
  </si>
  <si>
    <t>- la fourniture, la mise en œuvre et le vibrage soigné du béton y compris toutes sujétions d’approvisionnement,</t>
  </si>
  <si>
    <t>14.1.1</t>
  </si>
  <si>
    <r>
      <t xml:space="preserve">Chambre de pompage de diamètre intérieur </t>
    </r>
    <r>
      <rPr>
        <b/>
        <sz val="11"/>
        <rFont val="Symbol"/>
        <family val="1"/>
        <charset val="2"/>
      </rPr>
      <t>Æ</t>
    </r>
    <r>
      <rPr>
        <b/>
        <sz val="11"/>
        <rFont val="Arial Black"/>
        <family val="2"/>
      </rPr>
      <t xml:space="preserve"> </t>
    </r>
    <r>
      <rPr>
        <b/>
        <sz val="10"/>
        <rFont val="Arial"/>
        <family val="2"/>
      </rPr>
      <t>1500 mm</t>
    </r>
  </si>
  <si>
    <t>14.1.1.1</t>
  </si>
  <si>
    <t>Elément de fond</t>
  </si>
  <si>
    <t>L’UNITE</t>
  </si>
  <si>
    <t>14.1.1.2</t>
  </si>
  <si>
    <t>Elément de réhausse</t>
  </si>
  <si>
    <t>14.1.1.3</t>
  </si>
  <si>
    <t>Dalle de couverture</t>
  </si>
  <si>
    <t>14.1.2</t>
  </si>
  <si>
    <r>
      <t xml:space="preserve">Chambre de pompage de diamètre intérieur </t>
    </r>
    <r>
      <rPr>
        <b/>
        <sz val="11"/>
        <rFont val="Symbol"/>
        <family val="1"/>
        <charset val="2"/>
      </rPr>
      <t>Æ</t>
    </r>
    <r>
      <rPr>
        <b/>
        <sz val="11"/>
        <rFont val="Arial Black"/>
        <family val="2"/>
      </rPr>
      <t xml:space="preserve"> </t>
    </r>
    <r>
      <rPr>
        <b/>
        <sz val="10"/>
        <rFont val="Arial "/>
      </rPr>
      <t>1600 mm</t>
    </r>
  </si>
  <si>
    <t>14.1.2.1</t>
  </si>
  <si>
    <t>14.1.2.2</t>
  </si>
  <si>
    <t>14.1.2.3</t>
  </si>
  <si>
    <t>14.1.3</t>
  </si>
  <si>
    <r>
      <t xml:space="preserve">Chambre de pompage de diamètre intérieur </t>
    </r>
    <r>
      <rPr>
        <b/>
        <sz val="11"/>
        <rFont val="Symbol"/>
        <family val="1"/>
        <charset val="2"/>
      </rPr>
      <t>Æ</t>
    </r>
    <r>
      <rPr>
        <b/>
        <sz val="11"/>
        <rFont val="Arial Black"/>
        <family val="2"/>
      </rPr>
      <t xml:space="preserve"> </t>
    </r>
    <r>
      <rPr>
        <b/>
        <sz val="10"/>
        <rFont val="Arial"/>
        <family val="2"/>
      </rPr>
      <t>1800 mm</t>
    </r>
  </si>
  <si>
    <t>14.1.3.1</t>
  </si>
  <si>
    <t>14.1.3.2</t>
  </si>
  <si>
    <t>14.1.3.3</t>
  </si>
  <si>
    <t>14.1.4</t>
  </si>
  <si>
    <r>
      <t xml:space="preserve">Chambre de pompage de diamètre intérieur </t>
    </r>
    <r>
      <rPr>
        <b/>
        <sz val="11"/>
        <rFont val="Symbol"/>
        <family val="1"/>
        <charset val="2"/>
      </rPr>
      <t>Æ</t>
    </r>
    <r>
      <rPr>
        <b/>
        <sz val="11"/>
        <rFont val="Arial Black"/>
        <family val="2"/>
      </rPr>
      <t xml:space="preserve"> </t>
    </r>
    <r>
      <rPr>
        <b/>
        <sz val="10"/>
        <rFont val="Arial"/>
        <family val="2"/>
      </rPr>
      <t>2000 mm</t>
    </r>
  </si>
  <si>
    <t>14.1.4.1</t>
  </si>
  <si>
    <t>14.1.4.2</t>
  </si>
  <si>
    <t>14.1.4.3</t>
  </si>
  <si>
    <t>14.1.5</t>
  </si>
  <si>
    <r>
      <t xml:space="preserve">Chambre de pompage de diamètre intérieur </t>
    </r>
    <r>
      <rPr>
        <b/>
        <sz val="11"/>
        <rFont val="Symbol"/>
        <family val="1"/>
        <charset val="2"/>
      </rPr>
      <t>Æ</t>
    </r>
    <r>
      <rPr>
        <b/>
        <sz val="11"/>
        <rFont val="Arial Black"/>
        <family val="2"/>
      </rPr>
      <t xml:space="preserve"> </t>
    </r>
    <r>
      <rPr>
        <b/>
        <sz val="10"/>
        <rFont val="Arial"/>
        <family val="2"/>
      </rPr>
      <t>2500mm</t>
    </r>
  </si>
  <si>
    <t>14.1.5.1</t>
  </si>
  <si>
    <t>14.1.5.2</t>
  </si>
  <si>
    <t>14.1.5.3</t>
  </si>
  <si>
    <t>14.1.6</t>
  </si>
  <si>
    <r>
      <t xml:space="preserve">Chambre de pompage de diamètre intérieur </t>
    </r>
    <r>
      <rPr>
        <b/>
        <sz val="11"/>
        <rFont val="Symbol"/>
        <family val="1"/>
        <charset val="2"/>
      </rPr>
      <t>Æ</t>
    </r>
    <r>
      <rPr>
        <b/>
        <sz val="11"/>
        <rFont val="Arial Black"/>
        <family val="2"/>
      </rPr>
      <t xml:space="preserve"> </t>
    </r>
    <r>
      <rPr>
        <b/>
        <sz val="10"/>
        <rFont val="Arial"/>
        <family val="2"/>
      </rPr>
      <t>3000mm</t>
    </r>
  </si>
  <si>
    <t>14.1.6.1</t>
  </si>
  <si>
    <t>14.1.6.2</t>
  </si>
  <si>
    <t>14.1.6.3</t>
  </si>
  <si>
    <t>14.2</t>
  </si>
  <si>
    <t>CHAMBRE DE VANNE</t>
  </si>
  <si>
    <t>Ces prix rémunèrent la fourniture et la pose d'une chambre de vanne en béton préfabriquée ou coulée en place quelle que soit la hauteur.</t>
  </si>
  <si>
    <t>14.2.1</t>
  </si>
  <si>
    <t xml:space="preserve">Chambre de vanne de dimensions intérieures 1000 X 1500 mm </t>
  </si>
  <si>
    <t>14.2.1.1</t>
  </si>
  <si>
    <t>14.2.1.2</t>
  </si>
  <si>
    <t>14.2.1.3</t>
  </si>
  <si>
    <t>14.2.2</t>
  </si>
  <si>
    <t xml:space="preserve">Chambre de vanne de dimensions intérieures 1000 X 2000 mm </t>
  </si>
  <si>
    <t>14.2.2.1</t>
  </si>
  <si>
    <t>14.2.2.2</t>
  </si>
  <si>
    <t>14.2.2.3</t>
  </si>
  <si>
    <t>14.2.3</t>
  </si>
  <si>
    <t xml:space="preserve">Chambre de vanne de dimensions intérieures 1500 X 2000 mm </t>
  </si>
  <si>
    <t>14.2.3.1</t>
  </si>
  <si>
    <t>14.2.3.2</t>
  </si>
  <si>
    <t>14.2.3.3</t>
  </si>
  <si>
    <t>14.2.4</t>
  </si>
  <si>
    <t xml:space="preserve">Chambre de vanne de dimensions intérieures 1500 X 2500 mm </t>
  </si>
  <si>
    <t>14.2.4.1</t>
  </si>
  <si>
    <t>14.2.4.2</t>
  </si>
  <si>
    <t>14.2.4.3</t>
  </si>
  <si>
    <t>14.2.5</t>
  </si>
  <si>
    <t xml:space="preserve">Chambre de vanne de dimensions intérieures 1500 X 3000 mm </t>
  </si>
  <si>
    <t>14.2.5.1</t>
  </si>
  <si>
    <t>14.2.5.2</t>
  </si>
  <si>
    <t>14.2.5.3</t>
  </si>
  <si>
    <t>14.2.6</t>
  </si>
  <si>
    <t xml:space="preserve">Chambre de vanne de dimensions intérieures 2000 X 3000 mm </t>
  </si>
  <si>
    <t>14.2.6.1</t>
  </si>
  <si>
    <t>14.2.6.2</t>
  </si>
  <si>
    <t>14.2.6.3</t>
  </si>
  <si>
    <t>14.2.7</t>
  </si>
  <si>
    <t xml:space="preserve">Chambre de vanne de dimensions intérieures 2000 X 3500 mm </t>
  </si>
  <si>
    <t>14.2.7.1</t>
  </si>
  <si>
    <t>14.2.7.2</t>
  </si>
  <si>
    <t>14.2.7.3</t>
  </si>
  <si>
    <t>14.3</t>
  </si>
  <si>
    <t>POMPES ET ACCESSOIRES</t>
  </si>
  <si>
    <t>Ces prix rémunèrent à l’unité la fourniture, la livraison sur site, et la mise en œuvre des équipements liés au pompage (quelles que soient la nature et la puissance de la pompe) au sein de l’ouvrage enterré :</t>
  </si>
  <si>
    <t>- pied d’assise,</t>
  </si>
  <si>
    <t>- les barres de guidage,</t>
  </si>
  <si>
    <t>- les dispositifs de manutention,</t>
  </si>
  <si>
    <t>- la pompe,</t>
  </si>
  <si>
    <t>- les essais.</t>
  </si>
  <si>
    <t>14.3.1</t>
  </si>
  <si>
    <t>Pompe de puissance P ≤ 1,5 KW</t>
  </si>
  <si>
    <t>14.3.2</t>
  </si>
  <si>
    <t>Pompe de puissance 1,5 KW &lt; P ≤ 3 kW</t>
  </si>
  <si>
    <t>14.3.3</t>
  </si>
  <si>
    <t>Pompe de puissance 3 KW &lt; P ≤ 5 kW</t>
  </si>
  <si>
    <t>14.3.4</t>
  </si>
  <si>
    <t>Pompe de puissance 5 KW &lt; P ≤ 7,5 kW</t>
  </si>
  <si>
    <t>14.3.5</t>
  </si>
  <si>
    <t>Pompe de puissance 7,5 KW &lt; P ≤ 10 kW</t>
  </si>
  <si>
    <t>14.4</t>
  </si>
  <si>
    <t>TUYAUX ET ACCESSOIRES DANS LA CHAMBRE DE POMPAGE</t>
  </si>
  <si>
    <t>Ces prix s'appliquent au mètre linéaire de conduite de refoulement pour la fourniture et la pose de l'ensemble de dispositifs de pompage ou d'aspiration comprenant :</t>
  </si>
  <si>
    <r>
      <t xml:space="preserve">- </t>
    </r>
    <r>
      <rPr>
        <sz val="10"/>
        <rFont val="Arial"/>
        <family val="2"/>
      </rPr>
      <t>conduites de refoulement,</t>
    </r>
  </si>
  <si>
    <r>
      <t>-</t>
    </r>
    <r>
      <rPr>
        <sz val="7"/>
        <rFont val="Times New Roman"/>
        <family val="1"/>
      </rPr>
      <t> </t>
    </r>
    <r>
      <rPr>
        <sz val="10"/>
        <rFont val="Arial"/>
        <family val="2"/>
      </rPr>
      <t>manchettes,</t>
    </r>
  </si>
  <si>
    <r>
      <t>-</t>
    </r>
    <r>
      <rPr>
        <sz val="7"/>
        <rFont val="Times New Roman"/>
        <family val="1"/>
      </rPr>
      <t> </t>
    </r>
    <r>
      <rPr>
        <sz val="10"/>
        <rFont val="Arial"/>
        <family val="2"/>
      </rPr>
      <t>joints,</t>
    </r>
  </si>
  <si>
    <r>
      <t>-</t>
    </r>
    <r>
      <rPr>
        <sz val="7"/>
        <rFont val="Times New Roman"/>
        <family val="1"/>
      </rPr>
      <t> </t>
    </r>
    <r>
      <rPr>
        <sz val="10"/>
        <rFont val="Arial"/>
        <family val="2"/>
      </rPr>
      <t>tés, coudes,</t>
    </r>
  </si>
  <si>
    <r>
      <t>-</t>
    </r>
    <r>
      <rPr>
        <sz val="7"/>
        <rFont val="Times New Roman"/>
        <family val="1"/>
      </rPr>
      <t> </t>
    </r>
    <r>
      <rPr>
        <sz val="10"/>
        <rFont val="Arial"/>
        <family val="2"/>
      </rPr>
      <t>divergents,</t>
    </r>
  </si>
  <si>
    <r>
      <t>-</t>
    </r>
    <r>
      <rPr>
        <sz val="7"/>
        <rFont val="Times New Roman"/>
        <family val="1"/>
      </rPr>
      <t> </t>
    </r>
    <r>
      <rPr>
        <sz val="10"/>
        <rFont val="Arial"/>
        <family val="2"/>
      </rPr>
      <t>et toutes les pièces de fixation et de boulonnerie.</t>
    </r>
  </si>
  <si>
    <t>Ces prix comprennent toutes les sujétions de manutention, pose, scellement et fixation des pièces de pénétration des voiles, raccordements sur tuyauteries diverses, protection et peinture.</t>
  </si>
  <si>
    <t>14.4.1</t>
  </si>
  <si>
    <t>Tuyau PEHD et accessoires PN10</t>
  </si>
  <si>
    <t>14.4.1.1</t>
  </si>
  <si>
    <r>
      <t xml:space="preserve">Tuyaux diamètre </t>
    </r>
    <r>
      <rPr>
        <b/>
        <sz val="10"/>
        <rFont val="Symbol"/>
        <family val="1"/>
        <charset val="2"/>
      </rPr>
      <t>Æ</t>
    </r>
    <r>
      <rPr>
        <b/>
        <sz val="10"/>
        <rFont val="Arial"/>
        <family val="2"/>
      </rPr>
      <t xml:space="preserve"> ≤ </t>
    </r>
    <r>
      <rPr>
        <i/>
        <sz val="10"/>
        <rFont val="Arial"/>
        <family val="2"/>
      </rPr>
      <t>100 mm</t>
    </r>
  </si>
  <si>
    <t>14.4.1.2</t>
  </si>
  <si>
    <r>
      <t xml:space="preserve">Tuyaux diamètre </t>
    </r>
    <r>
      <rPr>
        <b/>
        <sz val="10"/>
        <rFont val="Symbol"/>
        <family val="1"/>
        <charset val="2"/>
      </rPr>
      <t>Æ</t>
    </r>
    <r>
      <rPr>
        <b/>
        <sz val="10"/>
        <rFont val="Arial"/>
        <family val="2"/>
      </rPr>
      <t xml:space="preserve"> ≤ </t>
    </r>
    <r>
      <rPr>
        <i/>
        <sz val="10"/>
        <rFont val="Arial"/>
        <family val="2"/>
      </rPr>
      <t>150 mm</t>
    </r>
  </si>
  <si>
    <t>14.4.1.3</t>
  </si>
  <si>
    <r>
      <t xml:space="preserve">Tuyaux diamètre </t>
    </r>
    <r>
      <rPr>
        <b/>
        <sz val="10"/>
        <rFont val="Symbol"/>
        <family val="1"/>
        <charset val="2"/>
      </rPr>
      <t>Æ</t>
    </r>
    <r>
      <rPr>
        <b/>
        <sz val="10"/>
        <rFont val="Arial"/>
        <family val="2"/>
      </rPr>
      <t xml:space="preserve"> ≤ </t>
    </r>
    <r>
      <rPr>
        <i/>
        <sz val="10"/>
        <rFont val="Arial"/>
        <family val="2"/>
      </rPr>
      <t>200 mm</t>
    </r>
  </si>
  <si>
    <t>14.4.1.4</t>
  </si>
  <si>
    <r>
      <t xml:space="preserve">Tuyaux diamètre </t>
    </r>
    <r>
      <rPr>
        <b/>
        <sz val="10"/>
        <rFont val="Symbol"/>
        <family val="1"/>
        <charset val="2"/>
      </rPr>
      <t>Æ</t>
    </r>
    <r>
      <rPr>
        <b/>
        <sz val="10"/>
        <rFont val="Arial"/>
        <family val="2"/>
      </rPr>
      <t xml:space="preserve"> ≤ </t>
    </r>
    <r>
      <rPr>
        <i/>
        <sz val="10"/>
        <rFont val="Arial"/>
        <family val="2"/>
      </rPr>
      <t>315 mm</t>
    </r>
  </si>
  <si>
    <t>14.4.2</t>
  </si>
  <si>
    <t>Tuyau PEHD et accessoires PN16</t>
  </si>
  <si>
    <t>14.4.2.1</t>
  </si>
  <si>
    <t>14.4.2.2</t>
  </si>
  <si>
    <t>14.4.2.3</t>
  </si>
  <si>
    <t>14.4.2.4</t>
  </si>
  <si>
    <t>14.4.3</t>
  </si>
  <si>
    <t>Tuyau PVC et accessoires PN10</t>
  </si>
  <si>
    <t>14.4.3.1</t>
  </si>
  <si>
    <t>14.4.3.2</t>
  </si>
  <si>
    <t>14.4.3.3</t>
  </si>
  <si>
    <t>14.4.3.4</t>
  </si>
  <si>
    <t>14.4.4</t>
  </si>
  <si>
    <t>Tuyau PVC et accessoires PN16</t>
  </si>
  <si>
    <t>14.4.4.1</t>
  </si>
  <si>
    <t>14.4.4.2</t>
  </si>
  <si>
    <t>14.4.4.3</t>
  </si>
  <si>
    <t>14.4.4.4</t>
  </si>
  <si>
    <t>14.4.5</t>
  </si>
  <si>
    <t>Tuyau en acier galvanisé et accessoires PN10</t>
  </si>
  <si>
    <t>14.4.5.1</t>
  </si>
  <si>
    <t>14.4.5.2</t>
  </si>
  <si>
    <t>14.4.5.3</t>
  </si>
  <si>
    <t>14.4.5.4</t>
  </si>
  <si>
    <t>14.4.6</t>
  </si>
  <si>
    <t>Tuyau en acier galvanisé et accessoires PN16</t>
  </si>
  <si>
    <t>14.4.6.1</t>
  </si>
  <si>
    <t>14.4.6.2</t>
  </si>
  <si>
    <t>14.4.6.3</t>
  </si>
  <si>
    <t>14.4.6.4</t>
  </si>
  <si>
    <t>14.5</t>
  </si>
  <si>
    <t>TUYAUX DE REFOULEMENT EN TRANCHEE</t>
  </si>
  <si>
    <t>Ces prix rémunèrent au mètre la fourniture, le transport et la pose de tuyaux de refoulement quel que soit le matériau en tranchée ouverte conformément aux prescriptions du C.C.T.P.</t>
  </si>
  <si>
    <t>Ils comprennent toutes les sujétions et fournitures nécessaires à l’opération notamment la fourniture et la pose de colliers, de brides éventuelles, de coudes, de manchons, etc.</t>
  </si>
  <si>
    <t>14.5.1</t>
  </si>
  <si>
    <t>14.5.1.1</t>
  </si>
  <si>
    <t>14.5.1.2</t>
  </si>
  <si>
    <r>
      <t xml:space="preserve">Tuyaux diamètre </t>
    </r>
    <r>
      <rPr>
        <b/>
        <sz val="10"/>
        <rFont val="Symbol"/>
        <family val="1"/>
        <charset val="2"/>
      </rPr>
      <t>Æ</t>
    </r>
    <r>
      <rPr>
        <b/>
        <sz val="10"/>
        <rFont val="Arial"/>
        <family val="2"/>
      </rPr>
      <t xml:space="preserve"> ≤ </t>
    </r>
    <r>
      <rPr>
        <i/>
        <sz val="10"/>
        <rFont val="Arial"/>
        <family val="2"/>
      </rPr>
      <t>160 mm</t>
    </r>
  </si>
  <si>
    <t>14.5.1.3</t>
  </si>
  <si>
    <t>14.5.1.4</t>
  </si>
  <si>
    <t>14.5.1.5</t>
  </si>
  <si>
    <r>
      <t xml:space="preserve">Tuyaux diamètre </t>
    </r>
    <r>
      <rPr>
        <b/>
        <sz val="10"/>
        <rFont val="Symbol"/>
        <family val="1"/>
        <charset val="2"/>
      </rPr>
      <t>Æ</t>
    </r>
    <r>
      <rPr>
        <b/>
        <sz val="10"/>
        <rFont val="Arial"/>
        <family val="2"/>
      </rPr>
      <t xml:space="preserve"> ≤ </t>
    </r>
    <r>
      <rPr>
        <i/>
        <sz val="10"/>
        <rFont val="Arial"/>
        <family val="2"/>
      </rPr>
      <t>400 mm</t>
    </r>
  </si>
  <si>
    <t>14.5.2</t>
  </si>
  <si>
    <t>14.5.2.1</t>
  </si>
  <si>
    <t>14.5.2.2</t>
  </si>
  <si>
    <t>14.5.2.3</t>
  </si>
  <si>
    <t>14.5.2.4</t>
  </si>
  <si>
    <t>14.5.2.5</t>
  </si>
  <si>
    <t>14.5.3</t>
  </si>
  <si>
    <t>14.5.3.1</t>
  </si>
  <si>
    <t>14.5.3.2</t>
  </si>
  <si>
    <t>14.5.3.3</t>
  </si>
  <si>
    <t>14.5.3.4</t>
  </si>
  <si>
    <t>14.5.3.5</t>
  </si>
  <si>
    <t>14.5.4</t>
  </si>
  <si>
    <t>14.5.4.1</t>
  </si>
  <si>
    <t>14.5.4.2</t>
  </si>
  <si>
    <t>14.5.4.3</t>
  </si>
  <si>
    <t>14.5.4.4</t>
  </si>
  <si>
    <t>14.5.4.5</t>
  </si>
  <si>
    <t>14.5.5</t>
  </si>
  <si>
    <t>Tuyau en fonte et accessoires PN10</t>
  </si>
  <si>
    <t>14.5.5.1</t>
  </si>
  <si>
    <t>14.5.5.2</t>
  </si>
  <si>
    <t>14.5.5.3</t>
  </si>
  <si>
    <t>14.5.5.4</t>
  </si>
  <si>
    <r>
      <t xml:space="preserve">Tuyaux diamètre </t>
    </r>
    <r>
      <rPr>
        <b/>
        <sz val="10"/>
        <rFont val="Symbol"/>
        <family val="1"/>
        <charset val="2"/>
      </rPr>
      <t>Æ</t>
    </r>
    <r>
      <rPr>
        <b/>
        <sz val="10"/>
        <rFont val="Arial"/>
        <family val="2"/>
      </rPr>
      <t xml:space="preserve"> ≤ </t>
    </r>
    <r>
      <rPr>
        <i/>
        <sz val="10"/>
        <rFont val="Arial"/>
        <family val="2"/>
      </rPr>
      <t>300 mm</t>
    </r>
  </si>
  <si>
    <t>14.5.5.5</t>
  </si>
  <si>
    <t>14.5.6</t>
  </si>
  <si>
    <t>Tuyau en fonte et accessoires PN16</t>
  </si>
  <si>
    <t>14.5.6.1</t>
  </si>
  <si>
    <t>14.5.6.2</t>
  </si>
  <si>
    <t>14.5.6.3</t>
  </si>
  <si>
    <t>14.5.6.4</t>
  </si>
  <si>
    <t>14.5.6.5</t>
  </si>
  <si>
    <t>14.6</t>
  </si>
  <si>
    <t>CLAPETS ET VANNES</t>
  </si>
  <si>
    <t>Ces prix s'appliquent à l’unité pour la fourniture et la pose de vannes ou de clapets anti-retour sur les conduites d'aspiration ou de refoulement des pompes, y compris : les joints et les raccords toutes les pièces de fixation et de boulonnerie, toutes les sujétions de manutention, pose, protection et peinture.</t>
  </si>
  <si>
    <t>14.6.1</t>
  </si>
  <si>
    <t>Clapets anti-retour à boule sur tuyau de refoulement PN10</t>
  </si>
  <si>
    <t>14.6.1.1</t>
  </si>
  <si>
    <r>
      <t xml:space="preserve">Sur tuyaux de diamètre </t>
    </r>
    <r>
      <rPr>
        <b/>
        <sz val="10"/>
        <rFont val="Symbol"/>
        <family val="1"/>
        <charset val="2"/>
      </rPr>
      <t>Æ</t>
    </r>
    <r>
      <rPr>
        <b/>
        <sz val="10"/>
        <rFont val="Arial"/>
        <family val="2"/>
      </rPr>
      <t xml:space="preserve"> ≤ </t>
    </r>
    <r>
      <rPr>
        <i/>
        <sz val="10"/>
        <rFont val="Arial"/>
        <family val="2"/>
      </rPr>
      <t>100 mm</t>
    </r>
  </si>
  <si>
    <t>14.6.1.2</t>
  </si>
  <si>
    <r>
      <t xml:space="preserve">Sur tuyau diamètre </t>
    </r>
    <r>
      <rPr>
        <b/>
        <sz val="10"/>
        <rFont val="Symbol"/>
        <family val="1"/>
        <charset val="2"/>
      </rPr>
      <t>Æ</t>
    </r>
    <r>
      <rPr>
        <b/>
        <sz val="10"/>
        <rFont val="Arial"/>
        <family val="2"/>
      </rPr>
      <t xml:space="preserve"> ≤ </t>
    </r>
    <r>
      <rPr>
        <i/>
        <sz val="10"/>
        <rFont val="Arial"/>
        <family val="2"/>
      </rPr>
      <t>150 mm</t>
    </r>
  </si>
  <si>
    <t>14.6.1.3</t>
  </si>
  <si>
    <r>
      <t xml:space="preserve">Sur tuyau de diamètre </t>
    </r>
    <r>
      <rPr>
        <b/>
        <sz val="10"/>
        <rFont val="Symbol"/>
        <family val="1"/>
        <charset val="2"/>
      </rPr>
      <t>Æ</t>
    </r>
    <r>
      <rPr>
        <b/>
        <sz val="10"/>
        <rFont val="Arial"/>
        <family val="2"/>
      </rPr>
      <t xml:space="preserve"> ≤ </t>
    </r>
    <r>
      <rPr>
        <i/>
        <sz val="10"/>
        <rFont val="Arial"/>
        <family val="2"/>
      </rPr>
      <t>200 mm</t>
    </r>
  </si>
  <si>
    <t>14.6.1.4</t>
  </si>
  <si>
    <r>
      <t xml:space="preserve">Sur tuyau de diamètre </t>
    </r>
    <r>
      <rPr>
        <b/>
        <sz val="10"/>
        <rFont val="Symbol"/>
        <family val="1"/>
        <charset val="2"/>
      </rPr>
      <t>Æ</t>
    </r>
    <r>
      <rPr>
        <b/>
        <sz val="10"/>
        <rFont val="Arial"/>
        <family val="2"/>
      </rPr>
      <t xml:space="preserve"> ≤ </t>
    </r>
    <r>
      <rPr>
        <i/>
        <sz val="10"/>
        <rFont val="Arial"/>
        <family val="2"/>
      </rPr>
      <t>315 mm</t>
    </r>
  </si>
  <si>
    <t>14.6.1.5</t>
  </si>
  <si>
    <r>
      <t xml:space="preserve">Sur tuyau de diamètre </t>
    </r>
    <r>
      <rPr>
        <b/>
        <sz val="10"/>
        <rFont val="Symbol"/>
        <family val="1"/>
        <charset val="2"/>
      </rPr>
      <t>Æ</t>
    </r>
    <r>
      <rPr>
        <b/>
        <sz val="10"/>
        <rFont val="Arial"/>
        <family val="2"/>
      </rPr>
      <t xml:space="preserve"> ≤ </t>
    </r>
    <r>
      <rPr>
        <i/>
        <sz val="10"/>
        <rFont val="Arial"/>
        <family val="2"/>
      </rPr>
      <t>400 mm</t>
    </r>
  </si>
  <si>
    <t>14.6.2</t>
  </si>
  <si>
    <t>Clapets anti-retour à boule sur tuyau de refoulement PN16</t>
  </si>
  <si>
    <t>14.6.2.1</t>
  </si>
  <si>
    <t>14.6.2.2</t>
  </si>
  <si>
    <t>14.6.2.3</t>
  </si>
  <si>
    <t>14.6.2.4</t>
  </si>
  <si>
    <t>14.6.2.5</t>
  </si>
  <si>
    <t>14.6.3</t>
  </si>
  <si>
    <t>Clapets anti-retour à battant sur tuyau de refoulement PN10</t>
  </si>
  <si>
    <t>14.6.3.1</t>
  </si>
  <si>
    <t>14.6.3.2</t>
  </si>
  <si>
    <t>14.6.3.3</t>
  </si>
  <si>
    <t>14.6.3.4</t>
  </si>
  <si>
    <t>14.6.3.5</t>
  </si>
  <si>
    <t>14.6.4</t>
  </si>
  <si>
    <t>Clapets anti-retour à battant sur tuyau de refoulement PN16</t>
  </si>
  <si>
    <t>14.6.4.1</t>
  </si>
  <si>
    <t>14.6.4.2</t>
  </si>
  <si>
    <t>14.6.4.3</t>
  </si>
  <si>
    <t>14.6.4.4</t>
  </si>
  <si>
    <t>14.6.4.5</t>
  </si>
  <si>
    <t>14.6.5</t>
  </si>
  <si>
    <t>Vannes d’isolement sur tuyau de refoulement PN10</t>
  </si>
  <si>
    <t>14.6.5.1</t>
  </si>
  <si>
    <t>14.6.5.2</t>
  </si>
  <si>
    <t>14.6.5.3</t>
  </si>
  <si>
    <t>14.6.5.4</t>
  </si>
  <si>
    <t>14.6.5.5</t>
  </si>
  <si>
    <t>14.6.6</t>
  </si>
  <si>
    <t>Vannes d’isolement sur tuyau de refoulement PN16</t>
  </si>
  <si>
    <t>14.6.6.1</t>
  </si>
  <si>
    <t>14.6.6.2</t>
  </si>
  <si>
    <t>14.6.6.3</t>
  </si>
  <si>
    <t>14.6.6.4</t>
  </si>
  <si>
    <t>14.6.6.5</t>
  </si>
  <si>
    <t>14.6.7</t>
  </si>
  <si>
    <t>Vannes de sectionnement en entrée de poste / chambre de pompage (y compris tube de guidage et bouche à clé)</t>
  </si>
  <si>
    <t>14.6.7.1</t>
  </si>
  <si>
    <t>Vanne DN200</t>
  </si>
  <si>
    <t>14.6.7.2</t>
  </si>
  <si>
    <t>Vanne DN300</t>
  </si>
  <si>
    <t>14.6.7.3</t>
  </si>
  <si>
    <t>Vanne DN400</t>
  </si>
  <si>
    <t>14.6.7.4</t>
  </si>
  <si>
    <t>Vanne DN500</t>
  </si>
  <si>
    <t>14.6.7.5</t>
  </si>
  <si>
    <t>Vanne DN600</t>
  </si>
  <si>
    <t>14.7</t>
  </si>
  <si>
    <t>PANIERS DEGRILLEURS EN ENTREE DE POSTE</t>
  </si>
  <si>
    <t>Ces prix rémunèrent à l’unité la fourniture et la pose de la grille / panier dégrilleur et accessoires (rails de guidage, chaine de manutention,…) en entrée du poste de refoulement.</t>
  </si>
  <si>
    <t>14.7.1</t>
  </si>
  <si>
    <r>
      <t xml:space="preserve">Panier dégrilleur en entrée de poste pour canalisation d'alimentation de diamètre </t>
    </r>
    <r>
      <rPr>
        <b/>
        <sz val="11"/>
        <rFont val="Symbol"/>
        <family val="1"/>
        <charset val="2"/>
      </rPr>
      <t>Æ</t>
    </r>
    <r>
      <rPr>
        <b/>
        <sz val="11"/>
        <rFont val="Arial Black"/>
        <family val="2"/>
      </rPr>
      <t xml:space="preserve"> ≤ </t>
    </r>
    <r>
      <rPr>
        <b/>
        <sz val="10"/>
        <rFont val="Arial"/>
        <family val="2"/>
      </rPr>
      <t>300 mm</t>
    </r>
  </si>
  <si>
    <t>14.7.2</t>
  </si>
  <si>
    <r>
      <t xml:space="preserve">Panier dégrilleur en entrée de poste pour canalisation d'alimentation de diamètre 300 mm &lt; </t>
    </r>
    <r>
      <rPr>
        <b/>
        <sz val="11"/>
        <rFont val="Symbol"/>
        <family val="1"/>
        <charset val="2"/>
      </rPr>
      <t>Æ</t>
    </r>
    <r>
      <rPr>
        <b/>
        <sz val="11"/>
        <rFont val="Arial Black"/>
        <family val="2"/>
      </rPr>
      <t xml:space="preserve"> ≤</t>
    </r>
    <r>
      <rPr>
        <b/>
        <sz val="10"/>
        <rFont val="Arial"/>
        <family val="2"/>
      </rPr>
      <t xml:space="preserve"> 500 mm</t>
    </r>
  </si>
  <si>
    <t>14.7.3</t>
  </si>
  <si>
    <r>
      <t xml:space="preserve">Panier dégrilleur en entrée de poste pour canalisation d'alimentation de diamètre 500 mm &lt; </t>
    </r>
    <r>
      <rPr>
        <b/>
        <sz val="11"/>
        <rFont val="Symbol"/>
        <family val="1"/>
        <charset val="2"/>
      </rPr>
      <t>Æ</t>
    </r>
    <r>
      <rPr>
        <b/>
        <sz val="11"/>
        <rFont val="Arial Black"/>
        <family val="2"/>
      </rPr>
      <t xml:space="preserve"> ≤ </t>
    </r>
    <r>
      <rPr>
        <b/>
        <sz val="10"/>
        <rFont val="Arial "/>
      </rPr>
      <t>600 mm</t>
    </r>
  </si>
  <si>
    <t>14.8</t>
  </si>
  <si>
    <t>METROLOGIE</t>
  </si>
  <si>
    <t>Les prix suivants rémunèrent à l’unité la fourniture, la mise en œuvre, la pose, les étalonnages et les essais de l'instrumentation nécessaire à la réalisation des points de mesure de niveaux de hauteur d’eau et de détection de gaz destinés au fonctionnement automatique des installations du poste de pompage, ainsi qu'à la télétransmission et à la mesure des débits.</t>
  </si>
  <si>
    <t>Chaque prix forfaitaire comprend :</t>
  </si>
  <si>
    <t>- tous les éléments de mesure tout ou rien et analogiques (4-20 mA) depuis les capteurs jusqu'au boîtier électrique de raccordement disposé hors d'eau et le convertisseur,</t>
  </si>
  <si>
    <t>- les accessoires de pose tels que points d'accrochage, tubes de protection, supportages et fixation,</t>
  </si>
  <si>
    <r>
      <rPr>
        <sz val="7"/>
        <rFont val="Times New Roman"/>
        <family val="1"/>
      </rPr>
      <t xml:space="preserve">- </t>
    </r>
    <r>
      <rPr>
        <sz val="10"/>
        <rFont val="Arial"/>
        <family val="2"/>
      </rPr>
      <t>10 m de câble pour la mise à l’air dans le cas des sondes piézométriques,</t>
    </r>
  </si>
  <si>
    <t>- toutes les sujétions de mise en œuvre, d'installation de réglage et de repérage, de pose de repères de nivellement, y compris le nivellement de ces points par un géomètre,</t>
  </si>
  <si>
    <t>- la fourniture du certificat d’étalonnage.</t>
  </si>
  <si>
    <t>14.8.1</t>
  </si>
  <si>
    <t>Poire de niveau</t>
  </si>
  <si>
    <t>14.8.2</t>
  </si>
  <si>
    <t>Capteur de hauteur</t>
  </si>
  <si>
    <t>14.8.2.1</t>
  </si>
  <si>
    <t>Sonde de hauteur de type piézométrique</t>
  </si>
  <si>
    <t>14.8.2.2</t>
  </si>
  <si>
    <t>Sonde de hauteur de type ultra-son</t>
  </si>
  <si>
    <t>14.8.3</t>
  </si>
  <si>
    <t>Détecteur de gaz</t>
  </si>
  <si>
    <r>
      <t>Ce prix rémunère, à l’unité, la fourniture et la pose d’un ensemble de sondes de gaz 
(H</t>
    </r>
    <r>
      <rPr>
        <vertAlign val="subscript"/>
        <sz val="10"/>
        <rFont val="Arial"/>
        <family val="2"/>
      </rPr>
      <t>2</t>
    </r>
    <r>
      <rPr>
        <sz val="10"/>
        <rFont val="Arial"/>
        <family val="2"/>
      </rPr>
      <t>S, C0, CH</t>
    </r>
    <r>
      <rPr>
        <vertAlign val="subscript"/>
        <sz val="10"/>
        <rFont val="Arial"/>
        <family val="2"/>
      </rPr>
      <t>4</t>
    </r>
    <r>
      <rPr>
        <sz val="10"/>
        <rFont val="Arial"/>
        <family val="2"/>
      </rPr>
      <t>) dans la bâche de pompage.</t>
    </r>
  </si>
  <si>
    <t>Ce prix comprend également :</t>
  </si>
  <si>
    <t>- la fourniture et la pose du support du capteur,</t>
  </si>
  <si>
    <t>- la réalisation du cheminement (petit génie civil, chemin de câble, …),</t>
  </si>
  <si>
    <t>- le tirage du câble jusqu’à la centrale de détection.</t>
  </si>
  <si>
    <t>14.8.4</t>
  </si>
  <si>
    <t>Débitmètre</t>
  </si>
  <si>
    <t>Ce prix rémunère à l'unité la fourniture et la pose d'un débitmètre à la demande du maître d'ouvrage.</t>
  </si>
  <si>
    <t>˗ le personnel, matériel et matériaux nécessaires à l'exécution des travaux,</t>
  </si>
  <si>
    <t>˗ la fourniture et pose d'un débimètre,</t>
  </si>
  <si>
    <t>14.9</t>
  </si>
  <si>
    <t>EQUIPEMENTS ELECTRIQUES ET CABLAGE</t>
  </si>
  <si>
    <t>14.9.1</t>
  </si>
  <si>
    <t>Armoire de commande</t>
  </si>
  <si>
    <t>Ce prix rémunère à l'unité la fourniture et la pose d'une armoire de commande entièrement équipée avec socle et ventilation ayant les caractéristiques suivantes :
        - Matériau : PVC rigide
        - Couleur : RAL à définir par le Maître d'Ouvrage
        - Dimensions : 10,17 m (hauteur), 11,77 m (longueur), 4,57 m (largeur)
        - Equipée de 2 compartiments : 1 compartiment commande des pompes (double porte) et 1 compartiment EDF
        - Equipée de serrure "DENY" 2433 A
        - Posée sur un socle en béton
        - Positionnée à proximité du poste de pompage (≤10m)
        - Raccordée au poste de pompage (raccordement électrique) : y compris la pose de fourreaux entre le poste et l'armoire, le tirage des câbles du poste à l'armoire, le raccordement à l'armoire, les contrôles électriques par un organisme accrédité, l'établissement du CONSUEL,
        - Equipée d'un système de télésurveillance (boîtier type SOFREL ou équivalent) pour un système classique avec GSM</t>
  </si>
  <si>
    <t>14.9.1.1</t>
  </si>
  <si>
    <t>Pour groupe de pompage de puissance P ≤ 1,5 KW</t>
  </si>
  <si>
    <t>14.9.1.2</t>
  </si>
  <si>
    <t>Pour groupe de pompage de puissance 1,5 KW &lt; P ≤ 3 KW</t>
  </si>
  <si>
    <t>14.9.1.3</t>
  </si>
  <si>
    <t>Pour groupe de pompage de puissance 3 KW &lt; P ≤ 5 KW</t>
  </si>
  <si>
    <t>14.9.1.4</t>
  </si>
  <si>
    <t>Pour groupe de pompage de puissance 5 KW &lt; P ≤ 7,5 KW</t>
  </si>
  <si>
    <t>14.9.1.5</t>
  </si>
  <si>
    <t>Pour groupe de pompage de puissance 7,5 KW &lt; P ≤ 10 KW</t>
  </si>
  <si>
    <t>14.9.2</t>
  </si>
  <si>
    <t>Raccordement EDF</t>
  </si>
  <si>
    <t>Ce prix rémunère forfaitairement la réalisation du coffret d'alimentation EDF et le départ vers l'armoire électrique d’une part, et l'exécution de la mise à la terre des masses métalliques et des équipements, par un conducteur de terre en cuivre nu d’autre part.</t>
  </si>
  <si>
    <t>- la fourniture et la pose du coffret EDF,</t>
  </si>
  <si>
    <t>- la mise en œuvre des fourreaux du coffret à l’armoire électrique (longueur inférieure à 10 m),</t>
  </si>
  <si>
    <t>- la fourniture et la mise en œuvre des câbles jusqu'au borniers de l'armoire,</t>
  </si>
  <si>
    <t>- les raccordements,</t>
  </si>
  <si>
    <t>- la fourniture et le raccordement sur le câble de terre,</t>
  </si>
  <si>
    <t>- la barrette de terre,</t>
  </si>
  <si>
    <r>
      <t>- l'exécution du puits de terre (prise de terre) (</t>
    </r>
    <r>
      <rPr>
        <sz val="10"/>
        <rFont val="Symbol"/>
        <family val="1"/>
        <charset val="2"/>
      </rPr>
      <t>£</t>
    </r>
    <r>
      <rPr>
        <sz val="10"/>
        <rFont val="Arial"/>
        <family val="2"/>
      </rPr>
      <t xml:space="preserve"> 5 </t>
    </r>
    <r>
      <rPr>
        <sz val="10"/>
        <rFont val="Symbol"/>
        <family val="1"/>
        <charset val="2"/>
      </rPr>
      <t>W</t>
    </r>
    <r>
      <rPr>
        <sz val="10"/>
        <rFont val="Arial"/>
        <family val="2"/>
      </rPr>
      <t>),</t>
    </r>
  </si>
  <si>
    <t>- la fourniture à pied d'oeuvre,</t>
  </si>
  <si>
    <t>- la pose et les raccordements.</t>
  </si>
  <si>
    <t>Si la longueur de fourreaux et des câbles est supérieure à 10 mètres, les prestations complémentaires de réalisation de tranchées, de pose de fourreaux, de tirage câbles, de remblaiement de fouilles seront rémunérés par les prix correspondants du présent bordereau.</t>
  </si>
  <si>
    <t>14.9.3</t>
  </si>
  <si>
    <t>Câble BT</t>
  </si>
  <si>
    <t>Ces prix rémunèrent au mètre la fourniture, la pose et le raccordement des câbles d'alimentation BT, y compris fourreaux.</t>
  </si>
  <si>
    <t>14.9.3.1</t>
  </si>
  <si>
    <t>Câble 4x25² cuivre</t>
  </si>
  <si>
    <t>14.9.3.2</t>
  </si>
  <si>
    <t>Câble 4x35² ALU</t>
  </si>
  <si>
    <t>14.9.3.3</t>
  </si>
  <si>
    <t>Câble 4x35² cuivre</t>
  </si>
  <si>
    <t>14.9.4</t>
  </si>
  <si>
    <t>Câble Puissance</t>
  </si>
  <si>
    <t>Ces prix rémunèrent au mètre la fourniture, la pose et le raccordement des câbles puissance des pompes, y compris fourreaux, entre la bâche de pompage et l’armoire électrique.</t>
  </si>
  <si>
    <t>14.9.4.1</t>
  </si>
  <si>
    <t>Câble 4x1,5mm²</t>
  </si>
  <si>
    <t>14.9.4.2</t>
  </si>
  <si>
    <t>Câble 4x2,5mm²</t>
  </si>
  <si>
    <t>14.9.4.3</t>
  </si>
  <si>
    <t>Câble 4x4mm²</t>
  </si>
  <si>
    <t>14.9.4.4</t>
  </si>
  <si>
    <t>Câble 4x6mm²</t>
  </si>
  <si>
    <t>14.9.4.5</t>
  </si>
  <si>
    <t>Câble 4x10mm²</t>
  </si>
  <si>
    <t>14.9.4.6</t>
  </si>
  <si>
    <t>Câble 4x16mm²</t>
  </si>
  <si>
    <t>14.9.5</t>
  </si>
  <si>
    <t>Câble d’information</t>
  </si>
  <si>
    <t>Ce prix rémunère au mètre la fourniture, la pose et le raccordement des câbles d’informations, y compris fourreaux, pour les capteurs de hauteur et le détecteur de gaz entre la bâche de pompage et l’armoire électrique.</t>
  </si>
  <si>
    <t>14.10</t>
  </si>
  <si>
    <t>TRAPPES</t>
  </si>
  <si>
    <t>Ces prix s’appliquent, au mètre carré, pour la fourniture et la mise en œuvre d’une trappe en acier galvanisé ou une trappe en fonte. Cette trappe sera verrouillable, articulée et assistée par ressorts réglables axiaux, verrouillée automatiquement en position ouverte par verrou inox avec ressort de rappel. Le dispositif devra comporter un ensemble de garde-corps intégré aux trappes de la trémie répondant aux critères de la norme NFP 01-012 et une grille anti-chute.</t>
  </si>
  <si>
    <t>- la fourniture et la mise en œuvre d’un cadre périphérique scellé,</t>
  </si>
  <si>
    <t>- la fourniture et la mise en œuvre de la trappe et ses équipements (garde corps mobile, anneaux de levage, barreau / grille anti-chute …etc…).</t>
  </si>
  <si>
    <t>14.10.1</t>
  </si>
  <si>
    <t>Trappe en acier galvanisé</t>
  </si>
  <si>
    <t>14.10.1.1</t>
  </si>
  <si>
    <t>De classe B125</t>
  </si>
  <si>
    <t>14.10.1.2</t>
  </si>
  <si>
    <t>De classe C250</t>
  </si>
  <si>
    <t>14.10.1.3</t>
  </si>
  <si>
    <t>De classe D400</t>
  </si>
  <si>
    <t>14.10.2</t>
  </si>
  <si>
    <t>Trappe en fonte</t>
  </si>
  <si>
    <t>14.10.2.1</t>
  </si>
  <si>
    <t>14.10.2.2</t>
  </si>
  <si>
    <t>14.10.2.3</t>
  </si>
  <si>
    <t>14.11</t>
  </si>
  <si>
    <t>FOURNITURE ET POSE D'UN CAILLEBOTIS</t>
  </si>
  <si>
    <t>Ce prix rémunère, au mètre carré, la fourniture et la mise en œuvre d'un caillebotis dans une chambre de pompage.</t>
  </si>
  <si>
    <t>- la fourniture et la mise en œuvre d'un caillebotis dans une chambre de pompage et de toutes les fixations nécessaires,</t>
  </si>
  <si>
    <t>- la fourniture et la mise en œuvre d'un garde-corps en acier galvanisé.</t>
  </si>
  <si>
    <t>15</t>
  </si>
  <si>
    <t>MISE A SEC</t>
  </si>
  <si>
    <t>15.1</t>
  </si>
  <si>
    <t>MISE A SEC PAR POMPAGE</t>
  </si>
  <si>
    <t>Ces prix rémunèrent l'ensemble des travaux pour l'élimination des eaux et l'évacuation vers le point de rejet, par pompage.</t>
  </si>
  <si>
    <t>˗ la surveillance, le maintien en fonctionnement et l'entretien des dispositifs de pompage pendant la durée du pompage,</t>
  </si>
  <si>
    <t>˗ le déplacement dans l'emprise du chantier au fur et à mesure de l'avancement et le retrait des installations,</t>
  </si>
  <si>
    <t>˗ la mise en place et le retrait des installations pour le traitement du  rejet : débourbeur, aménagement du point de rejet, la surveillance et l'entretien pendant la durée des travaux,</t>
  </si>
  <si>
    <t>˗ la surveillance, le maintien en fonctionnement et l'entretien des dispositifs de rejet pendant la durée du chantier, y compris toutes les sujétions d'exécution liées à l'épuisement des fouilles ou des collecteurs,</t>
  </si>
  <si>
    <t>Ces prix intègrent les dispositifs provisoires ou définitifs à mettre en place pour la collecte des eaux et pour permettre le rétablissement des écoulements naturels après travaux.</t>
  </si>
  <si>
    <t>15.1.1</t>
  </si>
  <si>
    <t>Amenée, installation et repli d'un groupe de pompage de puissance inférieure à 10 kW</t>
  </si>
  <si>
    <t>15.1.2</t>
  </si>
  <si>
    <t>Amenée, installation et repli d'un groupe de pompage de puissance comprise entre 10 et 30 kW</t>
  </si>
  <si>
    <t>15.1.3</t>
  </si>
  <si>
    <t>Amenée, installation et repli d'un groupe de pompage de puissance comprise entre 30 et 50 kW</t>
  </si>
  <si>
    <t>15.1.4</t>
  </si>
  <si>
    <t>Location et entretien d'un groupe de pompage de puissance inférieure à 10 kW</t>
  </si>
  <si>
    <t>15.1.5</t>
  </si>
  <si>
    <t>Location et entretien d'un groupe de pompage  de puissance comprise entre 10 et 30 kW</t>
  </si>
  <si>
    <t>15.1.6</t>
  </si>
  <si>
    <t>Location et entretien d'un groupe de pompage de puissance comprise entre 30 et 50 kW</t>
  </si>
  <si>
    <t>15.1.7</t>
  </si>
  <si>
    <t>Fonctionnement d'un groupe de pompage de puissance inférieure à 10 kW</t>
  </si>
  <si>
    <t>15.1.8</t>
  </si>
  <si>
    <t>Fonctionnement d'un groupe de pompage de puissance comprise entre 10 et 30 kW</t>
  </si>
  <si>
    <t>15.1.9</t>
  </si>
  <si>
    <t>Fonctionnement d'un groupe de pompage de puissance comprise entre 30 et 50 kW</t>
  </si>
  <si>
    <t>15.1.10</t>
  </si>
  <si>
    <t>Tuyau de refoulement pour groupe de pompage provisoire</t>
  </si>
  <si>
    <t>Ces prix rémunèrent au mètre la fourniture, le transport et la pose de tuyaux de refoulement et accessoires quel que soit le matériau pour un groupe de pompage provisoire.</t>
  </si>
  <si>
    <t>15.1.10.1</t>
  </si>
  <si>
    <t>Tuyaux diamètre Ø ≤ 100 mm</t>
  </si>
  <si>
    <t>15.1.10.2</t>
  </si>
  <si>
    <t>Tuyaux diamètre Ø ≤ 150 mm</t>
  </si>
  <si>
    <t>15.1.10.3</t>
  </si>
  <si>
    <t>Tuyaux diamètre Ø ≤ 200 mm</t>
  </si>
  <si>
    <t>15.2</t>
  </si>
  <si>
    <t>MISE EN ŒUVRE, ENTRETIEN ET DEPOSE D'UN BARRAGE</t>
  </si>
  <si>
    <t>Ces prix s’appliquent au mètre carré la fourniture, l'amenée à pied d'œuvre de tous les matériaux nécessaires et la construction de barrages étanches en béton, en maçonnerie de parpaing ou en poutrelles bois comprenant deux rideaux de poutrelles avec remplissage de l'espace entre ceux-ci au moyen d'un matériau d'étanchéité, en ouvrage d'assainissement, à réaliser en amont ou en aval des différents biefs de mise à sec, sur les ouvrages adjacents (égout, avaloir) ou pour dévier en amont les effluents.</t>
  </si>
  <si>
    <t>Ces prix s’appliquent quels que soient la dimension du barrage, la hauteur d’eau derrière celui-ci, l’encombrement dû à la présence de câbles, canalisations... et les renforts dont les dimensionnements seront soumis à des notes de calculs comprises dans ce prix.</t>
  </si>
  <si>
    <t>Chaque barrage sera équipé de canalisations permettant sa vidange rapide.</t>
  </si>
  <si>
    <t>Les prix comprennent la mise en place des films ou enduits d’étanchéité, le repiquage et les démolitions de béton ou maçonnerie nécessaires pour l’ancrage éventuel, ainsi que la fourniture de tous les matériaux entrant dans la composition du barrage.</t>
  </si>
  <si>
    <t>Ces prix comprennent également la mise en place d’un système de dégrillage en amont et l’extraction, le transport et le traitement des résidus captés.</t>
  </si>
  <si>
    <t>Ces prix comprennent la surveillance de l’état et de l’étanchéité des barrages, et la réalisation des travaux nécessaires aux réparations éventuelles.</t>
  </si>
  <si>
    <t>Ces prix comprennent la mise en place des systèmes de secours et d’alerte nécessaires à la protection du personnel et du chantier en cas de débordement et de remplissage.</t>
  </si>
  <si>
    <t>Ces prix s’appliquent à tout barrage. Ces travaux ne seront entrepris que sur accord du Maître d’œuvre.</t>
  </si>
  <si>
    <t>Dans le cas contraire, ils ne seront pas rémunérés par ces prix mais réputés compris dans ceux d’installation en tant que sujétions propres à l’entrepreneur pour l’exécution de ses travaux.</t>
  </si>
  <si>
    <t>Ces prix comprennent le démontage du barrage avec une intervention éventuelle d’équipe de plongeurs (y compris l’équipement autonome) et l’évacuation des gravats.</t>
  </si>
  <si>
    <t xml:space="preserve">Ces prix s’appliquent toutes sujétions comprises. </t>
  </si>
  <si>
    <t>15.2.1</t>
  </si>
  <si>
    <t>Barrage maçonné</t>
  </si>
  <si>
    <t>15.2.2</t>
  </si>
  <si>
    <t>Barrage à poutrelles</t>
  </si>
  <si>
    <t>15.3</t>
  </si>
  <si>
    <t>AMENEE, MISE EN PLACE ET REPLIEMENT DE BUSAGE</t>
  </si>
  <si>
    <t>Ces prix rémunèrent, au mètre linéaire, l’amenée, la mise en place et le repliement de buse quelle que soit la position de la buse dans l’ouvrage.</t>
  </si>
  <si>
    <t>˗ le chargement, le transport sur camion et le déchargement sur le chantier,</t>
  </si>
  <si>
    <t>˗ la mise en place à l’intérieur de l’égout en service,</t>
  </si>
  <si>
    <t>˗ les raccordements étanches sur les barrages.</t>
  </si>
  <si>
    <t>15.3.1</t>
  </si>
  <si>
    <r>
      <t xml:space="preserve">Buse de diamètre </t>
    </r>
    <r>
      <rPr>
        <b/>
        <sz val="10"/>
        <rFont val="Symbol"/>
        <family val="1"/>
        <charset val="2"/>
      </rPr>
      <t xml:space="preserve">Æ </t>
    </r>
    <r>
      <rPr>
        <b/>
        <sz val="10"/>
        <rFont val="Arial"/>
        <family val="2"/>
      </rPr>
      <t>200 mm</t>
    </r>
  </si>
  <si>
    <t>15.3.2</t>
  </si>
  <si>
    <r>
      <t xml:space="preserve">Buse de diamètre </t>
    </r>
    <r>
      <rPr>
        <b/>
        <sz val="10"/>
        <rFont val="Symbol"/>
        <family val="1"/>
        <charset val="2"/>
      </rPr>
      <t xml:space="preserve">Æ </t>
    </r>
    <r>
      <rPr>
        <b/>
        <sz val="10"/>
        <rFont val="Arial"/>
        <family val="2"/>
      </rPr>
      <t>300 mm</t>
    </r>
  </si>
  <si>
    <t>15.3.3</t>
  </si>
  <si>
    <r>
      <t xml:space="preserve">Buse de diamètre &gt; </t>
    </r>
    <r>
      <rPr>
        <b/>
        <sz val="10"/>
        <rFont val="Symbol"/>
        <family val="1"/>
        <charset val="2"/>
      </rPr>
      <t xml:space="preserve">Æ </t>
    </r>
    <r>
      <rPr>
        <b/>
        <sz val="10"/>
        <rFont val="Arial"/>
        <family val="2"/>
      </rPr>
      <t>300 mm</t>
    </r>
  </si>
  <si>
    <t>15.4</t>
  </si>
  <si>
    <t>RACCORDEMENT DES BRANCHEMENTS, AVALOIRS ET EGOUTS AFFLUENTS</t>
  </si>
  <si>
    <t>Ces prix rémunèrent à l'unité toutes les dépenses relatives au raccordement de branchement particulier, d'avaloir ou d’égout affluent sur le busage gravitaire, toutes sujétions comprises.</t>
  </si>
  <si>
    <t>­ la fourniture et la mise en place d’une canalisation de busage entre l’ouvrage annexe à raccorder et le busage principal,</t>
  </si>
  <si>
    <t>­ le raccordement sur le busage principal,</t>
  </si>
  <si>
    <t>­ le raccordement, s’il y a lieu sur le barrage isolant l’ouvrage annexe.</t>
  </si>
  <si>
    <t>Les raccordements d'une longueur supérieure à 2 m seront considérés comme pose de busage.</t>
  </si>
  <si>
    <t>15.4.1</t>
  </si>
  <si>
    <t>Raccordement sur un busage Ø ≤ 300</t>
  </si>
  <si>
    <t>15.4.2</t>
  </si>
  <si>
    <t>Raccordement sur un busage 300 &lt; Ø ≤ 500</t>
  </si>
  <si>
    <t>15.4.3</t>
  </si>
  <si>
    <t>Raccordement sur un busage Ø &gt; 500</t>
  </si>
  <si>
    <t>15.5</t>
  </si>
  <si>
    <t>LOCATION DE BUSAGE</t>
  </si>
  <si>
    <t>Ces prix s'appliquent au mètre linéaire par jour de location de buses.</t>
  </si>
  <si>
    <t>Le temps de location à considérer sera compté à partir du jour de la mise en place jusqu'au jour de la dépose du busage, jours non ouvrables inclus.</t>
  </si>
  <si>
    <t>15.5.1</t>
  </si>
  <si>
    <t>15.5.2</t>
  </si>
  <si>
    <t>15.5.3</t>
  </si>
  <si>
    <t>15.6</t>
  </si>
  <si>
    <t>DEPLACEMENT DE BUSAGE</t>
  </si>
  <si>
    <t>Ces prix rémunèrent au mètre linéaire les dépenses relatives au déplacement vertical et horizontal de busage, à sa dépose, à son transport à l’intérieur de l’ouvrage ou d'une tranchée et sa pose dans les mêmes conditions qu’énoncées au prix 13.3.</t>
  </si>
  <si>
    <t>15.6.1</t>
  </si>
  <si>
    <t>15.6.2</t>
  </si>
  <si>
    <t>15.6.3</t>
  </si>
  <si>
    <t>15.7</t>
  </si>
  <si>
    <t>AMENEE, MISE EN PLACE, LOCATION ET REPLIEMENT D'OBTURATEUR</t>
  </si>
  <si>
    <t>Ces prix rémunèrent à l’unité par jour de location, toutes les dépenses relatives à la fourniture, l’installation, la location et à l’exploitation d’un obturateur dans un réseau d’assainissement, l’amenée à pied d’œuvre, la mise en place, l’entretien, le repli, l’évacuation et la remise en état des lieux quelle que soit la nature du réseau.</t>
  </si>
  <si>
    <t>Le temps de location à considérer sera compté à partir du jour de la mise en place jusqu'au jour de la dépose de l’obturateur.</t>
  </si>
  <si>
    <t>15.7.1</t>
  </si>
  <si>
    <t>Obturateur de diamètre Ø ≤ 200 mm</t>
  </si>
  <si>
    <t>L'UNITE PAR JOUR</t>
  </si>
  <si>
    <t>15.7.2</t>
  </si>
  <si>
    <t>Obturateur de diamètre 200 mm &lt; Ø ≤ 400 mm</t>
  </si>
  <si>
    <t>15.7.3</t>
  </si>
  <si>
    <t>Obturateur de diamètre 400 mm &lt; Ø ≤ 600 mm</t>
  </si>
  <si>
    <t>15.7.4</t>
  </si>
  <si>
    <t>Obturateur de diamètre Ø &gt; 600 mm</t>
  </si>
  <si>
    <t>15.8</t>
  </si>
  <si>
    <t>RABATTEMENT DE NAPPE</t>
  </si>
  <si>
    <t>Ces prix rémunèrent l'ensemble des travaux pour l'élimination des eaux et l'évacuation vers le point de rejet, par pointes filtrantes.</t>
  </si>
  <si>
    <t>˗ la mise en place des dispositifs de rabattement, y compris percements d'avant trous pour langage des pointes,</t>
  </si>
  <si>
    <t>˗ la surveillance, le maintien en fonctionnement et l'entretien des dispositifs de rabattement pendant la durée du chantier,</t>
  </si>
  <si>
    <t>˗ la mise en place et le retrait des installations pour le traitement du rejet : débourbeur, aménagement du point de rejet, surveillance et entretien pendant la durée des travaux,</t>
  </si>
  <si>
    <t>˗ la surveillance, le maintien en fonctionnement et l'entretien des dispositifs de rejet pendant la durée du chantier, y compris toutes les sujétions d'exécution liées à l'épuisement des fouilles.</t>
  </si>
  <si>
    <t>15.8.1</t>
  </si>
  <si>
    <t>Amenée et repli du matériel de rabattement</t>
  </si>
  <si>
    <t>15.8.2</t>
  </si>
  <si>
    <t>Forage et mise en place des pointes filtrantes</t>
  </si>
  <si>
    <t>LE METRE</t>
  </si>
  <si>
    <t>15.8.3</t>
  </si>
  <si>
    <t>Location et fonctionnement du matériel</t>
  </si>
  <si>
    <t>15.8.4</t>
  </si>
  <si>
    <t>Pose d'un collecteur de surface</t>
  </si>
  <si>
    <t>LE METRE LINEAIRE/JOUR</t>
  </si>
  <si>
    <t>15.9</t>
  </si>
  <si>
    <t>FOURNITURE ET MISE EN ŒUVRE DE CAILLOUX POUR DRAINAGE</t>
  </si>
  <si>
    <t>Ces prix rémunèrent au mètre cube la fourniture et mise en œuvre de cailloux pour drainage.</t>
  </si>
  <si>
    <t>˗ le chargement, le transport, le déchargement de cailloux pour drainage.</t>
  </si>
  <si>
    <t>15.9.1</t>
  </si>
  <si>
    <t>Gravillons silico-calcaires roulés lavés 4/20</t>
  </si>
  <si>
    <t>15.9.2</t>
  </si>
  <si>
    <t>Cailloux calcaires concassés 20/40</t>
  </si>
  <si>
    <t>15.9.3</t>
  </si>
  <si>
    <t>Cailloux 40/60</t>
  </si>
  <si>
    <t>15.10</t>
  </si>
  <si>
    <t>FOURNITURE ET POSE D'UN REGULATEUR DE DEBIT</t>
  </si>
  <si>
    <t>Ces prix rémunèrent à l'unité, la fourniture et la pose d'un régulateur de débit vortex y compris toutes sugétions de pose dans les regards de visite et y compris adaptation de la maçonnerie du regard.</t>
  </si>
  <si>
    <t>15.10.1</t>
  </si>
  <si>
    <r>
      <t xml:space="preserve">Fourniture et pose d'un régulateur de débit </t>
    </r>
    <r>
      <rPr>
        <b/>
        <sz val="10"/>
        <rFont val="Calibri"/>
        <family val="2"/>
      </rPr>
      <t>≤</t>
    </r>
    <r>
      <rPr>
        <b/>
        <sz val="10"/>
        <rFont val="Arial"/>
        <family val="2"/>
      </rPr>
      <t xml:space="preserve"> 5 l/s</t>
    </r>
  </si>
  <si>
    <t>15.10.2</t>
  </si>
  <si>
    <r>
      <t xml:space="preserve">Fourniture et pose d'un régulateur 5 l/s &lt; débit </t>
    </r>
    <r>
      <rPr>
        <b/>
        <sz val="10"/>
        <rFont val="Calibri"/>
        <family val="2"/>
      </rPr>
      <t>≤</t>
    </r>
    <r>
      <rPr>
        <b/>
        <sz val="10"/>
        <rFont val="Arial"/>
        <family val="2"/>
      </rPr>
      <t xml:space="preserve"> 10 l/s</t>
    </r>
  </si>
  <si>
    <t>15.10.3</t>
  </si>
  <si>
    <r>
      <t xml:space="preserve">Fourniture et pose d'un régulateur 10 l/s &lt; débit </t>
    </r>
    <r>
      <rPr>
        <b/>
        <sz val="10"/>
        <rFont val="Calibri"/>
        <family val="2"/>
      </rPr>
      <t>≤</t>
    </r>
    <r>
      <rPr>
        <b/>
        <sz val="10"/>
        <rFont val="Arial"/>
        <family val="2"/>
      </rPr>
      <t xml:space="preserve"> 15 l/s</t>
    </r>
  </si>
  <si>
    <t>16</t>
  </si>
  <si>
    <t>TRAVAUX EN PRESENCE D'AMIANTE</t>
  </si>
  <si>
    <t>16.1</t>
  </si>
  <si>
    <t>MODE OPERATOIRE</t>
  </si>
  <si>
    <t>Ce prix rémunère au forfait, la rédaction d’un mode opératoire pour les interventions sur des matériaux, des équipements, des matériels ou des articles susceptibles de provoquer l’émission de fibres d’amiante (sous-section 4 du code du travail) et sa transmission à l’inspection du travail et aux différents organismes concernés. Celui-ci précisera notamment :</t>
  </si>
  <si>
    <t>- la nature de l’intervention,</t>
  </si>
  <si>
    <t>- les matériaux concernés,</t>
  </si>
  <si>
    <t>- la fréquence et les modalités de contrôle du niveau d’empoussièrement du processus mis en œuvre et du respect de la valeur limite d’exposition professionnelle,</t>
  </si>
  <si>
    <t>- le descriptif des méthodes de travail et moyens techniques mis en œuvre,</t>
  </si>
  <si>
    <t>- les notices de poste,</t>
  </si>
  <si>
    <t>- les caractéristiques des équipements utilisés pour la protection et la décontamination des travailleurs ainsi que celles des moyens de protection des autres personnes qui se trouvent sur le lieu ou à proximité de l’intervention,</t>
  </si>
  <si>
    <t>- les procédures de décontamination des travailleurs et des équipements,</t>
  </si>
  <si>
    <t>- les procédures de gestion des déchets,</t>
  </si>
  <si>
    <t>- les durées des temps de travail déterminés en application des articles R.4412-118 et R.4412-119</t>
  </si>
  <si>
    <t>- la liste du personnel amené à intervenir sur les canalisations et matériaux contenant de l’amiante ainsi que les aptitudes médicales,</t>
  </si>
  <si>
    <t>- le contenu détaillé de l’information transmise au personnel (risques potentiels sur la santé, facteurs aggravants, précautions d’hygiène…),</t>
  </si>
  <si>
    <t>- les fiches d’exposition au risque pour le personnel exposé (reprenant la nature et la durée des travaux effectués, les moyens de protection utilisés, le niveau d’exposition, s’il est connu…),</t>
  </si>
  <si>
    <t>- le détail des protections collectives et individuelles utilisées,</t>
  </si>
  <si>
    <t>- le programme des contrôles périodiques ou continus (contrôles d’empoussièrement, contrôles du confinement, mesures de la dépression dans les zones confinées pendant la réalisation des travaux),</t>
  </si>
  <si>
    <t>- la procédure de nettoyage, d’élimination et de suivi des déchets.</t>
  </si>
  <si>
    <t>Ce prix comprend les éventuelles reprises et les compléments demandés par l’inspection du travail ou tout autre organisme concerné.</t>
  </si>
  <si>
    <t>16.2</t>
  </si>
  <si>
    <t>PLAN DE RETRAIT</t>
  </si>
  <si>
    <t>Ce prix rémunère au forfait, la rédaction d’un Plan de Retrait Amiante (PRA) pour les activités de retrait d’amiante ou d’articles en contenant (sous-section 3 du code du Travail) et sa transmission à l’inspection du travail et aux différents organismes concernés.</t>
  </si>
  <si>
    <t>Le plan de retrait doit notamment indiquer :</t>
  </si>
  <si>
    <t>- la nature des travaux, les intervenants, le calendrier d’exécution des travaux, la description des installations (cantonnement), les moyens en matériel, la méthodologie précise (incluant la signalisation de la zone d’intervention),</t>
  </si>
  <si>
    <t>- la liste du personnel amené à intervenir sur les canalisations et matériaux contenant de l’amiante ainsi que les aptitudes médicales,</t>
  </si>
  <si>
    <t>16.3</t>
  </si>
  <si>
    <t>INSTALLATION ET REPLI DE CHANTIER POUR LA DEPOSE DE TUYAUX CONTENANT DE L'AMIANTE Y COMPRIS EPI, EPC ET CONTROLES</t>
  </si>
  <si>
    <t>Ces prix rémunèrent forfaitairement les installations et replis de chantier de dépose de tuyaux contenant de l’amiante. Ils comprennent l'amenée à pied d'œuvre, l'installation, la location et le repli de tous les matériels nécessaires à l'exécution complète de l'ensemble des travaux, sauf ceux faisant l'objet de prix spécifiques ci-après.</t>
  </si>
  <si>
    <t>Ils comprennent notamment :</t>
  </si>
  <si>
    <t>˗ les frais de matériel de découpe et de dépose de tuyaux,</t>
  </si>
  <si>
    <t>- la fourniture, la mise en œuvre et le repli pour les travaux de retrait de matériaux contenant de l’amiante :</t>
  </si>
  <si>
    <t xml:space="preserve"> →  des installations d’isolement et de calfeutrement des zones de travaux,</t>
  </si>
  <si>
    <t xml:space="preserve"> →  des installations et matériels de protections collectives,</t>
  </si>
  <si>
    <t xml:space="preserve"> →  des installations et matériels de protections individuelles,</t>
  </si>
  <si>
    <t xml:space="preserve"> →  des réseaux d’alimentation et de rejet des zones de travaux,</t>
  </si>
  <si>
    <t xml:space="preserve"> →  des réseaux de communication entre les zones de travaux et l’extérieur,</t>
  </si>
  <si>
    <t xml:space="preserve"> →  des  matériels de nettoyage après traitement,</t>
  </si>
  <si>
    <t xml:space="preserve"> →  des matériels de tris, de conditionnement et d’évacuation des déchets contenant de l’amiante en centre de traitement,</t>
  </si>
  <si>
    <t xml:space="preserve"> →  …etc..</t>
  </si>
  <si>
    <t>→ la réalisation de tous les contrôles définis dans le programme de contrôle validé par le maitre d’œuvre et le CSPS.</t>
  </si>
  <si>
    <t>16.4</t>
  </si>
  <si>
    <t>LOCATION D'INSTALLATION POUR LA DEPOSE DE TUYAUX CONTENANT DE L'AMIANTE</t>
  </si>
  <si>
    <t>Ce prix rémunère à la journée la location d'installation pour la dépose de tuyaux contenant de l'amiante.</t>
  </si>
  <si>
    <t>16.5</t>
  </si>
  <si>
    <t>INSTALLATION ET REPLI DE CHANTIER POUR LA DEPOSE D'ENROBE CONTENANT DE L'AMIANTE Y COMPRIS EPI, EPC ET CONTROLES</t>
  </si>
  <si>
    <t>Ce prix rémunère forfaitairement les installations et replis de chantier de dépose d'enrobé contenant de l’amiante. Il comprend l'amenée à pied d'œuvre, l'installation, la location et le repli de tous les matériels nécessaires à l'exécution complète de l'ensemble des travaux, sauf ceux faisant l'objet de prix spécifiques ci-après.</t>
  </si>
  <si>
    <t>Il comprend notamment :</t>
  </si>
  <si>
    <t>˗ les frais de matériel de découpe et de dépose d'enrobé,</t>
  </si>
  <si>
    <t>16.6</t>
  </si>
  <si>
    <t>LOCATION D'INSTALLATION POUR LA DEPOSE D'ENROBE CONTENANT DE L'AMIANTE</t>
  </si>
  <si>
    <t>Ce prix rémunère à la journée la location d'installtion pour la dépose d'enrobé contenant de l'amiante.</t>
  </si>
  <si>
    <t>16.7</t>
  </si>
  <si>
    <t>MESURE D'EMPOUSSIEREMENT</t>
  </si>
  <si>
    <t>Ce prix rémunère à l'unité les mesures d'empoussièrement à réaliser dans le cadre de la réglementation en vigueur.</t>
  </si>
  <si>
    <t>˗ l'amenée, la mise en place, la location si nécessaire et le repli du matériel nécessaire à la prise de mesure,</t>
  </si>
  <si>
    <t>˗ la prise de mesure,</t>
  </si>
  <si>
    <t>­ l'analyse des mesures,</t>
  </si>
  <si>
    <t>­ la transmission des résultats sous la forme d'un rapport de synthèse au maître d'œuvre et au maître d'ouvrage (2 exemplaires papier).</t>
  </si>
  <si>
    <t>Le nombre de mesure devra être indiqué dans le programme de contrôle validé par le maître d'œuvre.</t>
  </si>
  <si>
    <t>16.8</t>
  </si>
  <si>
    <t>DEPOSE DE CANALISATION AMIANTEE</t>
  </si>
  <si>
    <t>Ces prix rémunèrent au mètre linéaire, la dépose de conduites amiantées.</t>
  </si>
  <si>
    <t>Ces prix s'appliquent quels que soient la nature des matériaux amiantés rencontrés.</t>
  </si>
  <si>
    <t>˗ la dépose, le conditionnement et le stockage sur chantier des éléments de tuyaux amiantés,</t>
  </si>
  <si>
    <t>- le surcoût lié aux pertes de cadence.</t>
  </si>
  <si>
    <t>L'évacuation et la mise en traitement dans un centre adapté sont rémunérés aux prix 16.11.</t>
  </si>
  <si>
    <t>La fourniture et la mise en œuvre des installations, protections, contrôles liés à la présence d’amiante dans les tuyaux sont rémunérés aux prix 16.3.</t>
  </si>
  <si>
    <t>16.8.1</t>
  </si>
  <si>
    <r>
      <t xml:space="preserve">Dépose de canalisation amiantée  </t>
    </r>
    <r>
      <rPr>
        <sz val="10"/>
        <rFont val="Calibri"/>
        <family val="2"/>
      </rPr>
      <t>Ø</t>
    </r>
    <r>
      <rPr>
        <sz val="10"/>
        <rFont val="Arial"/>
        <family val="2"/>
      </rPr>
      <t xml:space="preserve"> ≤ 200mm</t>
    </r>
  </si>
  <si>
    <t>16.8.2</t>
  </si>
  <si>
    <r>
      <t xml:space="preserve">Dépose de canalisation amiantée 200mm &lt; </t>
    </r>
    <r>
      <rPr>
        <sz val="10"/>
        <rFont val="Calibri"/>
        <family val="2"/>
      </rPr>
      <t>Ø</t>
    </r>
    <r>
      <rPr>
        <sz val="10"/>
        <rFont val="Arial"/>
        <family val="2"/>
      </rPr>
      <t xml:space="preserve"> ≤ 400mm</t>
    </r>
  </si>
  <si>
    <t>16.8.3</t>
  </si>
  <si>
    <r>
      <t xml:space="preserve">Dépose de canalisation amiantée 400mm &lt; </t>
    </r>
    <r>
      <rPr>
        <sz val="10"/>
        <rFont val="Calibri"/>
        <family val="2"/>
      </rPr>
      <t>Ø</t>
    </r>
    <r>
      <rPr>
        <sz val="10"/>
        <rFont val="Arial"/>
        <family val="2"/>
      </rPr>
      <t xml:space="preserve"> ≤ 600mm</t>
    </r>
  </si>
  <si>
    <t>16.8.4</t>
  </si>
  <si>
    <r>
      <t xml:space="preserve">Dépose de canalisation amiantée </t>
    </r>
    <r>
      <rPr>
        <sz val="10"/>
        <rFont val="Calibri"/>
        <family val="2"/>
      </rPr>
      <t>Ø</t>
    </r>
    <r>
      <rPr>
        <sz val="10"/>
        <rFont val="Arial"/>
        <family val="2"/>
      </rPr>
      <t xml:space="preserve"> &gt;  600mm</t>
    </r>
  </si>
  <si>
    <t>16.9</t>
  </si>
  <si>
    <t>DEPOSE D'ENROBE AMIANTE</t>
  </si>
  <si>
    <t>Ces prix rémunèrent au mètre carré, la dépose d'enrobé amianté manuelle ou mécanique.</t>
  </si>
  <si>
    <t>Ces prix s'appliquent quelle que soit la nature des matériaux amiantés rencontrés.</t>
  </si>
  <si>
    <t>˗ la dépose, le conditionnement et le stockage sur chantier des enrobés amiantés,</t>
  </si>
  <si>
    <t>L'évacuation et la mise en traitement dans un centre adapté sont rémunérés aux prix 16.12.</t>
  </si>
  <si>
    <t>La fourniture et la mise en œuvre des installations, protections, contrôles liés à la présence d’amiante dans les enrobés sont rémunérés aux prix 16.5.</t>
  </si>
  <si>
    <t>16.9.1</t>
  </si>
  <si>
    <t>Dépose manuelle</t>
  </si>
  <si>
    <t>16.9.2</t>
  </si>
  <si>
    <t>Dépose mécanique</t>
  </si>
  <si>
    <t>16.10</t>
  </si>
  <si>
    <t>INTERVENTION SUR MATERIAUX, EQUIPEMENTS, MATERIELS OU ARTICLES SUSCEPTIBLES DE PROVOQUER L'EMISSION DE FIBRES D'AMIANTE</t>
  </si>
  <si>
    <t>Ce prix rémunère à l'unité les interventions sur des matériaux, des équipements, des matériels ou des articles susceptibles de provoquer l’émission de fibres d’amiante (sous-section 4 du code du travail).</t>
  </si>
  <si>
    <t>˗ l'établissement d'un mode opératoire, sa transmission aux organismes donnant les autorisations réglementaires et les éventuelles reprises demandées par ces organismes,</t>
  </si>
  <si>
    <t>˗ la prise en compte pour le titulaire de la nécessaire réalisation, par un prestataire certifié externe à l'entreprise, de l'étude des natures des éléments amiantés et de la définition des modes opératoires pour l'écriture des parties techniques du mode opératoire,</t>
  </si>
  <si>
    <t>˗ la réalisation par ce prestataire des mesures d'empoussièrement avant et lors des travaux, y compris fourniture et fonctionnement des appareils de mesures et fourniture des rapports de contrôle,</t>
  </si>
  <si>
    <t>˗ la prise en compte des contraintes spécifiques et des demandes émanant des organismes donnant les autorisations réglementaires,</t>
  </si>
  <si>
    <t>˗ l’amenée, la location, l'entretien et le repli des installations et matériel de décontamination,</t>
  </si>
  <si>
    <t>˗ la mise à disposition de personnel formé à intervenir sur des matériaux, équipements, des matériels ou des articles susceptibles de provoquer l’émission de fibres d’amiante,</t>
  </si>
  <si>
    <t>˗ les protections individuelles et collectives conformément aux réglementations en vigueur, notamment les équipements de décontamination pour le personnel,</t>
  </si>
  <si>
    <t>˗ les moyens de protection des personnes extérieures se trouvant sur le lieu ou à proximité du lieu,</t>
  </si>
  <si>
    <t>16.11</t>
  </si>
  <si>
    <t>EVACUATION DES CANALISATIONS AMIANTEES</t>
  </si>
  <si>
    <t>Ces prix rémunèrent à la tonne, le chargement, le transport et le déchargement pour l'évacuation et la mise en traitement dans un centre adapté soumis à l'approbation du maître d'ouvrage.</t>
  </si>
  <si>
    <t>Ces prix comprennent le suivi des déchets par BSDA (Bordereau de Suivi des Déchets d'Amiante).</t>
  </si>
  <si>
    <t>16.12</t>
  </si>
  <si>
    <t>EVACUATION DES ENROBES AMIANTES</t>
  </si>
  <si>
    <t>Ce prix rémunère à la tonne, le chargement, le transport et le déchargement pour l'évacuation et la mise en traitement dans un centre adapté soumis à l'approbation du maître d'ouvrage.</t>
  </si>
  <si>
    <t>17</t>
  </si>
  <si>
    <t>FOURNITURE DE MATERIAUX A PIED D'OEUVRE</t>
  </si>
  <si>
    <t>17.1</t>
  </si>
  <si>
    <t>GRANULATS</t>
  </si>
  <si>
    <t>Ces prix rémunèrent au mètre cube la fourniture à pied d'œuvre de granulats réputés agréés par le maître d'œuvre ou le maître d'ouvrage.</t>
  </si>
  <si>
    <t>˗ la fourniture et déchargement à pied d'œuvre des matériaux .</t>
  </si>
  <si>
    <t>17.1.1</t>
  </si>
  <si>
    <t>Sables 0/5</t>
  </si>
  <si>
    <t>17.1.2</t>
  </si>
  <si>
    <t>Gravillons 4/8</t>
  </si>
  <si>
    <t>17.1.3</t>
  </si>
  <si>
    <t>Gravillons 4/20</t>
  </si>
  <si>
    <t>17.1.4</t>
  </si>
  <si>
    <t>Cailloux concassés 20/40</t>
  </si>
  <si>
    <t>17.1.5</t>
  </si>
  <si>
    <t>Cailloux concassés 40/60</t>
  </si>
  <si>
    <t>17.2</t>
  </si>
  <si>
    <t>REMBLAIS DE BONNE QUALITE, NON ARGILEUX ET EXEMPT DE GRAVATS</t>
  </si>
  <si>
    <t>Ces prix rémunèrent au mètre cube la fourniture à pied d'œuvre de remblais réputés agréés par le maître d'œuvre.</t>
  </si>
  <si>
    <t>˗ la fourniture et déchargement à pied d'œuvre des matériaux.</t>
  </si>
  <si>
    <t>17.2.1</t>
  </si>
  <si>
    <t>Grave naturelle 0/31.5</t>
  </si>
  <si>
    <t>17.2.2</t>
  </si>
  <si>
    <t>Grave industrielle 0/31.5</t>
  </si>
  <si>
    <t>17.2.3</t>
  </si>
  <si>
    <t>Grave de béton concassé 0/31.5</t>
  </si>
  <si>
    <t>17.2.4</t>
  </si>
  <si>
    <t>Terres de déblai triées, criblées et traitées à la chaux à 2%</t>
  </si>
  <si>
    <t>17.2.5</t>
  </si>
  <si>
    <t>Terres de déblai triées, criblées et traitées à la chaux à 2% et au ciment à 5%</t>
  </si>
  <si>
    <t>17.3</t>
  </si>
  <si>
    <t>LIANTS HYDRAULIQUES</t>
  </si>
  <si>
    <t>Ces prix rémunèrent à l'unité la fourniture à pied d'œuvre de liants hydrauliques conditionnés en sacs.</t>
  </si>
  <si>
    <t>17.3.1</t>
  </si>
  <si>
    <t>Ciment CEM I 52,5 R en sacs de 25 Kg</t>
  </si>
  <si>
    <t>17.3.2</t>
  </si>
  <si>
    <t>Ciment CEM II 32,5 en sacs de 25 Kg</t>
  </si>
  <si>
    <t>17.3.3</t>
  </si>
  <si>
    <t>Ciment CEM III 32,5 R en sacs de 25 Kg</t>
  </si>
  <si>
    <t>17.3.4</t>
  </si>
  <si>
    <t>Ciment Fondu en sacs de 25 Kg</t>
  </si>
  <si>
    <t>17.3.5</t>
  </si>
  <si>
    <t>Ciment sans retrait à prise rapide pour scellement en sac de 25 kg</t>
  </si>
  <si>
    <t>17.4</t>
  </si>
  <si>
    <t>PRODUITS MANUFACTURES</t>
  </si>
  <si>
    <t>Ces prix rémunèrent à l'unité la fourniture à pied d'œuvre de produits manufacturés.</t>
  </si>
  <si>
    <t>17.4.1</t>
  </si>
  <si>
    <t>Parpaings creux en béton de ciment 10/20/50</t>
  </si>
  <si>
    <t>17.4.2</t>
  </si>
  <si>
    <t>Parpaings creux en béton de ciment 15/20/50</t>
  </si>
  <si>
    <t>17.4.3</t>
  </si>
  <si>
    <t>Parpaings creux en béton de ciment 20/20/50</t>
  </si>
  <si>
    <t>17.4.4</t>
  </si>
  <si>
    <t>Parpaings pleins en béton de ciment 10/20/50</t>
  </si>
  <si>
    <t>17.4.5</t>
  </si>
  <si>
    <t>Parpaings pleins en béton de ciment 15/20/50</t>
  </si>
  <si>
    <t>17.4.6</t>
  </si>
  <si>
    <t>Parpaings pleins en béton de ciment 20/20/50</t>
  </si>
  <si>
    <t>17.4.7</t>
  </si>
  <si>
    <t>Briques pleines ordinaires 5,5/11/22</t>
  </si>
  <si>
    <t>17.5</t>
  </si>
  <si>
    <t>DISPOSITIFS DE FERMETURE</t>
  </si>
  <si>
    <t>Ces prix rémunèrent à l'unité la fourniture à pied d'œuvre de dispositifs de fermetures de tampons agréés par le maître d'œuvre.</t>
  </si>
  <si>
    <t>˗ le chargement des dispositifs,</t>
  </si>
  <si>
    <t>˗ le transport des dispositifs,</t>
  </si>
  <si>
    <t>˗ la fourniture et déchargement à pied d'œuvre des dispositifs.</t>
  </si>
  <si>
    <t>17.5.1</t>
  </si>
  <si>
    <t>Tampon fonte ductile classe D400 articulé à cadre rond ouverture libre Ø 600</t>
  </si>
  <si>
    <t>17.5.2</t>
  </si>
  <si>
    <t>Tampon fonte ductile classe D400 articulé à cadre carré ouverture libre Ø 600</t>
  </si>
  <si>
    <t>17.5.3</t>
  </si>
  <si>
    <t>Tampon fonte ductile classe D400 articulé à cadre rond ouverture libre Ø 800</t>
  </si>
  <si>
    <t>17.5.4</t>
  </si>
  <si>
    <t>Tampon fonte ductile classe D400 articulé à cadre carré ouverture libre Ø 800</t>
  </si>
  <si>
    <t>17.6</t>
  </si>
  <si>
    <t>CADRE EN BETON ARME</t>
  </si>
  <si>
    <t>Ces prix rémunèrent à l'unité la fourniture à pied d'œuvre de cadre en béton armé réputé agréé par le maître d'œuvre ou le maître d'ouvrage.</t>
  </si>
  <si>
    <t>˗ la fourniture et déchargement à pied d'œuvre du cadre.</t>
  </si>
  <si>
    <t>17.6.1</t>
  </si>
  <si>
    <t>Fourniture d'un cadre en béton armé de 15 cm d'épaisseur pour trappe circulaire</t>
  </si>
  <si>
    <t>17.6.2</t>
  </si>
  <si>
    <t>Fourniture d'un cadre en béton armé de 20 cm d'épaisseur pour trappe circulaire</t>
  </si>
  <si>
    <t>18</t>
  </si>
  <si>
    <t>MISE A DISPOSITION DE MAIN D'ŒUVRE</t>
  </si>
  <si>
    <t>18.1</t>
  </si>
  <si>
    <t>MISE A DISPOSITION DE PERSONNEL AVEC PETIT OUTILLAGE, EN SEMAINE ENTRE 8H ET 17H</t>
  </si>
  <si>
    <t>Ces prix rémunèrent à l'heure la mise à disposition de personnel avec petit outillage, en semaine entre 8h et 17h, selon la législation en vigueur.</t>
  </si>
  <si>
    <t>18.1.1</t>
  </si>
  <si>
    <t>Chef de chantier</t>
  </si>
  <si>
    <t>18.1.2</t>
  </si>
  <si>
    <t>Chef d'équipe avec camionnette</t>
  </si>
  <si>
    <t>18.1.3</t>
  </si>
  <si>
    <t>Ouvrier N2 P1 ou N2 P2</t>
  </si>
  <si>
    <t>18.1.4</t>
  </si>
  <si>
    <t>Ouvrier N1 P1 ou N1 P2</t>
  </si>
  <si>
    <t>18.1.5</t>
  </si>
  <si>
    <t>Géomètre</t>
  </si>
  <si>
    <t>18.2</t>
  </si>
  <si>
    <t>MISE A DISPOSITION DE PERSONNEL AVEC PETIT OUTILLAGE, EN SEMAINE ENTRE 17H ET 21H ET ENTRE 6H ET 8H</t>
  </si>
  <si>
    <t>Ces prix rémunèrent à l'heure la mise à disposition de personnel avec petit outillage, en semaine entre 17h et 21h et entre 6h et 8h, selon la législation en vigueur.</t>
  </si>
  <si>
    <t>18.2.1</t>
  </si>
  <si>
    <t>18.2.2</t>
  </si>
  <si>
    <t>18.2.3</t>
  </si>
  <si>
    <t>18.3</t>
  </si>
  <si>
    <t>MISE A DISPOSITION DE PERSONNEL AVEC PETIT OUTILLAGE, EN SEMAINE ENTRE 21H ET 6H</t>
  </si>
  <si>
    <t>Ces prix rémunèrent la mise à disposition de personnel avec petit outillage, en semaine entre 21h et 6h le lendemain, selon législation en vigueur.</t>
  </si>
  <si>
    <t>18.3.1</t>
  </si>
  <si>
    <t>18.3.2</t>
  </si>
  <si>
    <t>18.3.3</t>
  </si>
  <si>
    <t>18.4</t>
  </si>
  <si>
    <t>PLUS VALUE AUX PRIX CI-AVANT POUR MISE A DISPOSITION DE PERSONNEL LE DIMANCHE ET LES JOURS FERIES</t>
  </si>
  <si>
    <t>Ce prix rémunère à l'heure la plus-value pour mise à disposition de personnel le dimanche et les jours fériés.</t>
  </si>
  <si>
    <t>18.4.1</t>
  </si>
  <si>
    <t>18.4.2</t>
  </si>
  <si>
    <t>18.4.3</t>
  </si>
  <si>
    <t>18.5</t>
  </si>
  <si>
    <t>MISE EN ASTREINTE D'UNE EQUIPE COMPRENANT UN CHEF D'EQUIPE, DEUX OUVRIERS N2 P1 ou N2 P2, UN OUVRIER N1 P1 ou N1 P2, UNE CAMIONETTE, UN COMPRESSEUR, UN GROUPE ELECTROGENE ET LE PETIT OUTILLAGE</t>
  </si>
  <si>
    <t>Ces prix rémunèrent la mise en astreinte d'une équipe comprenant un Chef d'équipe, deux ouvriers N2 P1 ou N2 P2, un ouvrier N1 P1 ou N1 P2, une camionnette, un compresseur, un groupe électrogène et le petit outillage.</t>
  </si>
  <si>
    <t>18.5.1</t>
  </si>
  <si>
    <t>Astreinte d'une durée de 15 heures les nuits de semaine du lundi au vendredi de 17h à 8h le lendemain, pendant la période d'astreinte notifiée à l'entreprise</t>
  </si>
  <si>
    <t>La nuit de 15 heures</t>
  </si>
  <si>
    <t>N</t>
  </si>
  <si>
    <t>18.5.2</t>
  </si>
  <si>
    <t>Astreinte d'une durée de 24h les samedi, dimanche, jours fériés et jours chômés de 8h à 8h le lendemain, pendant la période d'astreinte notifiée à l'entreprise</t>
  </si>
  <si>
    <t>La journée de 24 heures</t>
  </si>
  <si>
    <t>LOCATION DE MATERIEL</t>
  </si>
  <si>
    <t>19.1</t>
  </si>
  <si>
    <t>MATERIEL Y COMPRIS CONDUCTEUR, FOURNITURE D'ENTRETIEN ET DE FONCTIONNEMENT</t>
  </si>
  <si>
    <t>Ces prix rémunèrent à l'heure ou à l'unité la location de matériel avec conducteur et fournitures d'entretien et de fonctionnement</t>
  </si>
  <si>
    <t>19.1.1</t>
  </si>
  <si>
    <t>Camion benne jusqu'à 4 tonnes de charge utile</t>
  </si>
  <si>
    <t>19.1.2</t>
  </si>
  <si>
    <t>Camion benne au-delà de 4 tonnes et jusqu'à 8 tonnes de charge utile</t>
  </si>
  <si>
    <t>19.1.3</t>
  </si>
  <si>
    <t>Camion benne au-delà de 8 tonnes et jusqu'à 15 tonnes de charge utile</t>
  </si>
  <si>
    <t>19.1.4</t>
  </si>
  <si>
    <t>Camion benne au-delà de 15 tonnes et jusqu'à 26 tonnes de charge utile</t>
  </si>
  <si>
    <t>19.1.5</t>
  </si>
  <si>
    <t>Plus value aux prix des camions benne pour utilisation d'un bras de levage</t>
  </si>
  <si>
    <t>19.1.6</t>
  </si>
  <si>
    <t>Semi remorque plateau porte engin jusqu'à 26 tonnes de charge utile</t>
  </si>
  <si>
    <t>19.1.7</t>
  </si>
  <si>
    <t>Pelle automotrice avec godet jusqu'à 450 litres de capacité</t>
  </si>
  <si>
    <t>19.1.8</t>
  </si>
  <si>
    <t>Pelle automotrice avec brise roche hydraulique jusqu'à 0,550 tonnes</t>
  </si>
  <si>
    <t>19.1.9</t>
  </si>
  <si>
    <t>Pelle automotrice avec godet de capacité comprise entre 450 et 800 litres</t>
  </si>
  <si>
    <t>19.1.10</t>
  </si>
  <si>
    <t>Pelle automotrice avec brise roche hydraulique supérieur à 0,550 tonnes</t>
  </si>
  <si>
    <t>19.1.11</t>
  </si>
  <si>
    <t>Autochargeur automoteur sur chenilles ou pneumatiques avec godet jusqu'à 500 litres de capacité</t>
  </si>
  <si>
    <t>19.1.12</t>
  </si>
  <si>
    <t>Autochargeur automoteur sur chenilles ou pneumatiques avec godet de capacité comprise entre 500 et 1500 litres</t>
  </si>
  <si>
    <t>19.1.13</t>
  </si>
  <si>
    <t>Autochargeur automoteur sur chenilles ou pneumatiques avec godet de capacité comprise entre 1500 et 2000 litres</t>
  </si>
  <si>
    <t>19.1.14</t>
  </si>
  <si>
    <t>Amenée ou repliement de matériel nécessitant un porte engin</t>
  </si>
  <si>
    <t>19.2</t>
  </si>
  <si>
    <t>MATERIEL SANS PERSONNEL MAIS AVEC LES FOURNITURES D'ENTRETIEN ET DE FONCTIONNEMENT</t>
  </si>
  <si>
    <t>Ces prix rémunèrent à  l'heure la mise à disposition de matériel en longue et courte durées et comprend notamment :</t>
  </si>
  <si>
    <t>L'amenée   et   le    repliement   du    matériel   ses   fournitures   d'entretien    et   de fonctionnement.</t>
  </si>
  <si>
    <t>19.2.1</t>
  </si>
  <si>
    <t>Fourgon automobile jusqu'à 3,5 tonnes de charge utile</t>
  </si>
  <si>
    <t>19.2.2</t>
  </si>
  <si>
    <t>Pilonneuse ou plaque vibrante d'un poids inférieur à 150 kg</t>
  </si>
  <si>
    <t>19.2.3</t>
  </si>
  <si>
    <t>Plaque vibrante d'un poids supérieur à 150 kg</t>
  </si>
  <si>
    <t>19.2.4</t>
  </si>
  <si>
    <t>Compresseur 3000 l/mn avec tuyaux et deux marteaux pneumatiques</t>
  </si>
  <si>
    <t>19.2.5</t>
  </si>
  <si>
    <t>Groupe électrogène de puissance inférieure à 50 kVA</t>
  </si>
  <si>
    <t>19.3</t>
  </si>
  <si>
    <t>LEVE TOPOGRAPHIQUE</t>
  </si>
  <si>
    <t>Levé topographique</t>
  </si>
  <si>
    <t>COEFFICIENT DE REVENTE DES MATERIELS ET FOURNITURES</t>
  </si>
  <si>
    <t>Pour toutes les founitures non détaillées au bordereau des prix cadres, les montants seront établis par application d'un coefficient majorateur correspondant aux frais généraux et à la marge à appliquer au prix du matériel concerné sur présentation de la facture d'achat détaillée du fournisseur</t>
  </si>
  <si>
    <t>20.1</t>
  </si>
  <si>
    <t>Si le prix de vente de la pièce est compris entre 1,00 € HT et 500,00 € HT</t>
  </si>
  <si>
    <t>%</t>
  </si>
  <si>
    <t>20.2</t>
  </si>
  <si>
    <t>Si le prix de vente de la pièce est compris entre 500,01 € HT et 1 000,00 € HT</t>
  </si>
  <si>
    <t>20.3</t>
  </si>
  <si>
    <t>Si le prix de vente de la pièce est compris entre 1 000,01 € HT et 1 500,00 € HT</t>
  </si>
  <si>
    <t>20.4</t>
  </si>
  <si>
    <t>Si le prix de vente de la pièce est supérieur à 1 500,01 €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</si>
</sst>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0.00"/>
    <numFmt numFmtId="165" formatCode="0.000"/>
    <numFmt numFmtId="166" formatCode="#,##0.00\ &quot;€&quot;"/>
    <numFmt numFmtId="167" formatCode="_-* #,##0.00\ [$€]_-;\-* #,##0.00\ [$€]_-;_-* &quot;-&quot;??\ [$€]_-;_-@_-"/>
  </numFmts>
  <fonts count="60">
    <font>
      <sz val="10"/>
      <name val="Arial"/>
    </font>
    <font>
      <sz val="10"/>
      <name val="Arial"/>
      <family val="2"/>
    </font>
    <font>
      <sz val="10"/>
      <name val="Arial"/>
      <family val="2"/>
    </font>
    <font>
      <sz val="9"/>
      <name val="Arial"/>
      <family val="2"/>
    </font>
    <font>
      <b/>
      <sz val="9"/>
      <name val="Arial"/>
      <family val="2"/>
    </font>
    <font>
      <b/>
      <i/>
      <sz val="9"/>
      <name val="Arial"/>
      <family val="2"/>
    </font>
    <font>
      <sz val="10"/>
      <name val="Arial"/>
      <family val="2"/>
    </font>
    <font>
      <i/>
      <sz val="9"/>
      <name val="Arial"/>
      <family val="2"/>
    </font>
    <font>
      <b/>
      <sz val="10"/>
      <name val="Arial"/>
      <family val="2"/>
    </font>
    <font>
      <b/>
      <i/>
      <sz val="10"/>
      <name val="Arial"/>
      <family val="2"/>
    </font>
    <font>
      <b/>
      <sz val="10"/>
      <name val="Symbol"/>
      <family val="1"/>
      <charset val="2"/>
    </font>
    <font>
      <b/>
      <sz val="11"/>
      <name val="Arial"/>
      <family val="2"/>
    </font>
    <font>
      <b/>
      <i/>
      <sz val="11"/>
      <name val="Arial"/>
      <family val="2"/>
    </font>
    <font>
      <b/>
      <sz val="12"/>
      <name val="Arial"/>
      <family val="2"/>
    </font>
    <font>
      <sz val="9"/>
      <color indexed="8"/>
      <name val="Arial"/>
      <family val="2"/>
    </font>
    <font>
      <b/>
      <sz val="9"/>
      <color indexed="10"/>
      <name val="Arial"/>
      <family val="2"/>
    </font>
    <font>
      <sz val="10"/>
      <name val="Symbol"/>
      <family val="1"/>
      <charset val="2"/>
    </font>
    <font>
      <sz val="10"/>
      <color indexed="8"/>
      <name val="Arial"/>
      <family val="2"/>
    </font>
    <font>
      <b/>
      <sz val="10"/>
      <name val="Calibri"/>
      <family val="2"/>
    </font>
    <font>
      <sz val="10"/>
      <name val="Times New Roman"/>
      <family val="1"/>
    </font>
    <font>
      <i/>
      <sz val="10"/>
      <name val="Arial"/>
      <family val="2"/>
    </font>
    <font>
      <sz val="10"/>
      <name val="Calibri"/>
      <family val="2"/>
    </font>
    <font>
      <b/>
      <u/>
      <sz val="10"/>
      <name val="Arial"/>
      <family val="2"/>
    </font>
    <font>
      <sz val="10"/>
      <color indexed="8"/>
      <name val="Times New Roman"/>
      <family val="1"/>
    </font>
    <font>
      <b/>
      <sz val="10"/>
      <color indexed="8"/>
      <name val="Arial"/>
      <family val="2"/>
    </font>
    <font>
      <i/>
      <sz val="10"/>
      <name val="Calibri"/>
      <family val="2"/>
    </font>
    <font>
      <i/>
      <sz val="10"/>
      <color indexed="8"/>
      <name val="Arial"/>
      <family val="2"/>
    </font>
    <font>
      <sz val="10"/>
      <color indexed="8"/>
      <name val="Calibri"/>
      <family val="2"/>
    </font>
    <font>
      <sz val="10"/>
      <name val="Wingdings"/>
      <charset val="2"/>
    </font>
    <font>
      <sz val="7"/>
      <name val="Times New Roman"/>
      <family val="1"/>
    </font>
    <font>
      <b/>
      <sz val="10"/>
      <name val="Arial Black"/>
      <family val="2"/>
    </font>
    <font>
      <i/>
      <vertAlign val="superscript"/>
      <sz val="10"/>
      <name val="Arial"/>
      <family val="2"/>
    </font>
    <font>
      <b/>
      <sz val="11"/>
      <name val="Arial Black"/>
      <family val="2"/>
    </font>
    <font>
      <b/>
      <sz val="11.5"/>
      <name val="Arial"/>
      <family val="2"/>
    </font>
    <font>
      <b/>
      <sz val="11.5"/>
      <name val="Calibri"/>
      <family val="2"/>
    </font>
    <font>
      <b/>
      <sz val="11"/>
      <name val="Symbol"/>
      <family val="1"/>
      <charset val="2"/>
    </font>
    <font>
      <vertAlign val="subscript"/>
      <sz val="10"/>
      <name val="Arial"/>
      <family val="2"/>
    </font>
    <font>
      <b/>
      <sz val="10"/>
      <name val="Arial "/>
    </font>
    <font>
      <i/>
      <sz val="8.5"/>
      <name val="Arial"/>
      <family val="2"/>
    </font>
    <font>
      <sz val="11"/>
      <color rgb="FFFF0000"/>
      <name val="Calibri"/>
      <family val="2"/>
      <scheme val="minor"/>
    </font>
    <font>
      <sz val="9"/>
      <color rgb="FFFF0000"/>
      <name val="Arial"/>
      <family val="2"/>
    </font>
    <font>
      <sz val="11"/>
      <name val="Calibri"/>
      <family val="2"/>
      <scheme val="minor"/>
    </font>
    <font>
      <b/>
      <sz val="9"/>
      <color theme="1"/>
      <name val="Arial"/>
      <family val="2"/>
    </font>
    <font>
      <b/>
      <sz val="10"/>
      <color theme="1"/>
      <name val="Arial"/>
      <family val="2"/>
    </font>
    <font>
      <b/>
      <i/>
      <sz val="10"/>
      <color theme="1"/>
      <name val="Arial"/>
      <family val="2"/>
    </font>
    <font>
      <b/>
      <i/>
      <sz val="10"/>
      <color rgb="FFFF0000"/>
      <name val="Arial"/>
      <family val="2"/>
    </font>
    <font>
      <b/>
      <sz val="10"/>
      <color rgb="FFFF0000"/>
      <name val="Arial"/>
      <family val="2"/>
    </font>
    <font>
      <sz val="10"/>
      <color rgb="FFFF0000"/>
      <name val="Arial"/>
      <family val="2"/>
    </font>
    <font>
      <i/>
      <sz val="10"/>
      <color rgb="FF0070C0"/>
      <name val="Arial"/>
      <family val="2"/>
    </font>
    <font>
      <sz val="10"/>
      <color theme="1"/>
      <name val="Arial"/>
      <family val="2"/>
    </font>
    <font>
      <sz val="10"/>
      <color rgb="FF000000"/>
      <name val="Arial"/>
      <family val="2"/>
    </font>
    <font>
      <b/>
      <sz val="12"/>
      <color rgb="FF000000"/>
      <name val="Arial"/>
      <family val="2"/>
    </font>
    <font>
      <i/>
      <sz val="11"/>
      <name val="Calibri"/>
      <family val="2"/>
      <scheme val="minor"/>
    </font>
    <font>
      <b/>
      <sz val="11"/>
      <color rgb="FFFF0000"/>
      <name val="Arial Black"/>
      <family val="2"/>
    </font>
    <font>
      <sz val="10"/>
      <name val="Calibri"/>
      <family val="2"/>
      <scheme val="minor"/>
    </font>
    <font>
      <sz val="10"/>
      <color rgb="FFFF0000"/>
      <name val="Calibri"/>
      <family val="2"/>
      <scheme val="minor"/>
    </font>
    <font>
      <b/>
      <sz val="10"/>
      <color rgb="FF000000"/>
      <name val="Arial"/>
      <family val="2"/>
    </font>
    <font>
      <b/>
      <i/>
      <sz val="10"/>
      <color rgb="FF000000"/>
      <name val="Arial"/>
      <family val="2"/>
    </font>
    <font>
      <b/>
      <i/>
      <strike/>
      <sz val="10"/>
      <color rgb="FF000000"/>
      <name val="Arial"/>
      <family val="2"/>
    </font>
    <font>
      <b/>
      <strike/>
      <sz val="10"/>
      <color rgb="FF000000"/>
      <name val="Arial"/>
      <family val="2"/>
    </font>
  </fonts>
  <fills count="13">
    <fill>
      <patternFill patternType="none"/>
    </fill>
    <fill>
      <patternFill patternType="gray125"/>
    </fill>
    <fill>
      <patternFill patternType="solid">
        <fgColor indexed="9"/>
        <bgColor indexed="64"/>
      </patternFill>
    </fill>
    <fill>
      <patternFill patternType="solid">
        <fgColor indexed="55"/>
        <bgColor indexed="64"/>
      </patternFill>
    </fill>
    <fill>
      <patternFill patternType="solid">
        <fgColor indexed="22"/>
        <bgColor indexed="64"/>
      </patternFill>
    </fill>
    <fill>
      <patternFill patternType="solid">
        <fgColor theme="0"/>
        <bgColor indexed="64"/>
      </patternFill>
    </fill>
    <fill>
      <patternFill patternType="solid">
        <fgColor rgb="FFFFC00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9" tint="0.39997558519241921"/>
        <bgColor indexed="64"/>
      </patternFill>
    </fill>
    <fill>
      <patternFill patternType="solid">
        <fgColor theme="0"/>
        <bgColor rgb="FF000000"/>
      </patternFill>
    </fill>
    <fill>
      <patternFill patternType="solid">
        <fgColor rgb="FFFFFF0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rgb="FF000000"/>
      </left>
      <right style="thin">
        <color rgb="FF000000"/>
      </right>
      <top/>
      <bottom/>
      <diagonal/>
    </border>
    <border>
      <left style="thin">
        <color rgb="FF000000"/>
      </left>
      <right style="thin">
        <color rgb="FF000000"/>
      </right>
      <top style="thin">
        <color indexed="64"/>
      </top>
      <bottom/>
      <diagonal/>
    </border>
    <border>
      <left style="thin">
        <color indexed="64"/>
      </left>
      <right style="thin">
        <color indexed="64"/>
      </right>
      <top/>
      <bottom style="thin">
        <color rgb="FF000000"/>
      </bottom>
      <diagonal/>
    </border>
    <border>
      <left style="thin">
        <color indexed="64"/>
      </left>
      <right style="thin">
        <color rgb="FF000000"/>
      </right>
      <top/>
      <bottom/>
      <diagonal/>
    </border>
    <border>
      <left style="thin">
        <color rgb="FF000000"/>
      </left>
      <right style="thin">
        <color indexed="64"/>
      </right>
      <top/>
      <bottom/>
      <diagonal/>
    </border>
    <border>
      <left style="thin">
        <color indexed="64"/>
      </left>
      <right style="thin">
        <color rgb="FF000000"/>
      </right>
      <top style="thin">
        <color indexed="64"/>
      </top>
      <bottom/>
      <diagonal/>
    </border>
    <border>
      <left style="thin">
        <color rgb="FF000000"/>
      </left>
      <right style="thin">
        <color indexed="64"/>
      </right>
      <top style="thin">
        <color indexed="64"/>
      </top>
      <bottom/>
      <diagonal/>
    </border>
    <border>
      <left style="thin">
        <color indexed="64"/>
      </left>
      <right style="thin">
        <color rgb="FF000000"/>
      </right>
      <top/>
      <bottom style="thin">
        <color rgb="FF000000"/>
      </bottom>
      <diagonal/>
    </border>
    <border>
      <left style="thin">
        <color rgb="FF000000"/>
      </left>
      <right/>
      <top/>
      <bottom/>
      <diagonal/>
    </border>
    <border>
      <left/>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s>
  <cellStyleXfs count="4">
    <xf numFmtId="0" fontId="0" fillId="0" borderId="0" applyNumberFormat="0" applyFont="0" applyFill="0" applyBorder="0" applyAlignment="0" applyProtection="0">
      <alignment vertical="top"/>
    </xf>
    <xf numFmtId="167" fontId="6" fillId="0" borderId="0" applyFont="0" applyFill="0" applyBorder="0" applyAlignment="0" applyProtection="0"/>
    <xf numFmtId="0" fontId="6" fillId="0" borderId="0" applyNumberFormat="0" applyFont="0" applyFill="0" applyBorder="0" applyAlignment="0" applyProtection="0">
      <alignment vertical="top"/>
    </xf>
    <xf numFmtId="0" fontId="6" fillId="0" borderId="0"/>
  </cellStyleXfs>
  <cellXfs count="486">
    <xf numFmtId="0" fontId="2" fillId="0" borderId="0" xfId="0" applyNumberFormat="1" applyFont="1" applyFill="1" applyBorder="1" applyAlignment="1" applyProtection="1">
      <alignment vertical="top"/>
    </xf>
    <xf numFmtId="0" fontId="3" fillId="2" borderId="0" xfId="0" applyNumberFormat="1" applyFont="1" applyFill="1" applyBorder="1" applyAlignment="1" applyProtection="1">
      <alignment horizontal="justify" vertical="top" wrapText="1"/>
    </xf>
    <xf numFmtId="0" fontId="5" fillId="2" borderId="0" xfId="0" applyNumberFormat="1" applyFont="1" applyFill="1" applyBorder="1" applyAlignment="1" applyProtection="1">
      <alignment horizontal="justify" vertical="top" wrapText="1" shrinkToFit="1"/>
    </xf>
    <xf numFmtId="0" fontId="3" fillId="2" borderId="0" xfId="0" applyNumberFormat="1" applyFont="1" applyFill="1" applyBorder="1" applyAlignment="1" applyProtection="1">
      <alignment horizontal="justify" vertical="top" wrapText="1" shrinkToFit="1"/>
    </xf>
    <xf numFmtId="0" fontId="4" fillId="2" borderId="0" xfId="0" applyNumberFormat="1" applyFont="1" applyFill="1" applyBorder="1" applyAlignment="1" applyProtection="1">
      <alignment horizontal="justify" vertical="top" wrapText="1" shrinkToFit="1"/>
    </xf>
    <xf numFmtId="0" fontId="6" fillId="2" borderId="0" xfId="0" applyNumberFormat="1" applyFont="1" applyFill="1" applyBorder="1" applyAlignment="1" applyProtection="1">
      <alignment horizontal="justify" vertical="top" wrapText="1" shrinkToFit="1"/>
    </xf>
    <xf numFmtId="0" fontId="14" fillId="2" borderId="0" xfId="0" applyNumberFormat="1" applyFont="1" applyFill="1" applyBorder="1" applyAlignment="1" applyProtection="1">
      <alignment horizontal="justify" vertical="top" wrapText="1" shrinkToFit="1"/>
    </xf>
    <xf numFmtId="49" fontId="4" fillId="3" borderId="1" xfId="0" applyNumberFormat="1" applyFont="1" applyFill="1" applyBorder="1" applyAlignment="1" applyProtection="1">
      <alignment horizontal="center" vertical="top" wrapText="1" shrinkToFit="1"/>
    </xf>
    <xf numFmtId="0" fontId="3" fillId="2" borderId="2" xfId="0" applyNumberFormat="1" applyFont="1" applyFill="1" applyBorder="1" applyAlignment="1" applyProtection="1">
      <alignment horizontal="justify" vertical="top" wrapText="1" shrinkToFit="1"/>
    </xf>
    <xf numFmtId="0" fontId="7" fillId="2" borderId="0" xfId="0" applyNumberFormat="1" applyFont="1" applyFill="1" applyBorder="1" applyAlignment="1" applyProtection="1">
      <alignment horizontal="justify" vertical="top" wrapText="1" shrinkToFit="1"/>
    </xf>
    <xf numFmtId="49" fontId="4" fillId="2" borderId="1" xfId="0" applyNumberFormat="1" applyFont="1" applyFill="1" applyBorder="1" applyAlignment="1" applyProtection="1">
      <alignment horizontal="justify" vertical="top" wrapText="1"/>
    </xf>
    <xf numFmtId="4" fontId="4" fillId="2" borderId="3" xfId="0" applyNumberFormat="1" applyFont="1" applyFill="1" applyBorder="1" applyAlignment="1" applyProtection="1">
      <alignment horizontal="justify" vertical="top" wrapText="1"/>
    </xf>
    <xf numFmtId="49" fontId="4" fillId="2" borderId="1" xfId="0" applyNumberFormat="1" applyFont="1" applyFill="1" applyBorder="1" applyAlignment="1" applyProtection="1">
      <alignment horizontal="center" vertical="top" wrapText="1"/>
    </xf>
    <xf numFmtId="49" fontId="11" fillId="3" borderId="1" xfId="0" applyNumberFormat="1" applyFont="1" applyFill="1" applyBorder="1" applyAlignment="1" applyProtection="1">
      <alignment horizontal="justify" vertical="top" wrapText="1" shrinkToFit="1"/>
    </xf>
    <xf numFmtId="4" fontId="11" fillId="3" borderId="1" xfId="0" applyNumberFormat="1" applyFont="1" applyFill="1" applyBorder="1" applyAlignment="1" applyProtection="1">
      <alignment horizontal="left" vertical="top" wrapText="1" shrinkToFit="1"/>
    </xf>
    <xf numFmtId="0" fontId="5" fillId="3" borderId="1" xfId="0" applyNumberFormat="1" applyFont="1" applyFill="1" applyBorder="1" applyAlignment="1" applyProtection="1">
      <alignment horizontal="center" vertical="top" wrapText="1" shrinkToFit="1"/>
    </xf>
    <xf numFmtId="49" fontId="8" fillId="0" borderId="4" xfId="0" applyNumberFormat="1" applyFont="1" applyFill="1" applyBorder="1" applyAlignment="1" applyProtection="1">
      <alignment horizontal="justify" vertical="top" wrapText="1" shrinkToFit="1"/>
    </xf>
    <xf numFmtId="4" fontId="8" fillId="0" borderId="4" xfId="0" applyNumberFormat="1" applyFont="1" applyFill="1" applyBorder="1" applyAlignment="1" applyProtection="1">
      <alignment horizontal="justify" vertical="top" wrapText="1" shrinkToFit="1"/>
    </xf>
    <xf numFmtId="49" fontId="8" fillId="0" borderId="5" xfId="0" applyNumberFormat="1" applyFont="1" applyFill="1" applyBorder="1" applyAlignment="1" applyProtection="1">
      <alignment horizontal="center" vertical="top" wrapText="1" shrinkToFit="1"/>
    </xf>
    <xf numFmtId="49" fontId="9" fillId="4" borderId="6" xfId="0" applyNumberFormat="1" applyFont="1" applyFill="1" applyBorder="1" applyAlignment="1" applyProtection="1">
      <alignment horizontal="justify" vertical="top" wrapText="1" shrinkToFit="1"/>
    </xf>
    <xf numFmtId="0" fontId="17" fillId="2" borderId="0" xfId="0" applyNumberFormat="1" applyFont="1" applyFill="1" applyBorder="1" applyAlignment="1" applyProtection="1">
      <alignment horizontal="justify" vertical="center"/>
    </xf>
    <xf numFmtId="49" fontId="8" fillId="2" borderId="5" xfId="0" applyNumberFormat="1" applyFont="1" applyFill="1" applyBorder="1" applyAlignment="1" applyProtection="1">
      <alignment horizontal="center" vertical="top" wrapText="1" shrinkToFit="1"/>
    </xf>
    <xf numFmtId="49" fontId="9" fillId="4" borderId="1" xfId="0" applyNumberFormat="1" applyFont="1" applyFill="1" applyBorder="1" applyAlignment="1" applyProtection="1">
      <alignment horizontal="justify" vertical="top" wrapText="1" shrinkToFit="1"/>
    </xf>
    <xf numFmtId="4" fontId="9" fillId="4" borderId="1" xfId="0" applyNumberFormat="1" applyFont="1" applyFill="1" applyBorder="1" applyAlignment="1" applyProtection="1">
      <alignment horizontal="left" vertical="top" wrapText="1" shrinkToFit="1"/>
    </xf>
    <xf numFmtId="0" fontId="9" fillId="4" borderId="1" xfId="0" applyNumberFormat="1" applyFont="1" applyFill="1" applyBorder="1" applyAlignment="1" applyProtection="1">
      <alignment horizontal="center" vertical="top" wrapText="1" shrinkToFit="1"/>
    </xf>
    <xf numFmtId="49" fontId="9" fillId="2" borderId="5" xfId="0" applyNumberFormat="1" applyFont="1" applyFill="1" applyBorder="1" applyAlignment="1" applyProtection="1">
      <alignment horizontal="justify" vertical="top" wrapText="1" shrinkToFit="1"/>
    </xf>
    <xf numFmtId="4" fontId="9" fillId="4" borderId="3" xfId="0" applyNumberFormat="1" applyFont="1" applyFill="1" applyBorder="1" applyAlignment="1" applyProtection="1">
      <alignment horizontal="left" vertical="top" wrapText="1" shrinkToFit="1"/>
    </xf>
    <xf numFmtId="49" fontId="8" fillId="2" borderId="7" xfId="0" applyNumberFormat="1" applyFont="1" applyFill="1" applyBorder="1" applyAlignment="1" applyProtection="1">
      <alignment horizontal="center" vertical="top" wrapText="1" shrinkToFit="1"/>
    </xf>
    <xf numFmtId="49" fontId="8" fillId="2" borderId="5" xfId="0" applyNumberFormat="1" applyFont="1" applyFill="1" applyBorder="1" applyAlignment="1" applyProtection="1">
      <alignment horizontal="justify" vertical="top" wrapText="1" shrinkToFit="1"/>
    </xf>
    <xf numFmtId="4" fontId="8" fillId="2" borderId="0" xfId="0" applyNumberFormat="1" applyFont="1" applyFill="1" applyBorder="1" applyAlignment="1" applyProtection="1">
      <alignment horizontal="justify" vertical="top" wrapText="1" shrinkToFit="1"/>
    </xf>
    <xf numFmtId="49" fontId="8" fillId="0" borderId="5" xfId="0" applyNumberFormat="1" applyFont="1" applyFill="1" applyBorder="1" applyAlignment="1" applyProtection="1">
      <alignment horizontal="justify" vertical="top" wrapText="1" shrinkToFit="1"/>
    </xf>
    <xf numFmtId="4" fontId="8" fillId="0" borderId="0" xfId="0" applyNumberFormat="1" applyFont="1" applyFill="1" applyBorder="1" applyAlignment="1" applyProtection="1">
      <alignment horizontal="justify" vertical="top" wrapText="1" shrinkToFit="1"/>
    </xf>
    <xf numFmtId="0" fontId="8" fillId="2" borderId="5" xfId="0" applyNumberFormat="1" applyFont="1" applyFill="1" applyBorder="1" applyAlignment="1" applyProtection="1">
      <alignment horizontal="center" vertical="top" wrapText="1"/>
    </xf>
    <xf numFmtId="4" fontId="11" fillId="3" borderId="3" xfId="0" applyNumberFormat="1" applyFont="1" applyFill="1" applyBorder="1" applyAlignment="1" applyProtection="1">
      <alignment horizontal="left" vertical="top" wrapText="1" shrinkToFit="1"/>
    </xf>
    <xf numFmtId="49" fontId="5" fillId="4" borderId="6" xfId="0" applyNumberFormat="1" applyFont="1" applyFill="1" applyBorder="1" applyAlignment="1" applyProtection="1">
      <alignment horizontal="justify" vertical="top" wrapText="1" shrinkToFit="1"/>
    </xf>
    <xf numFmtId="4" fontId="5" fillId="4" borderId="8" xfId="0" applyNumberFormat="1" applyFont="1" applyFill="1" applyBorder="1" applyAlignment="1" applyProtection="1">
      <alignment horizontal="left" vertical="top" wrapText="1" shrinkToFit="1"/>
    </xf>
    <xf numFmtId="0" fontId="5" fillId="4" borderId="5" xfId="0" applyNumberFormat="1" applyFont="1" applyFill="1" applyBorder="1" applyAlignment="1" applyProtection="1">
      <alignment horizontal="center" vertical="top" wrapText="1" shrinkToFit="1"/>
    </xf>
    <xf numFmtId="49" fontId="8" fillId="2" borderId="7" xfId="0" applyNumberFormat="1" applyFont="1" applyFill="1" applyBorder="1" applyAlignment="1" applyProtection="1">
      <alignment horizontal="justify" vertical="top" wrapText="1" shrinkToFit="1"/>
    </xf>
    <xf numFmtId="4" fontId="8" fillId="2" borderId="9" xfId="0" applyNumberFormat="1" applyFont="1" applyFill="1" applyBorder="1" applyAlignment="1" applyProtection="1">
      <alignment horizontal="justify" vertical="top" wrapText="1" shrinkToFit="1"/>
    </xf>
    <xf numFmtId="49" fontId="20" fillId="2" borderId="5" xfId="0" applyNumberFormat="1" applyFont="1" applyFill="1" applyBorder="1" applyAlignment="1" applyProtection="1">
      <alignment horizontal="justify" vertical="top" wrapText="1" shrinkToFit="1"/>
    </xf>
    <xf numFmtId="4" fontId="20" fillId="2" borderId="5" xfId="0" applyNumberFormat="1" applyFont="1" applyFill="1" applyBorder="1" applyAlignment="1" applyProtection="1">
      <alignment horizontal="justify" vertical="top" wrapText="1" shrinkToFit="1"/>
    </xf>
    <xf numFmtId="0" fontId="8" fillId="0" borderId="5" xfId="0" applyNumberFormat="1" applyFont="1" applyFill="1" applyBorder="1" applyAlignment="1" applyProtection="1">
      <alignment horizontal="center" vertical="top" wrapText="1"/>
    </xf>
    <xf numFmtId="4" fontId="8" fillId="2" borderId="5" xfId="0" applyNumberFormat="1" applyFont="1" applyFill="1" applyBorder="1" applyAlignment="1" applyProtection="1">
      <alignment horizontal="justify" vertical="top" wrapText="1" shrinkToFit="1"/>
    </xf>
    <xf numFmtId="49" fontId="8" fillId="4" borderId="1" xfId="0" applyNumberFormat="1" applyFont="1" applyFill="1" applyBorder="1" applyAlignment="1" applyProtection="1">
      <alignment horizontal="justify" vertical="top" wrapText="1" shrinkToFit="1"/>
    </xf>
    <xf numFmtId="4" fontId="8" fillId="4" borderId="1" xfId="0" applyNumberFormat="1" applyFont="1" applyFill="1" applyBorder="1" applyAlignment="1" applyProtection="1">
      <alignment horizontal="left" vertical="top" wrapText="1" shrinkToFit="1"/>
    </xf>
    <xf numFmtId="49" fontId="8" fillId="4" borderId="1" xfId="0" applyNumberFormat="1" applyFont="1" applyFill="1" applyBorder="1" applyAlignment="1" applyProtection="1">
      <alignment horizontal="center" vertical="top" wrapText="1" shrinkToFit="1"/>
    </xf>
    <xf numFmtId="4" fontId="8" fillId="2" borderId="7" xfId="0" applyNumberFormat="1" applyFont="1" applyFill="1" applyBorder="1" applyAlignment="1" applyProtection="1">
      <alignment horizontal="justify" vertical="top" wrapText="1" shrinkToFit="1"/>
    </xf>
    <xf numFmtId="4" fontId="8" fillId="0" borderId="0" xfId="0" applyNumberFormat="1" applyFont="1" applyFill="1" applyBorder="1" applyAlignment="1" applyProtection="1">
      <alignment horizontal="justify" vertical="center" wrapText="1" shrinkToFit="1"/>
    </xf>
    <xf numFmtId="0" fontId="3" fillId="0" borderId="0" xfId="0" applyNumberFormat="1" applyFont="1" applyFill="1" applyBorder="1" applyAlignment="1" applyProtection="1">
      <alignment horizontal="justify" vertical="top" wrapText="1" shrinkToFit="1"/>
    </xf>
    <xf numFmtId="4" fontId="8" fillId="4" borderId="1" xfId="0" applyNumberFormat="1" applyFont="1" applyFill="1" applyBorder="1" applyAlignment="1" applyProtection="1">
      <alignment horizontal="justify" vertical="top" wrapText="1" shrinkToFit="1"/>
    </xf>
    <xf numFmtId="4" fontId="9" fillId="4" borderId="2" xfId="0" applyNumberFormat="1" applyFont="1" applyFill="1" applyBorder="1" applyAlignment="1" applyProtection="1">
      <alignment horizontal="justify" vertical="top" wrapText="1" shrinkToFit="1"/>
    </xf>
    <xf numFmtId="4" fontId="8" fillId="0" borderId="0" xfId="0" applyNumberFormat="1" applyFont="1" applyFill="1" applyBorder="1" applyAlignment="1" applyProtection="1">
      <alignment horizontal="left" vertical="top" wrapText="1" shrinkToFit="1"/>
    </xf>
    <xf numFmtId="4" fontId="11" fillId="3" borderId="2" xfId="0" applyNumberFormat="1" applyFont="1" applyFill="1" applyBorder="1" applyAlignment="1" applyProtection="1">
      <alignment horizontal="justify" vertical="top" wrapText="1" shrinkToFit="1"/>
    </xf>
    <xf numFmtId="4" fontId="9" fillId="4" borderId="11" xfId="0" applyNumberFormat="1" applyFont="1" applyFill="1" applyBorder="1" applyAlignment="1" applyProtection="1">
      <alignment horizontal="justify" vertical="top" wrapText="1" shrinkToFit="1"/>
    </xf>
    <xf numFmtId="49" fontId="8" fillId="4" borderId="6" xfId="0" applyNumberFormat="1" applyFont="1" applyFill="1" applyBorder="1" applyAlignment="1" applyProtection="1">
      <alignment horizontal="center" vertical="top" wrapText="1" shrinkToFit="1"/>
    </xf>
    <xf numFmtId="49" fontId="20" fillId="0" borderId="5" xfId="0" applyNumberFormat="1" applyFont="1" applyFill="1" applyBorder="1" applyAlignment="1" applyProtection="1">
      <alignment horizontal="justify" vertical="top" wrapText="1" shrinkToFit="1"/>
    </xf>
    <xf numFmtId="49" fontId="9" fillId="4" borderId="1" xfId="0" applyNumberFormat="1" applyFont="1" applyFill="1" applyBorder="1" applyAlignment="1" applyProtection="1">
      <alignment horizontal="center" vertical="top" wrapText="1" shrinkToFit="1"/>
    </xf>
    <xf numFmtId="4" fontId="8" fillId="4" borderId="2" xfId="0" applyNumberFormat="1" applyFont="1" applyFill="1" applyBorder="1" applyAlignment="1" applyProtection="1">
      <alignment horizontal="justify" vertical="top" wrapText="1" shrinkToFit="1"/>
    </xf>
    <xf numFmtId="49" fontId="8" fillId="3" borderId="1" xfId="0" applyNumberFormat="1" applyFont="1" applyFill="1" applyBorder="1" applyAlignment="1" applyProtection="1">
      <alignment horizontal="center" vertical="top" wrapText="1" shrinkToFit="1"/>
    </xf>
    <xf numFmtId="4" fontId="9" fillId="4" borderId="1" xfId="0" applyNumberFormat="1" applyFont="1" applyFill="1" applyBorder="1" applyAlignment="1" applyProtection="1">
      <alignment horizontal="justify" vertical="top" wrapText="1" shrinkToFit="1"/>
    </xf>
    <xf numFmtId="49" fontId="12" fillId="3" borderId="1" xfId="0" applyNumberFormat="1" applyFont="1" applyFill="1" applyBorder="1" applyAlignment="1" applyProtection="1">
      <alignment horizontal="justify" vertical="top" wrapText="1" shrinkToFit="1"/>
    </xf>
    <xf numFmtId="4" fontId="12" fillId="3" borderId="2" xfId="0" applyNumberFormat="1" applyFont="1" applyFill="1" applyBorder="1" applyAlignment="1" applyProtection="1">
      <alignment horizontal="justify" vertical="top" wrapText="1" shrinkToFit="1"/>
    </xf>
    <xf numFmtId="49" fontId="9" fillId="4" borderId="1" xfId="0" applyNumberFormat="1" applyFont="1" applyFill="1" applyBorder="1" applyAlignment="1" applyProtection="1">
      <alignment horizontal="left" vertical="top" wrapText="1" shrinkToFit="1"/>
    </xf>
    <xf numFmtId="4" fontId="12" fillId="3" borderId="1" xfId="0" applyNumberFormat="1" applyFont="1" applyFill="1" applyBorder="1" applyAlignment="1" applyProtection="1">
      <alignment horizontal="justify" vertical="top" wrapText="1" shrinkToFit="1"/>
    </xf>
    <xf numFmtId="49" fontId="5" fillId="3" borderId="1" xfId="0" applyNumberFormat="1" applyFont="1" applyFill="1" applyBorder="1" applyAlignment="1" applyProtection="1">
      <alignment horizontal="center" vertical="top" wrapText="1" shrinkToFit="1"/>
    </xf>
    <xf numFmtId="4" fontId="3" fillId="2" borderId="0" xfId="0" applyNumberFormat="1" applyFont="1" applyFill="1" applyBorder="1" applyAlignment="1" applyProtection="1">
      <alignment horizontal="justify" vertical="top" wrapText="1"/>
    </xf>
    <xf numFmtId="0" fontId="4" fillId="2" borderId="0" xfId="0" applyNumberFormat="1" applyFont="1" applyFill="1" applyBorder="1" applyAlignment="1" applyProtection="1">
      <alignment horizontal="center" vertical="top" wrapText="1"/>
    </xf>
    <xf numFmtId="1" fontId="4" fillId="2" borderId="0" xfId="0" applyNumberFormat="1" applyFont="1" applyFill="1" applyBorder="1" applyAlignment="1" applyProtection="1">
      <alignment horizontal="center" vertical="top" wrapText="1"/>
    </xf>
    <xf numFmtId="49" fontId="8" fillId="0" borderId="0" xfId="0" applyNumberFormat="1" applyFont="1" applyFill="1" applyBorder="1" applyAlignment="1" applyProtection="1">
      <alignment horizontal="left" vertical="top" wrapText="1" shrinkToFit="1"/>
    </xf>
    <xf numFmtId="0" fontId="3" fillId="5" borderId="0" xfId="0" applyNumberFormat="1" applyFont="1" applyFill="1" applyBorder="1" applyAlignment="1" applyProtection="1">
      <alignment horizontal="justify" vertical="top" wrapText="1"/>
    </xf>
    <xf numFmtId="0" fontId="3" fillId="5" borderId="0" xfId="0" applyNumberFormat="1" applyFont="1" applyFill="1" applyBorder="1" applyAlignment="1" applyProtection="1">
      <alignment horizontal="justify" vertical="top" wrapText="1" shrinkToFit="1"/>
    </xf>
    <xf numFmtId="0" fontId="4" fillId="6" borderId="0" xfId="0" applyNumberFormat="1" applyFont="1" applyFill="1" applyBorder="1" applyAlignment="1" applyProtection="1">
      <alignment horizontal="justify" vertical="top" wrapText="1" shrinkToFit="1"/>
    </xf>
    <xf numFmtId="0" fontId="5" fillId="5" borderId="0" xfId="0" applyNumberFormat="1" applyFont="1" applyFill="1" applyBorder="1" applyAlignment="1" applyProtection="1">
      <alignment horizontal="justify" vertical="top" wrapText="1" shrinkToFit="1"/>
    </xf>
    <xf numFmtId="0" fontId="3" fillId="6" borderId="0" xfId="0" applyNumberFormat="1" applyFont="1" applyFill="1" applyBorder="1" applyAlignment="1" applyProtection="1">
      <alignment horizontal="justify" vertical="top" wrapText="1"/>
    </xf>
    <xf numFmtId="0" fontId="3" fillId="6" borderId="0" xfId="0" applyNumberFormat="1" applyFont="1" applyFill="1" applyBorder="1" applyAlignment="1" applyProtection="1">
      <alignment horizontal="justify" vertical="top" wrapText="1" shrinkToFit="1"/>
    </xf>
    <xf numFmtId="0" fontId="5" fillId="6" borderId="0" xfId="0" applyNumberFormat="1" applyFont="1" applyFill="1" applyBorder="1" applyAlignment="1" applyProtection="1">
      <alignment horizontal="justify" vertical="top" wrapText="1" shrinkToFit="1"/>
    </xf>
    <xf numFmtId="0" fontId="40" fillId="6" borderId="0" xfId="0" applyNumberFormat="1" applyFont="1" applyFill="1" applyBorder="1" applyAlignment="1" applyProtection="1">
      <alignment horizontal="justify" vertical="top" wrapText="1"/>
    </xf>
    <xf numFmtId="4" fontId="20" fillId="0" borderId="0" xfId="0" applyNumberFormat="1" applyFont="1" applyFill="1" applyBorder="1" applyAlignment="1" applyProtection="1">
      <alignment horizontal="justify" vertical="top" wrapText="1" shrinkToFit="1"/>
    </xf>
    <xf numFmtId="0" fontId="5" fillId="4" borderId="1" xfId="0" applyNumberFormat="1" applyFont="1" applyFill="1" applyBorder="1" applyAlignment="1" applyProtection="1">
      <alignment horizontal="center" vertical="top" wrapText="1" shrinkToFit="1"/>
    </xf>
    <xf numFmtId="0" fontId="41" fillId="0" borderId="0" xfId="0" applyFont="1" applyAlignment="1"/>
    <xf numFmtId="49" fontId="5" fillId="4" borderId="1" xfId="0" applyNumberFormat="1" applyFont="1" applyFill="1" applyBorder="1" applyAlignment="1" applyProtection="1">
      <alignment horizontal="justify" vertical="top" wrapText="1" shrinkToFit="1"/>
    </xf>
    <xf numFmtId="4" fontId="5" fillId="4" borderId="1" xfId="0" applyNumberFormat="1" applyFont="1" applyFill="1" applyBorder="1" applyAlignment="1" applyProtection="1">
      <alignment horizontal="left" vertical="top" wrapText="1" shrinkToFit="1"/>
    </xf>
    <xf numFmtId="49" fontId="8" fillId="2" borderId="1" xfId="0" applyNumberFormat="1" applyFont="1" applyFill="1" applyBorder="1" applyAlignment="1" applyProtection="1">
      <alignment horizontal="center" vertical="top" wrapText="1" shrinkToFit="1"/>
    </xf>
    <xf numFmtId="4" fontId="11" fillId="3" borderId="1" xfId="0" applyNumberFormat="1" applyFont="1" applyFill="1" applyBorder="1" applyAlignment="1" applyProtection="1">
      <alignment horizontal="justify" vertical="top" wrapText="1" shrinkToFit="1"/>
    </xf>
    <xf numFmtId="0" fontId="41" fillId="0" borderId="0" xfId="0" applyFont="1" applyAlignment="1">
      <alignment vertical="center"/>
    </xf>
    <xf numFmtId="0" fontId="5" fillId="0" borderId="0" xfId="0" applyNumberFormat="1" applyFont="1" applyFill="1" applyBorder="1" applyAlignment="1" applyProtection="1">
      <alignment horizontal="justify" vertical="top" wrapText="1" shrinkToFit="1"/>
    </xf>
    <xf numFmtId="49" fontId="11" fillId="3" borderId="6" xfId="0" applyNumberFormat="1" applyFont="1" applyFill="1" applyBorder="1" applyAlignment="1" applyProtection="1">
      <alignment horizontal="justify" vertical="top" wrapText="1" shrinkToFit="1"/>
    </xf>
    <xf numFmtId="4" fontId="11" fillId="3" borderId="6" xfId="0" applyNumberFormat="1" applyFont="1" applyFill="1" applyBorder="1" applyAlignment="1" applyProtection="1">
      <alignment horizontal="justify" vertical="top" wrapText="1" shrinkToFit="1"/>
    </xf>
    <xf numFmtId="49" fontId="8" fillId="3" borderId="6" xfId="0" applyNumberFormat="1" applyFont="1" applyFill="1" applyBorder="1" applyAlignment="1" applyProtection="1">
      <alignment horizontal="center" vertical="top" wrapText="1" shrinkToFit="1"/>
    </xf>
    <xf numFmtId="4" fontId="42" fillId="2" borderId="0" xfId="0" applyNumberFormat="1" applyFont="1" applyFill="1" applyBorder="1" applyAlignment="1" applyProtection="1">
      <alignment horizontal="center" vertical="top" wrapText="1"/>
    </xf>
    <xf numFmtId="49" fontId="3" fillId="0" borderId="4" xfId="0" applyNumberFormat="1" applyFont="1" applyFill="1" applyBorder="1" applyAlignment="1" applyProtection="1">
      <alignment horizontal="justify" vertical="top" wrapText="1" shrinkToFit="1"/>
    </xf>
    <xf numFmtId="49" fontId="4" fillId="0" borderId="5" xfId="0" applyNumberFormat="1" applyFont="1" applyFill="1" applyBorder="1" applyAlignment="1" applyProtection="1">
      <alignment horizontal="center" vertical="top" wrapText="1" shrinkToFit="1"/>
    </xf>
    <xf numFmtId="49" fontId="3" fillId="0" borderId="5" xfId="0" applyNumberFormat="1" applyFont="1" applyFill="1" applyBorder="1" applyAlignment="1" applyProtection="1">
      <alignment horizontal="justify" vertical="top" wrapText="1" shrinkToFit="1"/>
    </xf>
    <xf numFmtId="0" fontId="28" fillId="0" borderId="0" xfId="0" applyFont="1" applyBorder="1" applyAlignment="1">
      <alignment horizontal="justify" vertical="center" wrapText="1"/>
    </xf>
    <xf numFmtId="0" fontId="17" fillId="0" borderId="0" xfId="0" applyNumberFormat="1" applyFont="1" applyFill="1" applyBorder="1" applyAlignment="1" applyProtection="1">
      <alignment horizontal="justify" vertical="center"/>
    </xf>
    <xf numFmtId="0" fontId="17" fillId="0" borderId="4" xfId="0" applyNumberFormat="1" applyFont="1" applyFill="1" applyBorder="1" applyAlignment="1" applyProtection="1">
      <alignment horizontal="justify" vertical="center"/>
    </xf>
    <xf numFmtId="49" fontId="3" fillId="0" borderId="12" xfId="0" applyNumberFormat="1" applyFont="1" applyFill="1" applyBorder="1" applyAlignment="1" applyProtection="1">
      <alignment horizontal="justify" vertical="top" wrapText="1" shrinkToFit="1"/>
    </xf>
    <xf numFmtId="0" fontId="8" fillId="0" borderId="12" xfId="0" applyNumberFormat="1" applyFont="1" applyFill="1" applyBorder="1" applyAlignment="1" applyProtection="1">
      <alignment horizontal="justify" vertical="center"/>
    </xf>
    <xf numFmtId="49" fontId="4" fillId="0" borderId="7" xfId="0" applyNumberFormat="1" applyFont="1" applyFill="1" applyBorder="1" applyAlignment="1" applyProtection="1">
      <alignment horizontal="center" vertical="top" wrapText="1" shrinkToFit="1"/>
    </xf>
    <xf numFmtId="0" fontId="8" fillId="0" borderId="4" xfId="0" applyNumberFormat="1" applyFont="1" applyFill="1" applyBorder="1" applyAlignment="1" applyProtection="1">
      <alignment horizontal="justify" vertical="center"/>
    </xf>
    <xf numFmtId="49" fontId="5" fillId="0" borderId="4" xfId="0" applyNumberFormat="1" applyFont="1" applyFill="1" applyBorder="1" applyAlignment="1" applyProtection="1">
      <alignment horizontal="justify" vertical="top" wrapText="1" shrinkToFit="1"/>
    </xf>
    <xf numFmtId="49" fontId="4" fillId="0" borderId="4" xfId="0" applyNumberFormat="1" applyFont="1" applyFill="1" applyBorder="1" applyAlignment="1" applyProtection="1">
      <alignment horizontal="center" vertical="top" wrapText="1" shrinkToFit="1"/>
    </xf>
    <xf numFmtId="0" fontId="8" fillId="0" borderId="5" xfId="0" applyNumberFormat="1" applyFont="1" applyFill="1" applyBorder="1" applyAlignment="1" applyProtection="1">
      <alignment horizontal="justify" vertical="center"/>
    </xf>
    <xf numFmtId="49" fontId="3" fillId="0" borderId="8" xfId="0" applyNumberFormat="1" applyFont="1" applyFill="1" applyBorder="1" applyAlignment="1" applyProtection="1">
      <alignment horizontal="justify" vertical="top" wrapText="1" shrinkToFit="1"/>
    </xf>
    <xf numFmtId="0" fontId="8" fillId="0" borderId="8" xfId="0" applyNumberFormat="1" applyFont="1" applyFill="1" applyBorder="1" applyAlignment="1" applyProtection="1">
      <alignment horizontal="justify" vertical="center"/>
    </xf>
    <xf numFmtId="49" fontId="4" fillId="0" borderId="6" xfId="0" applyNumberFormat="1" applyFont="1" applyFill="1" applyBorder="1" applyAlignment="1" applyProtection="1">
      <alignment horizontal="center" vertical="top" wrapText="1" shrinkToFit="1"/>
    </xf>
    <xf numFmtId="0" fontId="17" fillId="0" borderId="12" xfId="0" applyNumberFormat="1" applyFont="1" applyFill="1" applyBorder="1" applyAlignment="1" applyProtection="1">
      <alignment horizontal="justify" vertical="center"/>
    </xf>
    <xf numFmtId="49" fontId="4" fillId="0" borderId="12" xfId="0" applyNumberFormat="1" applyFont="1" applyFill="1" applyBorder="1" applyAlignment="1" applyProtection="1">
      <alignment horizontal="center" vertical="top" wrapText="1" shrinkToFit="1"/>
    </xf>
    <xf numFmtId="49" fontId="8" fillId="0" borderId="4" xfId="0" applyNumberFormat="1" applyFont="1" applyFill="1" applyBorder="1" applyAlignment="1" applyProtection="1">
      <alignment horizontal="center" vertical="top" wrapText="1" shrinkToFit="1"/>
    </xf>
    <xf numFmtId="49" fontId="8" fillId="0" borderId="6" xfId="0" applyNumberFormat="1" applyFont="1" applyFill="1" applyBorder="1" applyAlignment="1" applyProtection="1">
      <alignment horizontal="center" vertical="top" wrapText="1" shrinkToFit="1"/>
    </xf>
    <xf numFmtId="49" fontId="43" fillId="0" borderId="5" xfId="0" applyNumberFormat="1" applyFont="1" applyFill="1" applyBorder="1" applyAlignment="1" applyProtection="1">
      <alignment horizontal="center" vertical="top" wrapText="1" shrinkToFit="1"/>
    </xf>
    <xf numFmtId="49" fontId="9" fillId="0" borderId="5" xfId="0" applyNumberFormat="1" applyFont="1" applyFill="1" applyBorder="1" applyAlignment="1" applyProtection="1">
      <alignment horizontal="justify" vertical="top" wrapText="1" shrinkToFit="1"/>
    </xf>
    <xf numFmtId="49" fontId="9" fillId="0" borderId="4" xfId="0" applyNumberFormat="1" applyFont="1" applyFill="1" applyBorder="1" applyAlignment="1" applyProtection="1">
      <alignment horizontal="justify" vertical="top" wrapText="1" shrinkToFit="1"/>
    </xf>
    <xf numFmtId="0" fontId="17" fillId="0" borderId="5" xfId="0" applyNumberFormat="1" applyFont="1" applyFill="1" applyBorder="1" applyAlignment="1" applyProtection="1">
      <alignment horizontal="justify" vertical="center"/>
    </xf>
    <xf numFmtId="49" fontId="8" fillId="0" borderId="0" xfId="0" applyNumberFormat="1" applyFont="1" applyFill="1" applyBorder="1" applyAlignment="1" applyProtection="1">
      <alignment horizontal="center" vertical="top" wrapText="1" shrinkToFit="1"/>
    </xf>
    <xf numFmtId="4" fontId="8" fillId="0" borderId="5" xfId="0" applyNumberFormat="1" applyFont="1" applyFill="1" applyBorder="1" applyAlignment="1" applyProtection="1">
      <alignment horizontal="justify" vertical="top" wrapText="1" shrinkToFit="1"/>
    </xf>
    <xf numFmtId="49" fontId="8" fillId="0" borderId="6" xfId="0" applyNumberFormat="1" applyFont="1" applyFill="1" applyBorder="1" applyAlignment="1" applyProtection="1">
      <alignment horizontal="justify" vertical="top" wrapText="1" shrinkToFit="1"/>
    </xf>
    <xf numFmtId="0" fontId="20" fillId="0" borderId="0" xfId="0" quotePrefix="1" applyFont="1" applyFill="1" applyBorder="1" applyAlignment="1">
      <alignment horizontal="justify" wrapText="1"/>
    </xf>
    <xf numFmtId="49" fontId="43" fillId="0" borderId="5" xfId="0" applyNumberFormat="1" applyFont="1" applyFill="1" applyBorder="1" applyAlignment="1" applyProtection="1">
      <alignment horizontal="justify" vertical="top" wrapText="1" shrinkToFit="1"/>
    </xf>
    <xf numFmtId="0" fontId="43" fillId="0" borderId="5" xfId="0" applyNumberFormat="1" applyFont="1" applyFill="1" applyBorder="1" applyAlignment="1" applyProtection="1">
      <alignment horizontal="center" vertical="top" wrapText="1"/>
    </xf>
    <xf numFmtId="49" fontId="44" fillId="0" borderId="5" xfId="0" applyNumberFormat="1" applyFont="1" applyFill="1" applyBorder="1" applyAlignment="1" applyProtection="1">
      <alignment horizontal="justify" vertical="top" wrapText="1" shrinkToFit="1"/>
    </xf>
    <xf numFmtId="0" fontId="17" fillId="0" borderId="0" xfId="0" applyNumberFormat="1" applyFont="1" applyFill="1" applyBorder="1" applyAlignment="1" applyProtection="1">
      <alignment horizontal="justify" vertical="center" wrapText="1"/>
    </xf>
    <xf numFmtId="49" fontId="20" fillId="0" borderId="4" xfId="0" applyNumberFormat="1" applyFont="1" applyFill="1" applyBorder="1" applyAlignment="1" applyProtection="1">
      <alignment horizontal="justify" vertical="top" wrapText="1" shrinkToFit="1"/>
    </xf>
    <xf numFmtId="4" fontId="20" fillId="0" borderId="4" xfId="0" applyNumberFormat="1" applyFont="1" applyFill="1" applyBorder="1" applyAlignment="1" applyProtection="1">
      <alignment horizontal="justify" vertical="top" wrapText="1" shrinkToFit="1"/>
    </xf>
    <xf numFmtId="49" fontId="8" fillId="0" borderId="12" xfId="0" applyNumberFormat="1" applyFont="1" applyFill="1" applyBorder="1" applyAlignment="1" applyProtection="1">
      <alignment horizontal="justify" vertical="top" wrapText="1" shrinkToFit="1"/>
    </xf>
    <xf numFmtId="4" fontId="8" fillId="0" borderId="12" xfId="0" applyNumberFormat="1" applyFont="1" applyFill="1" applyBorder="1" applyAlignment="1" applyProtection="1">
      <alignment horizontal="justify" vertical="top" wrapText="1" shrinkToFit="1"/>
    </xf>
    <xf numFmtId="49" fontId="8" fillId="0" borderId="12" xfId="0" applyNumberFormat="1" applyFont="1" applyFill="1" applyBorder="1" applyAlignment="1" applyProtection="1">
      <alignment horizontal="center" vertical="top" wrapText="1" shrinkToFit="1"/>
    </xf>
    <xf numFmtId="4" fontId="9" fillId="0" borderId="5" xfId="0" applyNumberFormat="1" applyFont="1" applyFill="1" applyBorder="1" applyAlignment="1" applyProtection="1">
      <alignment horizontal="left" vertical="top" wrapText="1" shrinkToFit="1"/>
    </xf>
    <xf numFmtId="0" fontId="45" fillId="0" borderId="5" xfId="0" applyNumberFormat="1" applyFont="1" applyFill="1" applyBorder="1" applyAlignment="1" applyProtection="1">
      <alignment horizontal="center" vertical="top" wrapText="1" shrinkToFit="1"/>
    </xf>
    <xf numFmtId="49" fontId="46" fillId="0" borderId="5" xfId="0" applyNumberFormat="1" applyFont="1" applyFill="1" applyBorder="1" applyAlignment="1" applyProtection="1">
      <alignment horizontal="center" vertical="top" wrapText="1" shrinkToFit="1"/>
    </xf>
    <xf numFmtId="0" fontId="3" fillId="0" borderId="5" xfId="0" applyNumberFormat="1" applyFont="1" applyFill="1" applyBorder="1" applyAlignment="1" applyProtection="1">
      <alignment horizontal="justify" vertical="top" wrapText="1"/>
    </xf>
    <xf numFmtId="0" fontId="4" fillId="0" borderId="5" xfId="0" applyNumberFormat="1" applyFont="1" applyFill="1" applyBorder="1" applyAlignment="1" applyProtection="1">
      <alignment horizontal="center" vertical="top" wrapText="1"/>
    </xf>
    <xf numFmtId="4" fontId="20" fillId="0" borderId="5" xfId="0" applyNumberFormat="1" applyFont="1" applyFill="1" applyBorder="1" applyAlignment="1" applyProtection="1">
      <alignment horizontal="justify" vertical="top" wrapText="1" shrinkToFit="1"/>
    </xf>
    <xf numFmtId="49" fontId="8" fillId="0" borderId="10" xfId="0" applyNumberFormat="1" applyFont="1" applyFill="1" applyBorder="1" applyAlignment="1" applyProtection="1">
      <alignment horizontal="center" vertical="top" wrapText="1" shrinkToFit="1"/>
    </xf>
    <xf numFmtId="0" fontId="17" fillId="0" borderId="0" xfId="0" quotePrefix="1" applyNumberFormat="1" applyFont="1" applyFill="1" applyBorder="1" applyAlignment="1" applyProtection="1">
      <alignment horizontal="justify" vertical="center"/>
    </xf>
    <xf numFmtId="0" fontId="8" fillId="0" borderId="4" xfId="0" applyNumberFormat="1" applyFont="1" applyFill="1" applyBorder="1" applyAlignment="1" applyProtection="1">
      <alignment horizontal="center" vertical="top" wrapText="1"/>
    </xf>
    <xf numFmtId="4" fontId="3" fillId="0" borderId="5" xfId="0" applyNumberFormat="1" applyFont="1" applyFill="1" applyBorder="1" applyAlignment="1" applyProtection="1">
      <alignment horizontal="justify" vertical="top" wrapText="1"/>
    </xf>
    <xf numFmtId="49" fontId="8" fillId="0" borderId="5" xfId="0" applyNumberFormat="1" applyFont="1" applyFill="1" applyBorder="1" applyAlignment="1">
      <alignment horizontal="left" vertical="top" wrapText="1" shrinkToFit="1"/>
    </xf>
    <xf numFmtId="49" fontId="3" fillId="0" borderId="5" xfId="0" applyNumberFormat="1" applyFont="1" applyFill="1" applyBorder="1" applyAlignment="1" applyProtection="1">
      <alignment horizontal="left" vertical="top" wrapText="1" indent="1" shrinkToFit="1"/>
    </xf>
    <xf numFmtId="49" fontId="47" fillId="0" borderId="5" xfId="0" applyNumberFormat="1" applyFont="1" applyFill="1" applyBorder="1" applyAlignment="1" applyProtection="1">
      <alignment vertical="top" wrapText="1" shrinkToFit="1"/>
    </xf>
    <xf numFmtId="49" fontId="9" fillId="0" borderId="6" xfId="0" applyNumberFormat="1" applyFont="1" applyFill="1" applyBorder="1" applyAlignment="1" applyProtection="1">
      <alignment horizontal="justify" vertical="top" wrapText="1" shrinkToFit="1"/>
    </xf>
    <xf numFmtId="49" fontId="8" fillId="0" borderId="5" xfId="0" applyNumberFormat="1" applyFont="1" applyFill="1" applyBorder="1" applyAlignment="1" applyProtection="1">
      <alignment horizontal="left" vertical="top" wrapText="1" shrinkToFit="1"/>
    </xf>
    <xf numFmtId="49" fontId="45" fillId="0" borderId="5" xfId="0" applyNumberFormat="1" applyFont="1" applyFill="1" applyBorder="1" applyAlignment="1" applyProtection="1">
      <alignment horizontal="left" vertical="top" wrapText="1" shrinkToFit="1"/>
    </xf>
    <xf numFmtId="49" fontId="45" fillId="0" borderId="5" xfId="0" applyNumberFormat="1" applyFont="1" applyFill="1" applyBorder="1" applyAlignment="1" applyProtection="1">
      <alignment horizontal="center" vertical="top" wrapText="1" shrinkToFit="1"/>
    </xf>
    <xf numFmtId="49" fontId="47" fillId="0" borderId="5" xfId="0" applyNumberFormat="1" applyFont="1" applyFill="1" applyBorder="1" applyAlignment="1" applyProtection="1">
      <alignment horizontal="left" vertical="top" wrapText="1" shrinkToFit="1"/>
    </xf>
    <xf numFmtId="0" fontId="8" fillId="0" borderId="5" xfId="0" applyFont="1" applyFill="1" applyBorder="1" applyAlignment="1">
      <alignment horizontal="center" vertical="center" wrapText="1"/>
    </xf>
    <xf numFmtId="4" fontId="20" fillId="0" borderId="10" xfId="0" applyNumberFormat="1" applyFont="1" applyFill="1" applyBorder="1" applyAlignment="1" applyProtection="1">
      <alignment horizontal="justify" vertical="top" wrapText="1" shrinkToFit="1"/>
    </xf>
    <xf numFmtId="4" fontId="17" fillId="0" borderId="0" xfId="0" applyNumberFormat="1" applyFont="1" applyFill="1" applyBorder="1" applyAlignment="1" applyProtection="1">
      <alignment horizontal="justify" vertical="top" wrapText="1" shrinkToFit="1"/>
    </xf>
    <xf numFmtId="49" fontId="20" fillId="0" borderId="6" xfId="0" applyNumberFormat="1" applyFont="1" applyFill="1" applyBorder="1" applyAlignment="1" applyProtection="1">
      <alignment horizontal="justify" vertical="top" wrapText="1" shrinkToFit="1"/>
    </xf>
    <xf numFmtId="49" fontId="9" fillId="7" borderId="1" xfId="0" applyNumberFormat="1" applyFont="1" applyFill="1" applyBorder="1" applyAlignment="1" applyProtection="1">
      <alignment horizontal="justify" vertical="top" wrapText="1" shrinkToFit="1"/>
    </xf>
    <xf numFmtId="4" fontId="9" fillId="7" borderId="2" xfId="0" applyNumberFormat="1" applyFont="1" applyFill="1" applyBorder="1" applyAlignment="1" applyProtection="1">
      <alignment horizontal="justify" vertical="top" wrapText="1" shrinkToFit="1"/>
    </xf>
    <xf numFmtId="49" fontId="8" fillId="7" borderId="1" xfId="0" applyNumberFormat="1" applyFont="1" applyFill="1" applyBorder="1" applyAlignment="1" applyProtection="1">
      <alignment horizontal="center" vertical="top" wrapText="1" shrinkToFit="1"/>
    </xf>
    <xf numFmtId="49" fontId="9" fillId="4" borderId="3" xfId="0" applyNumberFormat="1" applyFont="1" applyFill="1" applyBorder="1" applyAlignment="1" applyProtection="1">
      <alignment horizontal="justify" vertical="top" wrapText="1" shrinkToFit="1"/>
    </xf>
    <xf numFmtId="49" fontId="8" fillId="4" borderId="2" xfId="0" applyNumberFormat="1" applyFont="1" applyFill="1" applyBorder="1" applyAlignment="1" applyProtection="1">
      <alignment horizontal="center" vertical="top" wrapText="1" shrinkToFit="1"/>
    </xf>
    <xf numFmtId="4" fontId="24" fillId="0" borderId="7" xfId="0" applyNumberFormat="1" applyFont="1" applyFill="1" applyBorder="1" applyAlignment="1" applyProtection="1">
      <alignment horizontal="justify" vertical="center"/>
    </xf>
    <xf numFmtId="49" fontId="4" fillId="0" borderId="0" xfId="0" applyNumberFormat="1" applyFont="1" applyFill="1" applyBorder="1" applyAlignment="1" applyProtection="1">
      <alignment horizontal="center" vertical="top" wrapText="1" shrinkToFit="1"/>
    </xf>
    <xf numFmtId="4" fontId="8" fillId="0" borderId="5" xfId="0" applyNumberFormat="1" applyFont="1" applyFill="1" applyBorder="1" applyAlignment="1" applyProtection="1">
      <alignment horizontal="justify" vertical="center"/>
    </xf>
    <xf numFmtId="0" fontId="17" fillId="0" borderId="5" xfId="0" quotePrefix="1" applyNumberFormat="1" applyFont="1" applyFill="1" applyBorder="1" applyAlignment="1" applyProtection="1">
      <alignment horizontal="justify" vertical="center"/>
    </xf>
    <xf numFmtId="0" fontId="17" fillId="0" borderId="5" xfId="0" applyNumberFormat="1" applyFont="1" applyFill="1" applyBorder="1" applyAlignment="1" applyProtection="1">
      <alignment horizontal="justify" vertical="center" wrapText="1"/>
    </xf>
    <xf numFmtId="49" fontId="48" fillId="0" borderId="4" xfId="0" applyNumberFormat="1" applyFont="1" applyFill="1" applyBorder="1" applyAlignment="1" applyProtection="1">
      <alignment horizontal="justify" vertical="top" wrapText="1" shrinkToFit="1"/>
    </xf>
    <xf numFmtId="4" fontId="8" fillId="0" borderId="7" xfId="0" applyNumberFormat="1" applyFont="1" applyFill="1" applyBorder="1" applyAlignment="1" applyProtection="1">
      <alignment horizontal="justify" vertical="top" wrapText="1" shrinkToFit="1"/>
    </xf>
    <xf numFmtId="49" fontId="8" fillId="0" borderId="9" xfId="0" applyNumberFormat="1" applyFont="1" applyFill="1" applyBorder="1" applyAlignment="1" applyProtection="1">
      <alignment horizontal="center" vertical="top" wrapText="1" shrinkToFit="1"/>
    </xf>
    <xf numFmtId="49" fontId="45" fillId="4" borderId="1" xfId="0" applyNumberFormat="1" applyFont="1" applyFill="1" applyBorder="1" applyAlignment="1" applyProtection="1">
      <alignment horizontal="center" vertical="top" wrapText="1" shrinkToFit="1"/>
    </xf>
    <xf numFmtId="49" fontId="45" fillId="0" borderId="5" xfId="0" applyNumberFormat="1" applyFont="1" applyFill="1" applyBorder="1" applyAlignment="1" applyProtection="1">
      <alignment horizontal="justify" vertical="top" wrapText="1" shrinkToFit="1"/>
    </xf>
    <xf numFmtId="0" fontId="46" fillId="0" borderId="5" xfId="0" applyFont="1" applyFill="1" applyBorder="1" applyAlignment="1">
      <alignment vertical="center" wrapText="1"/>
    </xf>
    <xf numFmtId="0" fontId="8" fillId="0" borderId="5" xfId="0" applyFont="1" applyFill="1" applyBorder="1" applyAlignment="1">
      <alignment vertical="center" wrapText="1"/>
    </xf>
    <xf numFmtId="49" fontId="20" fillId="0" borderId="5" xfId="0" applyNumberFormat="1" applyFont="1" applyFill="1" applyBorder="1" applyAlignment="1" applyProtection="1">
      <alignment horizontal="left" vertical="top" wrapText="1" shrinkToFit="1"/>
    </xf>
    <xf numFmtId="0" fontId="49" fillId="0" borderId="15" xfId="0" quotePrefix="1" applyFont="1" applyFill="1" applyBorder="1" applyAlignment="1">
      <alignment horizontal="justify" vertical="center" wrapText="1"/>
    </xf>
    <xf numFmtId="49" fontId="9" fillId="7" borderId="1" xfId="0" applyNumberFormat="1" applyFont="1" applyFill="1" applyBorder="1" applyAlignment="1" applyProtection="1">
      <alignment horizontal="left" vertical="top" wrapText="1" shrinkToFit="1"/>
    </xf>
    <xf numFmtId="4" fontId="9" fillId="7" borderId="1" xfId="0" applyNumberFormat="1" applyFont="1" applyFill="1" applyBorder="1" applyAlignment="1" applyProtection="1">
      <alignment horizontal="left" vertical="top" wrapText="1" shrinkToFit="1"/>
    </xf>
    <xf numFmtId="49" fontId="45" fillId="7" borderId="1" xfId="0" applyNumberFormat="1" applyFont="1" applyFill="1" applyBorder="1" applyAlignment="1" applyProtection="1">
      <alignment horizontal="center" vertical="top" wrapText="1" shrinkToFit="1"/>
    </xf>
    <xf numFmtId="49" fontId="9" fillId="8" borderId="1" xfId="0" applyNumberFormat="1" applyFont="1" applyFill="1" applyBorder="1" applyAlignment="1" applyProtection="1">
      <alignment horizontal="left" vertical="top" wrapText="1" shrinkToFit="1"/>
    </xf>
    <xf numFmtId="4" fontId="9" fillId="8" borderId="1" xfId="0" applyNumberFormat="1" applyFont="1" applyFill="1" applyBorder="1" applyAlignment="1" applyProtection="1">
      <alignment horizontal="left" vertical="top" wrapText="1" shrinkToFit="1"/>
    </xf>
    <xf numFmtId="49" fontId="45" fillId="8" borderId="1" xfId="0" applyNumberFormat="1" applyFont="1" applyFill="1" applyBorder="1" applyAlignment="1" applyProtection="1">
      <alignment horizontal="center" vertical="top" wrapText="1" shrinkToFit="1"/>
    </xf>
    <xf numFmtId="0" fontId="50" fillId="0" borderId="16" xfId="0" applyFont="1" applyFill="1" applyBorder="1" applyAlignment="1">
      <alignment vertical="center" wrapText="1"/>
    </xf>
    <xf numFmtId="0" fontId="50" fillId="0" borderId="15" xfId="0" applyFont="1" applyFill="1" applyBorder="1" applyAlignment="1">
      <alignment vertical="center" wrapText="1"/>
    </xf>
    <xf numFmtId="0" fontId="50" fillId="0" borderId="15" xfId="0" quotePrefix="1" applyFont="1" applyFill="1" applyBorder="1" applyAlignment="1">
      <alignment vertical="center" wrapText="1"/>
    </xf>
    <xf numFmtId="0" fontId="51" fillId="0" borderId="16" xfId="0" applyFont="1" applyFill="1" applyBorder="1" applyAlignment="1">
      <alignment horizontal="center" vertical="center" wrapText="1"/>
    </xf>
    <xf numFmtId="0" fontId="51" fillId="0" borderId="15" xfId="0" applyFont="1" applyFill="1" applyBorder="1" applyAlignment="1">
      <alignment horizontal="center" vertical="center" wrapText="1"/>
    </xf>
    <xf numFmtId="49" fontId="9" fillId="7" borderId="1" xfId="0" applyNumberFormat="1" applyFont="1" applyFill="1" applyBorder="1" applyAlignment="1" applyProtection="1">
      <alignment horizontal="center" vertical="top" wrapText="1" shrinkToFit="1"/>
    </xf>
    <xf numFmtId="49" fontId="9" fillId="0" borderId="5" xfId="0" applyNumberFormat="1" applyFont="1" applyFill="1" applyBorder="1" applyAlignment="1" applyProtection="1">
      <alignment horizontal="left" vertical="top" wrapText="1" shrinkToFit="1"/>
    </xf>
    <xf numFmtId="49" fontId="9" fillId="0" borderId="5" xfId="0" applyNumberFormat="1" applyFont="1" applyFill="1" applyBorder="1" applyAlignment="1" applyProtection="1">
      <alignment horizontal="center" vertical="top" wrapText="1" shrinkToFit="1"/>
    </xf>
    <xf numFmtId="0" fontId="41" fillId="0" borderId="5" xfId="0" applyFont="1" applyFill="1" applyBorder="1" applyAlignment="1">
      <alignment vertical="top" wrapText="1"/>
    </xf>
    <xf numFmtId="0" fontId="16" fillId="0" borderId="5" xfId="0" quotePrefix="1" applyFont="1" applyFill="1" applyBorder="1" applyAlignment="1">
      <alignment horizontal="justify" vertical="center"/>
    </xf>
    <xf numFmtId="0" fontId="16" fillId="0" borderId="5" xfId="0" applyFont="1" applyFill="1" applyBorder="1" applyAlignment="1">
      <alignment horizontal="justify" vertical="center"/>
    </xf>
    <xf numFmtId="0" fontId="20" fillId="0" borderId="5" xfId="0" applyFont="1" applyFill="1" applyBorder="1" applyAlignment="1">
      <alignment horizontal="justify" vertical="center" wrapText="1"/>
    </xf>
    <xf numFmtId="0" fontId="41" fillId="0" borderId="5" xfId="0" applyFont="1" applyFill="1" applyBorder="1" applyAlignment="1">
      <alignment horizontal="center" vertical="top" wrapText="1"/>
    </xf>
    <xf numFmtId="0" fontId="20" fillId="0" borderId="5" xfId="0" applyFont="1" applyBorder="1" applyAlignment="1">
      <alignment horizontal="justify" vertical="center" wrapText="1"/>
    </xf>
    <xf numFmtId="0" fontId="41" fillId="0" borderId="5" xfId="0" applyFont="1" applyBorder="1" applyAlignment="1">
      <alignment horizontal="center" vertical="top" wrapText="1"/>
    </xf>
    <xf numFmtId="0" fontId="41" fillId="0" borderId="6" xfId="0" applyFont="1" applyBorder="1" applyAlignment="1">
      <alignment horizontal="center" vertical="top" wrapText="1"/>
    </xf>
    <xf numFmtId="49" fontId="45" fillId="0" borderId="5" xfId="0" applyNumberFormat="1" applyFont="1" applyFill="1" applyBorder="1" applyAlignment="1">
      <alignment horizontal="left" vertical="top" wrapText="1" shrinkToFit="1"/>
    </xf>
    <xf numFmtId="49" fontId="45" fillId="0" borderId="5" xfId="0" applyNumberFormat="1" applyFont="1" applyFill="1" applyBorder="1" applyAlignment="1">
      <alignment horizontal="center" vertical="top" wrapText="1" shrinkToFit="1"/>
    </xf>
    <xf numFmtId="49" fontId="45" fillId="0" borderId="5" xfId="0" applyNumberFormat="1" applyFont="1" applyFill="1" applyBorder="1" applyAlignment="1">
      <alignment horizontal="justify" vertical="top" wrapText="1" shrinkToFit="1"/>
    </xf>
    <xf numFmtId="49" fontId="46" fillId="0" borderId="10" xfId="0" applyNumberFormat="1" applyFont="1" applyFill="1" applyBorder="1" applyAlignment="1">
      <alignment horizontal="center" vertical="top" wrapText="1" shrinkToFit="1"/>
    </xf>
    <xf numFmtId="49" fontId="46" fillId="0" borderId="5" xfId="0" applyNumberFormat="1" applyFont="1" applyFill="1" applyBorder="1" applyAlignment="1">
      <alignment horizontal="left" vertical="top" wrapText="1" shrinkToFit="1"/>
    </xf>
    <xf numFmtId="49" fontId="8" fillId="0" borderId="5" xfId="0" applyNumberFormat="1" applyFont="1" applyFill="1" applyBorder="1" applyAlignment="1">
      <alignment horizontal="center" vertical="top" wrapText="1" shrinkToFit="1"/>
    </xf>
    <xf numFmtId="4" fontId="17" fillId="0" borderId="4" xfId="0" applyNumberFormat="1" applyFont="1" applyFill="1" applyBorder="1" applyAlignment="1" applyProtection="1">
      <alignment horizontal="justify" vertical="top" wrapText="1" shrinkToFit="1"/>
    </xf>
    <xf numFmtId="0" fontId="8" fillId="0" borderId="5" xfId="0" applyFont="1" applyBorder="1" applyAlignment="1">
      <alignment vertical="center" wrapText="1"/>
    </xf>
    <xf numFmtId="0" fontId="13" fillId="0" borderId="5" xfId="0" applyFont="1" applyBorder="1" applyAlignment="1">
      <alignment vertical="center" wrapText="1"/>
    </xf>
    <xf numFmtId="49" fontId="8" fillId="2" borderId="5" xfId="0" applyNumberFormat="1" applyFont="1" applyFill="1" applyBorder="1" applyAlignment="1" applyProtection="1">
      <alignment horizontal="justify" vertical="center" wrapText="1" shrinkToFit="1"/>
    </xf>
    <xf numFmtId="4" fontId="8" fillId="2" borderId="5" xfId="0" applyNumberFormat="1" applyFont="1" applyFill="1" applyBorder="1" applyAlignment="1" applyProtection="1">
      <alignment horizontal="justify" vertical="center" wrapText="1" shrinkToFit="1"/>
    </xf>
    <xf numFmtId="0" fontId="20" fillId="0" borderId="5" xfId="0" applyFont="1" applyBorder="1" applyAlignment="1">
      <alignment horizontal="center" vertical="center" wrapText="1"/>
    </xf>
    <xf numFmtId="0" fontId="52" fillId="0" borderId="5" xfId="0" applyFont="1" applyBorder="1" applyAlignment="1">
      <alignment vertical="top" wrapText="1"/>
    </xf>
    <xf numFmtId="0" fontId="8" fillId="0" borderId="5" xfId="0" applyFont="1" applyBorder="1" applyAlignment="1">
      <alignment horizontal="center" vertical="center" wrapText="1"/>
    </xf>
    <xf numFmtId="49" fontId="8" fillId="0" borderId="5" xfId="0" applyNumberFormat="1" applyFont="1" applyFill="1" applyBorder="1" applyAlignment="1" applyProtection="1">
      <alignment horizontal="justify" vertical="center" wrapText="1" shrinkToFit="1"/>
    </xf>
    <xf numFmtId="4" fontId="8" fillId="0" borderId="5" xfId="0" applyNumberFormat="1" applyFont="1" applyFill="1" applyBorder="1" applyAlignment="1" applyProtection="1">
      <alignment horizontal="justify" vertical="center" wrapText="1" shrinkToFit="1"/>
    </xf>
    <xf numFmtId="0" fontId="41" fillId="0" borderId="5" xfId="0" applyFont="1" applyBorder="1" applyAlignment="1">
      <alignment vertical="top" wrapText="1"/>
    </xf>
    <xf numFmtId="0" fontId="52" fillId="0" borderId="6" xfId="0" applyFont="1" applyBorder="1" applyAlignment="1">
      <alignment vertical="top" wrapText="1"/>
    </xf>
    <xf numFmtId="0" fontId="8" fillId="0" borderId="6" xfId="0" applyFont="1" applyBorder="1" applyAlignment="1">
      <alignment horizontal="center" vertical="center" wrapText="1"/>
    </xf>
    <xf numFmtId="0" fontId="30" fillId="0" borderId="5" xfId="0" applyFont="1" applyBorder="1" applyAlignment="1">
      <alignment vertical="center" wrapText="1"/>
    </xf>
    <xf numFmtId="0" fontId="16" fillId="0" borderId="5" xfId="0" quotePrefix="1" applyFont="1" applyBorder="1" applyAlignment="1">
      <alignment horizontal="justify" vertical="center" wrapText="1"/>
    </xf>
    <xf numFmtId="0" fontId="9" fillId="0" borderId="5" xfId="0" applyFont="1" applyBorder="1" applyAlignment="1">
      <alignment horizontal="center" vertical="center" wrapText="1"/>
    </xf>
    <xf numFmtId="0" fontId="8" fillId="0" borderId="5" xfId="0" applyFont="1" applyBorder="1" applyAlignment="1">
      <alignment horizontal="justify" vertical="center" wrapText="1"/>
    </xf>
    <xf numFmtId="0" fontId="17" fillId="0" borderId="6" xfId="0" applyNumberFormat="1" applyFont="1" applyFill="1" applyBorder="1" applyAlignment="1" applyProtection="1">
      <alignment horizontal="justify" vertical="center"/>
    </xf>
    <xf numFmtId="0" fontId="41" fillId="0" borderId="6" xfId="0" applyFont="1" applyBorder="1" applyAlignment="1">
      <alignment vertical="top" wrapText="1"/>
    </xf>
    <xf numFmtId="0" fontId="8" fillId="0" borderId="17" xfId="0" applyFont="1" applyBorder="1" applyAlignment="1">
      <alignment horizontal="center" vertical="center" wrapText="1"/>
    </xf>
    <xf numFmtId="49" fontId="9" fillId="0" borderId="6" xfId="0" applyNumberFormat="1" applyFont="1" applyFill="1" applyBorder="1" applyAlignment="1" applyProtection="1">
      <alignment horizontal="left" vertical="top" wrapText="1" shrinkToFit="1"/>
    </xf>
    <xf numFmtId="0" fontId="6" fillId="0" borderId="0" xfId="3" applyAlignment="1">
      <alignment horizontal="left" vertical="top" wrapText="1"/>
    </xf>
    <xf numFmtId="4" fontId="8" fillId="0" borderId="10" xfId="0" applyNumberFormat="1" applyFont="1" applyFill="1" applyBorder="1" applyAlignment="1" applyProtection="1">
      <alignment horizontal="justify" vertical="top" wrapText="1" shrinkToFit="1"/>
    </xf>
    <xf numFmtId="49" fontId="8" fillId="0" borderId="7" xfId="0" applyNumberFormat="1" applyFont="1" applyFill="1" applyBorder="1" applyAlignment="1" applyProtection="1">
      <alignment horizontal="justify" vertical="top" wrapText="1" shrinkToFit="1"/>
    </xf>
    <xf numFmtId="4" fontId="8" fillId="0" borderId="9" xfId="0" applyNumberFormat="1" applyFont="1" applyFill="1" applyBorder="1" applyAlignment="1" applyProtection="1">
      <alignment horizontal="justify" vertical="top" wrapText="1" shrinkToFit="1"/>
    </xf>
    <xf numFmtId="49" fontId="8" fillId="0" borderId="7" xfId="0" applyNumberFormat="1" applyFont="1" applyFill="1" applyBorder="1" applyAlignment="1" applyProtection="1">
      <alignment horizontal="center" vertical="top" wrapText="1" shrinkToFit="1"/>
    </xf>
    <xf numFmtId="49" fontId="15" fillId="0" borderId="5" xfId="0" applyNumberFormat="1" applyFont="1" applyFill="1" applyBorder="1" applyAlignment="1" applyProtection="1">
      <alignment horizontal="center" vertical="top" wrapText="1" shrinkToFit="1"/>
    </xf>
    <xf numFmtId="49" fontId="5" fillId="0" borderId="6" xfId="0" applyNumberFormat="1" applyFont="1" applyFill="1" applyBorder="1" applyAlignment="1" applyProtection="1">
      <alignment horizontal="justify" vertical="top" wrapText="1" shrinkToFit="1"/>
    </xf>
    <xf numFmtId="49" fontId="5" fillId="0" borderId="5" xfId="0" applyNumberFormat="1" applyFont="1" applyFill="1" applyBorder="1" applyAlignment="1" applyProtection="1">
      <alignment horizontal="justify" vertical="top" wrapText="1" shrinkToFit="1"/>
    </xf>
    <xf numFmtId="0" fontId="24" fillId="0" borderId="0" xfId="0" applyNumberFormat="1" applyFont="1" applyFill="1" applyBorder="1" applyAlignment="1" applyProtection="1">
      <alignment horizontal="justify" vertical="center"/>
    </xf>
    <xf numFmtId="0" fontId="26" fillId="0" borderId="0" xfId="0" applyNumberFormat="1" applyFont="1" applyFill="1" applyBorder="1" applyAlignment="1" applyProtection="1">
      <alignment horizontal="justify" vertical="center"/>
    </xf>
    <xf numFmtId="4" fontId="24" fillId="0" borderId="0" xfId="0" applyNumberFormat="1" applyFont="1" applyFill="1" applyBorder="1" applyAlignment="1" applyProtection="1">
      <alignment horizontal="justify" vertical="top" wrapText="1" shrinkToFit="1"/>
    </xf>
    <xf numFmtId="0" fontId="30" fillId="0" borderId="18" xfId="0" applyFont="1" applyFill="1" applyBorder="1" applyAlignment="1">
      <alignment vertical="center" wrapText="1"/>
    </xf>
    <xf numFmtId="49" fontId="20" fillId="0" borderId="7" xfId="0" applyNumberFormat="1" applyFont="1" applyFill="1" applyBorder="1" applyAlignment="1" applyProtection="1">
      <alignment horizontal="justify" vertical="top" wrapText="1" shrinkToFit="1"/>
    </xf>
    <xf numFmtId="4" fontId="20" fillId="0" borderId="12" xfId="0" applyNumberFormat="1" applyFont="1" applyFill="1" applyBorder="1" applyAlignment="1" applyProtection="1">
      <alignment horizontal="justify" vertical="top" wrapText="1" shrinkToFit="1"/>
    </xf>
    <xf numFmtId="0" fontId="32" fillId="0" borderId="7" xfId="0" applyFont="1" applyFill="1" applyBorder="1" applyAlignment="1">
      <alignment vertical="center" wrapText="1"/>
    </xf>
    <xf numFmtId="0" fontId="32" fillId="0" borderId="5" xfId="0" applyFont="1" applyFill="1" applyBorder="1" applyAlignment="1">
      <alignment vertical="center" wrapText="1"/>
    </xf>
    <xf numFmtId="49" fontId="26" fillId="0" borderId="5" xfId="0" applyNumberFormat="1" applyFont="1" applyFill="1" applyBorder="1" applyAlignment="1" applyProtection="1">
      <alignment horizontal="justify" vertical="top" wrapText="1" shrinkToFit="1"/>
    </xf>
    <xf numFmtId="4" fontId="26" fillId="0" borderId="0" xfId="0" applyNumberFormat="1" applyFont="1" applyFill="1" applyBorder="1" applyAlignment="1" applyProtection="1">
      <alignment horizontal="justify" vertical="top" wrapText="1" shrinkToFit="1"/>
    </xf>
    <xf numFmtId="49" fontId="24" fillId="0" borderId="5" xfId="0" applyNumberFormat="1" applyFont="1" applyFill="1" applyBorder="1" applyAlignment="1" applyProtection="1">
      <alignment horizontal="center" vertical="top" wrapText="1" shrinkToFit="1"/>
    </xf>
    <xf numFmtId="4" fontId="8" fillId="0" borderId="5" xfId="0" applyNumberFormat="1" applyFont="1" applyFill="1" applyBorder="1" applyAlignment="1" applyProtection="1">
      <alignment horizontal="left" vertical="top" wrapText="1" shrinkToFit="1"/>
    </xf>
    <xf numFmtId="49" fontId="8" fillId="0" borderId="6" xfId="0" applyNumberFormat="1" applyFont="1" applyFill="1" applyBorder="1" applyAlignment="1" applyProtection="1">
      <alignment horizontal="left" vertical="top" wrapText="1" shrinkToFit="1"/>
    </xf>
    <xf numFmtId="4" fontId="8" fillId="0" borderId="0" xfId="0" applyNumberFormat="1" applyFont="1" applyFill="1" applyBorder="1" applyAlignment="1">
      <alignment horizontal="justify" vertical="top" wrapText="1" shrinkToFit="1"/>
    </xf>
    <xf numFmtId="0" fontId="19" fillId="0" borderId="4" xfId="0" applyFont="1" applyFill="1" applyBorder="1" applyAlignment="1">
      <alignment vertical="center" wrapText="1"/>
    </xf>
    <xf numFmtId="0" fontId="20" fillId="0" borderId="4" xfId="0" applyFont="1" applyFill="1" applyBorder="1" applyAlignment="1">
      <alignment horizontal="left" vertical="center" wrapText="1"/>
    </xf>
    <xf numFmtId="0" fontId="41" fillId="0" borderId="4" xfId="0" applyFont="1" applyFill="1" applyBorder="1" applyAlignment="1">
      <alignment horizontal="left" vertical="top" wrapText="1"/>
    </xf>
    <xf numFmtId="0" fontId="41" fillId="0" borderId="4" xfId="0" applyFont="1" applyFill="1" applyBorder="1" applyAlignment="1">
      <alignment vertical="top" wrapText="1"/>
    </xf>
    <xf numFmtId="0" fontId="3" fillId="0" borderId="4" xfId="0" applyNumberFormat="1" applyFont="1" applyFill="1" applyBorder="1" applyAlignment="1" applyProtection="1">
      <alignment horizontal="justify" vertical="top" wrapText="1" shrinkToFit="1"/>
    </xf>
    <xf numFmtId="0" fontId="8" fillId="0" borderId="4" xfId="0" applyFont="1" applyFill="1" applyBorder="1" applyAlignment="1">
      <alignment vertical="center" wrapText="1"/>
    </xf>
    <xf numFmtId="0" fontId="39" fillId="0" borderId="18" xfId="0" applyFont="1" applyFill="1" applyBorder="1" applyAlignment="1">
      <alignment vertical="top" wrapText="1"/>
    </xf>
    <xf numFmtId="0" fontId="39" fillId="0" borderId="20" xfId="0" applyFont="1" applyFill="1" applyBorder="1" applyAlignment="1">
      <alignment vertical="top" wrapText="1"/>
    </xf>
    <xf numFmtId="0" fontId="53" fillId="0" borderId="20" xfId="0" applyFont="1" applyFill="1" applyBorder="1" applyAlignment="1">
      <alignment horizontal="center" vertical="center" wrapText="1"/>
    </xf>
    <xf numFmtId="0" fontId="53" fillId="0" borderId="18" xfId="0" applyFont="1" applyFill="1" applyBorder="1" applyAlignment="1">
      <alignment horizontal="center" vertical="center" wrapText="1"/>
    </xf>
    <xf numFmtId="0" fontId="30" fillId="0" borderId="20" xfId="0" applyFont="1" applyBorder="1" applyAlignment="1">
      <alignment vertical="center" wrapText="1"/>
    </xf>
    <xf numFmtId="0" fontId="30" fillId="0" borderId="18" xfId="0" applyFont="1" applyBorder="1" applyAlignment="1">
      <alignment vertical="center" wrapText="1"/>
    </xf>
    <xf numFmtId="0" fontId="30" fillId="0" borderId="22" xfId="0" applyFont="1" applyBorder="1" applyAlignment="1">
      <alignment vertical="center" wrapText="1"/>
    </xf>
    <xf numFmtId="0" fontId="8" fillId="2" borderId="0" xfId="0" applyNumberFormat="1" applyFont="1" applyFill="1" applyBorder="1" applyAlignment="1" applyProtection="1">
      <alignment horizontal="center" vertical="top" wrapText="1"/>
      <protection locked="0"/>
    </xf>
    <xf numFmtId="166" fontId="8" fillId="2" borderId="1" xfId="0" applyNumberFormat="1" applyFont="1" applyFill="1" applyBorder="1" applyAlignment="1" applyProtection="1">
      <alignment horizontal="center" vertical="top" wrapText="1"/>
      <protection locked="0"/>
    </xf>
    <xf numFmtId="166" fontId="9" fillId="3" borderId="1" xfId="0" applyNumberFormat="1" applyFont="1" applyFill="1" applyBorder="1" applyAlignment="1" applyProtection="1">
      <alignment horizontal="center" vertical="top" wrapText="1" shrinkToFit="1"/>
      <protection locked="0"/>
    </xf>
    <xf numFmtId="166" fontId="9" fillId="4" borderId="1" xfId="0" applyNumberFormat="1" applyFont="1" applyFill="1" applyBorder="1" applyAlignment="1" applyProtection="1">
      <alignment horizontal="center" vertical="top" wrapText="1" shrinkToFit="1"/>
      <protection locked="0"/>
    </xf>
    <xf numFmtId="166" fontId="8" fillId="2" borderId="0" xfId="0" applyNumberFormat="1" applyFont="1" applyFill="1" applyBorder="1" applyAlignment="1" applyProtection="1">
      <alignment horizontal="center" vertical="top" wrapText="1"/>
    </xf>
    <xf numFmtId="0" fontId="1" fillId="0" borderId="0" xfId="0" applyNumberFormat="1" applyFont="1" applyFill="1" applyBorder="1" applyAlignment="1" applyProtection="1">
      <alignment vertical="top"/>
    </xf>
    <xf numFmtId="49" fontId="1" fillId="0" borderId="0" xfId="0" applyNumberFormat="1" applyFont="1" applyFill="1" applyBorder="1" applyAlignment="1" applyProtection="1">
      <alignment vertical="top"/>
    </xf>
    <xf numFmtId="165" fontId="1" fillId="0" borderId="0" xfId="0" applyNumberFormat="1" applyFont="1" applyFill="1" applyBorder="1" applyAlignment="1" applyProtection="1">
      <alignment horizontal="right" vertical="top"/>
    </xf>
    <xf numFmtId="164" fontId="1" fillId="0" borderId="0" xfId="0" applyNumberFormat="1" applyFont="1" applyFill="1" applyBorder="1" applyAlignment="1" applyProtection="1">
      <alignment vertical="top"/>
    </xf>
    <xf numFmtId="0" fontId="4" fillId="0" borderId="0" xfId="0" applyNumberFormat="1" applyFont="1" applyFill="1" applyBorder="1" applyAlignment="1" applyProtection="1">
      <alignment horizontal="justify" vertical="top" wrapText="1" shrinkToFit="1"/>
    </xf>
    <xf numFmtId="0" fontId="41" fillId="0" borderId="0" xfId="0" applyFont="1" applyBorder="1" applyAlignment="1"/>
    <xf numFmtId="49" fontId="8" fillId="0" borderId="19" xfId="0" applyNumberFormat="1" applyFont="1" applyFill="1" applyBorder="1" applyAlignment="1" applyProtection="1">
      <alignment horizontal="center" vertical="top" wrapText="1" shrinkToFit="1"/>
    </xf>
    <xf numFmtId="4" fontId="9" fillId="4" borderId="6" xfId="0" applyNumberFormat="1" applyFont="1" applyFill="1" applyBorder="1" applyAlignment="1" applyProtection="1">
      <alignment horizontal="left" vertical="top" wrapText="1" shrinkToFit="1"/>
    </xf>
    <xf numFmtId="0" fontId="9" fillId="4" borderId="6" xfId="0" applyNumberFormat="1" applyFont="1" applyFill="1" applyBorder="1" applyAlignment="1" applyProtection="1">
      <alignment horizontal="center" vertical="top" wrapText="1" shrinkToFit="1"/>
    </xf>
    <xf numFmtId="49" fontId="8" fillId="0" borderId="23" xfId="0" applyNumberFormat="1" applyFont="1" applyFill="1" applyBorder="1" applyAlignment="1" applyProtection="1">
      <alignment horizontal="center" vertical="top" wrapText="1" shrinkToFit="1"/>
    </xf>
    <xf numFmtId="4" fontId="1" fillId="0" borderId="0" xfId="0" applyNumberFormat="1" applyFont="1" applyFill="1" applyBorder="1" applyAlignment="1" applyProtection="1">
      <alignment horizontal="justify" vertical="top" wrapText="1" shrinkToFit="1"/>
    </xf>
    <xf numFmtId="0" fontId="5" fillId="10" borderId="0" xfId="0" applyNumberFormat="1" applyFont="1" applyFill="1" applyBorder="1" applyAlignment="1" applyProtection="1">
      <alignment horizontal="justify" vertical="top" wrapText="1" shrinkToFit="1"/>
    </xf>
    <xf numFmtId="0" fontId="56" fillId="0" borderId="0" xfId="0" applyNumberFormat="1" applyFont="1" applyFill="1" applyBorder="1" applyAlignment="1" applyProtection="1">
      <alignment vertical="top"/>
    </xf>
    <xf numFmtId="4" fontId="9" fillId="8" borderId="0" xfId="0" applyNumberFormat="1" applyFont="1" applyFill="1" applyBorder="1" applyAlignment="1" applyProtection="1">
      <alignment horizontal="justify" vertical="top" wrapText="1" shrinkToFit="1"/>
    </xf>
    <xf numFmtId="49" fontId="8" fillId="8" borderId="0" xfId="0" applyNumberFormat="1" applyFont="1" applyFill="1" applyBorder="1" applyAlignment="1" applyProtection="1">
      <alignment horizontal="center" vertical="top" wrapText="1" shrinkToFit="1"/>
    </xf>
    <xf numFmtId="49" fontId="8" fillId="8" borderId="0" xfId="0" applyNumberFormat="1" applyFont="1" applyFill="1" applyBorder="1" applyAlignment="1" applyProtection="1">
      <alignment horizontal="left" vertical="top" wrapText="1" shrinkToFit="1"/>
    </xf>
    <xf numFmtId="49" fontId="8" fillId="0" borderId="1" xfId="0" applyNumberFormat="1" applyFont="1" applyFill="1" applyBorder="1" applyAlignment="1" applyProtection="1">
      <alignment horizontal="center" vertical="top" shrinkToFit="1"/>
    </xf>
    <xf numFmtId="0" fontId="3" fillId="2" borderId="1" xfId="0" applyNumberFormat="1" applyFont="1" applyFill="1" applyBorder="1" applyAlignment="1" applyProtection="1">
      <alignment horizontal="justify" vertical="top"/>
    </xf>
    <xf numFmtId="0" fontId="4" fillId="2" borderId="1" xfId="0" applyNumberFormat="1" applyFont="1" applyFill="1" applyBorder="1" applyAlignment="1" applyProtection="1">
      <alignment horizontal="center" vertical="top"/>
    </xf>
    <xf numFmtId="4" fontId="1" fillId="0" borderId="0" xfId="0" applyNumberFormat="1" applyFont="1" applyFill="1" applyBorder="1" applyAlignment="1" applyProtection="1">
      <alignment horizontal="justify" vertical="center" wrapText="1" shrinkToFit="1"/>
    </xf>
    <xf numFmtId="4" fontId="1" fillId="0" borderId="0" xfId="0" applyNumberFormat="1" applyFont="1" applyFill="1" applyBorder="1" applyAlignment="1" applyProtection="1">
      <alignment horizontal="left" vertical="top" wrapText="1" shrinkToFit="1"/>
    </xf>
    <xf numFmtId="49" fontId="1" fillId="0" borderId="0" xfId="0" applyNumberFormat="1" applyFont="1" applyFill="1" applyBorder="1" applyAlignment="1" applyProtection="1">
      <alignment horizontal="left" vertical="top" wrapText="1" shrinkToFit="1"/>
    </xf>
    <xf numFmtId="49" fontId="1" fillId="0" borderId="0" xfId="0" applyNumberFormat="1" applyFont="1" applyFill="1" applyBorder="1" applyAlignment="1" applyProtection="1">
      <alignment horizontal="justify" vertical="top" wrapText="1" shrinkToFit="1"/>
    </xf>
    <xf numFmtId="0" fontId="1" fillId="0" borderId="12" xfId="0" applyNumberFormat="1" applyFont="1" applyFill="1" applyBorder="1" applyAlignment="1" applyProtection="1">
      <alignment horizontal="justify" vertical="center"/>
    </xf>
    <xf numFmtId="0" fontId="1" fillId="0" borderId="4" xfId="0" applyNumberFormat="1" applyFont="1" applyFill="1" applyBorder="1" applyAlignment="1" applyProtection="1">
      <alignment horizontal="justify" vertical="center"/>
    </xf>
    <xf numFmtId="0" fontId="1" fillId="0" borderId="0" xfId="0" applyNumberFormat="1" applyFont="1" applyFill="1" applyBorder="1" applyAlignment="1" applyProtection="1">
      <alignment horizontal="justify" vertical="center"/>
    </xf>
    <xf numFmtId="4" fontId="1" fillId="0" borderId="4" xfId="0" applyNumberFormat="1" applyFont="1" applyFill="1" applyBorder="1" applyAlignment="1" applyProtection="1">
      <alignment horizontal="justify" vertical="top" wrapText="1" shrinkToFit="1"/>
    </xf>
    <xf numFmtId="4" fontId="1" fillId="0" borderId="8" xfId="0" applyNumberFormat="1" applyFont="1" applyFill="1" applyBorder="1" applyAlignment="1" applyProtection="1">
      <alignment horizontal="justify" vertical="top" wrapText="1" shrinkToFit="1"/>
    </xf>
    <xf numFmtId="4" fontId="1" fillId="0" borderId="5" xfId="0" applyNumberFormat="1" applyFont="1" applyFill="1" applyBorder="1" applyAlignment="1" applyProtection="1">
      <alignment horizontal="justify" vertical="top" wrapText="1" shrinkToFit="1"/>
    </xf>
    <xf numFmtId="49" fontId="1" fillId="0" borderId="5" xfId="0" applyNumberFormat="1" applyFont="1" applyFill="1" applyBorder="1" applyAlignment="1" applyProtection="1">
      <alignment horizontal="justify" vertical="top" wrapText="1" shrinkToFit="1"/>
    </xf>
    <xf numFmtId="0" fontId="1" fillId="0" borderId="0" xfId="0" applyNumberFormat="1" applyFont="1" applyFill="1" applyBorder="1" applyAlignment="1" applyProtection="1">
      <alignment horizontal="justify" vertical="center" wrapText="1"/>
    </xf>
    <xf numFmtId="0" fontId="1" fillId="0" borderId="5" xfId="0" applyFont="1" applyFill="1" applyBorder="1" applyAlignment="1">
      <alignment horizontal="justify" wrapText="1"/>
    </xf>
    <xf numFmtId="0" fontId="1" fillId="0" borderId="5" xfId="0" quotePrefix="1" applyFont="1" applyFill="1" applyBorder="1" applyAlignment="1">
      <alignment horizontal="justify" wrapText="1"/>
    </xf>
    <xf numFmtId="0" fontId="1" fillId="0" borderId="5" xfId="0" applyFont="1" applyFill="1" applyBorder="1" applyAlignment="1">
      <alignment horizontal="justify" vertical="justify" wrapText="1"/>
    </xf>
    <xf numFmtId="4" fontId="1" fillId="0" borderId="0" xfId="0" quotePrefix="1" applyNumberFormat="1" applyFont="1" applyFill="1" applyBorder="1" applyAlignment="1" applyProtection="1">
      <alignment horizontal="left" vertical="center" wrapText="1" shrinkToFit="1"/>
    </xf>
    <xf numFmtId="0" fontId="1" fillId="0" borderId="0" xfId="0" quotePrefix="1" applyFont="1" applyFill="1" applyBorder="1" applyAlignment="1">
      <alignment horizontal="justify" wrapText="1"/>
    </xf>
    <xf numFmtId="0" fontId="1" fillId="0" borderId="5" xfId="0" quotePrefix="1" applyFont="1" applyFill="1" applyBorder="1" applyAlignment="1">
      <alignment horizontal="left" wrapText="1"/>
    </xf>
    <xf numFmtId="0" fontId="1" fillId="0" borderId="0" xfId="0" quotePrefix="1" applyFont="1" applyFill="1" applyBorder="1" applyAlignment="1">
      <alignment horizontal="justify" vertical="center" wrapText="1"/>
    </xf>
    <xf numFmtId="4" fontId="1" fillId="0" borderId="23" xfId="0" applyNumberFormat="1" applyFont="1" applyFill="1" applyBorder="1" applyAlignment="1" applyProtection="1">
      <alignment horizontal="justify" vertical="top" wrapText="1" shrinkToFit="1"/>
    </xf>
    <xf numFmtId="4" fontId="1" fillId="0" borderId="5" xfId="0" applyNumberFormat="1" applyFont="1" applyFill="1" applyBorder="1" applyAlignment="1" applyProtection="1">
      <alignment horizontal="justify" vertical="center" wrapText="1" shrinkToFit="1"/>
    </xf>
    <xf numFmtId="0" fontId="1" fillId="0" borderId="5" xfId="0" applyNumberFormat="1" applyFont="1" applyFill="1" applyBorder="1" applyAlignment="1" applyProtection="1">
      <alignment horizontal="justify" vertical="center"/>
    </xf>
    <xf numFmtId="0" fontId="1" fillId="0" borderId="5" xfId="0" applyNumberFormat="1" applyFont="1" applyFill="1" applyBorder="1" applyAlignment="1" applyProtection="1">
      <alignment horizontal="justify" vertical="top" wrapText="1"/>
    </xf>
    <xf numFmtId="0" fontId="1" fillId="0" borderId="4" xfId="0" applyNumberFormat="1" applyFont="1" applyFill="1" applyBorder="1" applyAlignment="1" applyProtection="1">
      <alignment horizontal="justify" vertical="top" wrapText="1"/>
    </xf>
    <xf numFmtId="49" fontId="1" fillId="0" borderId="5" xfId="0" applyNumberFormat="1" applyFont="1" applyFill="1" applyBorder="1" applyAlignment="1" applyProtection="1">
      <alignment horizontal="left" vertical="top" wrapText="1" shrinkToFit="1"/>
    </xf>
    <xf numFmtId="0" fontId="1" fillId="0" borderId="15" xfId="0" applyFont="1" applyFill="1" applyBorder="1" applyAlignment="1">
      <alignment horizontal="justify" vertical="center" wrapText="1"/>
    </xf>
    <xf numFmtId="0" fontId="1" fillId="0" borderId="15" xfId="0" quotePrefix="1" applyFont="1" applyFill="1" applyBorder="1" applyAlignment="1">
      <alignment horizontal="justify" vertical="center" wrapText="1"/>
    </xf>
    <xf numFmtId="4" fontId="1" fillId="0" borderId="11" xfId="0" applyNumberFormat="1" applyFont="1" applyFill="1" applyBorder="1" applyAlignment="1" applyProtection="1">
      <alignment horizontal="justify" vertical="top" wrapText="1" shrinkToFit="1"/>
    </xf>
    <xf numFmtId="49" fontId="1" fillId="0" borderId="6" xfId="0" applyNumberFormat="1" applyFont="1" applyFill="1" applyBorder="1" applyAlignment="1" applyProtection="1">
      <alignment horizontal="justify" vertical="top" wrapText="1" shrinkToFit="1"/>
    </xf>
    <xf numFmtId="4" fontId="1" fillId="0" borderId="10" xfId="0" applyNumberFormat="1" applyFont="1" applyFill="1" applyBorder="1" applyAlignment="1" applyProtection="1">
      <alignment horizontal="justify" vertical="top" wrapText="1" shrinkToFit="1"/>
    </xf>
    <xf numFmtId="0" fontId="1" fillId="0" borderId="5" xfId="0" applyFont="1" applyFill="1" applyBorder="1" applyAlignment="1">
      <alignment horizontal="left"/>
    </xf>
    <xf numFmtId="4" fontId="1" fillId="0" borderId="0" xfId="0" quotePrefix="1" applyNumberFormat="1" applyFont="1" applyFill="1" applyBorder="1" applyAlignment="1" applyProtection="1">
      <alignment horizontal="justify" vertical="top" wrapText="1" shrinkToFit="1"/>
    </xf>
    <xf numFmtId="49" fontId="1" fillId="2" borderId="5" xfId="0" applyNumberFormat="1" applyFont="1" applyFill="1" applyBorder="1" applyAlignment="1" applyProtection="1">
      <alignment horizontal="justify" vertical="top" wrapText="1" shrinkToFit="1"/>
    </xf>
    <xf numFmtId="4" fontId="1" fillId="2" borderId="0" xfId="0" applyNumberFormat="1" applyFont="1" applyFill="1" applyBorder="1" applyAlignment="1" applyProtection="1">
      <alignment horizontal="justify" vertical="top" wrapText="1" shrinkToFit="1"/>
    </xf>
    <xf numFmtId="4" fontId="1" fillId="2" borderId="10" xfId="0" applyNumberFormat="1" applyFont="1" applyFill="1" applyBorder="1" applyAlignment="1" applyProtection="1">
      <alignment horizontal="justify" vertical="top" wrapText="1" shrinkToFit="1"/>
    </xf>
    <xf numFmtId="4" fontId="1" fillId="2" borderId="5" xfId="0" applyNumberFormat="1" applyFont="1" applyFill="1" applyBorder="1" applyAlignment="1" applyProtection="1">
      <alignment horizontal="justify" vertical="top" wrapText="1" shrinkToFit="1"/>
    </xf>
    <xf numFmtId="4" fontId="1" fillId="0" borderId="0" xfId="0" applyNumberFormat="1" applyFont="1" applyFill="1" applyBorder="1" applyAlignment="1">
      <alignment horizontal="justify" vertical="top" wrapText="1" shrinkToFit="1"/>
    </xf>
    <xf numFmtId="4" fontId="1" fillId="0" borderId="6" xfId="0" applyNumberFormat="1" applyFont="1" applyFill="1" applyBorder="1" applyAlignment="1" applyProtection="1">
      <alignment horizontal="justify" vertical="top" wrapText="1" shrinkToFit="1"/>
    </xf>
    <xf numFmtId="49" fontId="1" fillId="0" borderId="5" xfId="0" applyNumberFormat="1" applyFont="1" applyFill="1" applyBorder="1" applyAlignment="1" applyProtection="1">
      <alignment vertical="top" wrapText="1" shrinkToFit="1"/>
    </xf>
    <xf numFmtId="49" fontId="1" fillId="2" borderId="1" xfId="0" applyNumberFormat="1" applyFont="1" applyFill="1" applyBorder="1" applyAlignment="1" applyProtection="1">
      <alignment horizontal="justify" vertical="top" wrapText="1" shrinkToFit="1"/>
    </xf>
    <xf numFmtId="4" fontId="1" fillId="2" borderId="2" xfId="0" applyNumberFormat="1" applyFont="1" applyFill="1" applyBorder="1" applyAlignment="1" applyProtection="1">
      <alignment horizontal="justify" vertical="top" wrapText="1" shrinkToFit="1"/>
    </xf>
    <xf numFmtId="4" fontId="1" fillId="0" borderId="13" xfId="0" applyNumberFormat="1" applyFont="1" applyFill="1" applyBorder="1" applyAlignment="1" applyProtection="1">
      <alignment horizontal="justify" vertical="top" wrapText="1" shrinkToFit="1"/>
    </xf>
    <xf numFmtId="0" fontId="1" fillId="0" borderId="5" xfId="0" quotePrefix="1" applyFont="1" applyFill="1" applyBorder="1" applyAlignment="1">
      <alignment vertical="center" wrapText="1"/>
    </xf>
    <xf numFmtId="0" fontId="1" fillId="0" borderId="5" xfId="0" applyFont="1" applyFill="1" applyBorder="1" applyAlignment="1">
      <alignment vertical="center" wrapText="1"/>
    </xf>
    <xf numFmtId="0" fontId="1" fillId="0" borderId="5" xfId="0" applyFont="1" applyFill="1" applyBorder="1" applyAlignment="1">
      <alignment horizontal="justify" vertical="center" wrapText="1"/>
    </xf>
    <xf numFmtId="0" fontId="1" fillId="0" borderId="5" xfId="0" quotePrefix="1" applyFont="1" applyFill="1" applyBorder="1" applyAlignment="1">
      <alignment horizontal="justify" vertical="center" wrapText="1"/>
    </xf>
    <xf numFmtId="49" fontId="1" fillId="0" borderId="0" xfId="0" quotePrefix="1" applyNumberFormat="1" applyFont="1" applyFill="1" applyBorder="1" applyAlignment="1">
      <alignment horizontal="justify" vertical="center" wrapText="1"/>
    </xf>
    <xf numFmtId="49" fontId="1" fillId="0" borderId="0" xfId="0" applyNumberFormat="1" applyFont="1" applyFill="1" applyBorder="1" applyAlignment="1">
      <alignment horizontal="justify" vertical="center" wrapText="1"/>
    </xf>
    <xf numFmtId="0" fontId="1" fillId="0" borderId="5" xfId="0" applyFont="1" applyFill="1" applyBorder="1" applyAlignment="1"/>
    <xf numFmtId="0" fontId="1" fillId="0" borderId="5" xfId="0" quotePrefix="1" applyFont="1" applyFill="1" applyBorder="1" applyAlignment="1">
      <alignment horizontal="left"/>
    </xf>
    <xf numFmtId="0" fontId="1" fillId="0" borderId="0" xfId="0" quotePrefix="1" applyFont="1" applyFill="1" applyBorder="1" applyAlignment="1">
      <alignment horizontal="left"/>
    </xf>
    <xf numFmtId="0" fontId="1" fillId="0" borderId="0" xfId="0" quotePrefix="1" applyFont="1" applyFill="1" applyBorder="1" applyAlignment="1">
      <alignment horizontal="left" wrapText="1"/>
    </xf>
    <xf numFmtId="0" fontId="1" fillId="0" borderId="15" xfId="0" applyFont="1" applyFill="1" applyBorder="1" applyAlignment="1">
      <alignment horizontal="justify" vertical="center"/>
    </xf>
    <xf numFmtId="0" fontId="1" fillId="0" borderId="7" xfId="0" applyFont="1" applyFill="1" applyBorder="1" applyAlignment="1">
      <alignment horizontal="justify" vertical="center" wrapText="1"/>
    </xf>
    <xf numFmtId="4" fontId="1" fillId="0" borderId="5" xfId="0" quotePrefix="1" applyNumberFormat="1" applyFont="1" applyFill="1" applyBorder="1" applyAlignment="1" applyProtection="1">
      <alignment horizontal="justify" vertical="top" wrapText="1" shrinkToFit="1"/>
    </xf>
    <xf numFmtId="49" fontId="1" fillId="0" borderId="4" xfId="0" applyNumberFormat="1" applyFont="1" applyFill="1" applyBorder="1" applyAlignment="1" applyProtection="1">
      <alignment horizontal="justify" vertical="top" wrapText="1" shrinkToFit="1"/>
    </xf>
    <xf numFmtId="0" fontId="1" fillId="0" borderId="4" xfId="0" applyNumberFormat="1" applyFont="1" applyFill="1" applyBorder="1" applyAlignment="1" applyProtection="1">
      <alignment vertical="top"/>
    </xf>
    <xf numFmtId="49" fontId="1" fillId="0" borderId="6" xfId="0" applyNumberFormat="1" applyFont="1" applyFill="1" applyBorder="1" applyAlignment="1" applyProtection="1">
      <alignment horizontal="left" vertical="top" wrapText="1" shrinkToFit="1"/>
    </xf>
    <xf numFmtId="0" fontId="1" fillId="0" borderId="5" xfId="0" applyFont="1" applyFill="1" applyBorder="1" applyAlignment="1">
      <alignment horizontal="justify" vertical="center"/>
    </xf>
    <xf numFmtId="0" fontId="1" fillId="0" borderId="5" xfId="0" applyFont="1" applyBorder="1" applyAlignment="1">
      <alignment vertical="center" wrapText="1"/>
    </xf>
    <xf numFmtId="0" fontId="1" fillId="0" borderId="5" xfId="0" applyFont="1" applyBorder="1" applyAlignment="1">
      <alignment horizontal="justify" vertical="center"/>
    </xf>
    <xf numFmtId="0" fontId="1" fillId="0" borderId="5" xfId="0" applyFont="1" applyFill="1" applyBorder="1" applyAlignment="1">
      <alignment horizontal="center" vertical="center" wrapText="1"/>
    </xf>
    <xf numFmtId="0" fontId="1" fillId="0" borderId="5" xfId="0" applyFont="1" applyBorder="1" applyAlignment="1">
      <alignment horizontal="justify" vertical="center" wrapText="1"/>
    </xf>
    <xf numFmtId="0" fontId="1" fillId="0" borderId="5" xfId="0" quotePrefix="1" applyFont="1" applyBorder="1" applyAlignment="1">
      <alignment horizontal="justify" vertical="center" wrapText="1"/>
    </xf>
    <xf numFmtId="0" fontId="1" fillId="5" borderId="5" xfId="0" applyFont="1" applyFill="1" applyBorder="1" applyAlignment="1">
      <alignment horizontal="justify" vertical="center" wrapText="1"/>
    </xf>
    <xf numFmtId="0" fontId="1" fillId="0" borderId="5" xfId="0" applyFont="1" applyBorder="1" applyAlignment="1">
      <alignment horizontal="center" vertical="center" wrapText="1"/>
    </xf>
    <xf numFmtId="0" fontId="1" fillId="0" borderId="6" xfId="0" applyFont="1" applyBorder="1" applyAlignment="1">
      <alignment horizontal="justify" vertical="center" wrapText="1"/>
    </xf>
    <xf numFmtId="0" fontId="1" fillId="0" borderId="5" xfId="0" applyNumberFormat="1" applyFont="1" applyFill="1" applyBorder="1" applyAlignment="1" applyProtection="1">
      <alignment horizontal="justify" vertical="top" wrapText="1" shrinkToFit="1"/>
    </xf>
    <xf numFmtId="0" fontId="1" fillId="0" borderId="0" xfId="0" applyFont="1" applyFill="1" applyBorder="1" applyAlignment="1">
      <alignment horizontal="justify" vertical="center"/>
    </xf>
    <xf numFmtId="0" fontId="1" fillId="0" borderId="0" xfId="0" quotePrefix="1" applyFont="1" applyFill="1" applyBorder="1" applyAlignment="1">
      <alignment horizontal="justify" vertical="center"/>
    </xf>
    <xf numFmtId="4" fontId="1" fillId="0" borderId="5" xfId="0" applyNumberFormat="1" applyFont="1" applyFill="1" applyBorder="1" applyAlignment="1">
      <alignment horizontal="justify" vertical="top" wrapText="1" shrinkToFit="1"/>
    </xf>
    <xf numFmtId="0" fontId="1" fillId="0" borderId="5" xfId="0" applyFont="1" applyBorder="1" applyAlignment="1">
      <alignment horizontal="justify" vertical="justify" wrapText="1"/>
    </xf>
    <xf numFmtId="0" fontId="1" fillId="0" borderId="5" xfId="0" quotePrefix="1" applyFont="1" applyBorder="1" applyAlignment="1">
      <alignment horizontal="justify" vertical="justify" wrapText="1"/>
    </xf>
    <xf numFmtId="0" fontId="1" fillId="0" borderId="5" xfId="0" quotePrefix="1" applyFont="1" applyBorder="1" applyAlignment="1">
      <alignment vertical="center" wrapText="1"/>
    </xf>
    <xf numFmtId="0" fontId="1" fillId="0" borderId="16" xfId="0" applyFont="1" applyBorder="1" applyAlignment="1">
      <alignment horizontal="justify" vertical="center" wrapText="1"/>
    </xf>
    <xf numFmtId="0" fontId="1" fillId="0" borderId="15" xfId="0" applyFont="1" applyBorder="1" applyAlignment="1">
      <alignment horizontal="justify" vertical="center" wrapText="1"/>
    </xf>
    <xf numFmtId="0" fontId="1" fillId="0" borderId="15" xfId="0" quotePrefix="1" applyFont="1" applyBorder="1" applyAlignment="1">
      <alignment horizontal="justify" vertical="center" wrapText="1"/>
    </xf>
    <xf numFmtId="0" fontId="1" fillId="0" borderId="17" xfId="0" applyFont="1" applyBorder="1" applyAlignment="1">
      <alignment horizontal="justify" vertical="center" wrapText="1"/>
    </xf>
    <xf numFmtId="49" fontId="1" fillId="0" borderId="7" xfId="0" applyNumberFormat="1" applyFont="1" applyFill="1" applyBorder="1" applyAlignment="1" applyProtection="1">
      <alignment horizontal="left" vertical="top" wrapText="1" shrinkToFit="1"/>
    </xf>
    <xf numFmtId="4" fontId="1" fillId="0" borderId="9" xfId="0" applyNumberFormat="1" applyFont="1" applyFill="1" applyBorder="1" applyAlignment="1" applyProtection="1">
      <alignment horizontal="justify" vertical="top" wrapText="1" shrinkToFit="1"/>
    </xf>
    <xf numFmtId="4" fontId="1" fillId="2" borderId="5" xfId="0" applyNumberFormat="1" applyFont="1" applyFill="1" applyBorder="1" applyAlignment="1" applyProtection="1">
      <alignment horizontal="left" vertical="top" wrapText="1" shrinkToFit="1"/>
    </xf>
    <xf numFmtId="4" fontId="1" fillId="0" borderId="5" xfId="0" quotePrefix="1" applyNumberFormat="1" applyFont="1" applyFill="1" applyBorder="1" applyAlignment="1" applyProtection="1">
      <alignment horizontal="justify" vertical="top" wrapText="1"/>
    </xf>
    <xf numFmtId="4" fontId="1" fillId="0" borderId="5" xfId="0" applyNumberFormat="1" applyFont="1" applyFill="1" applyBorder="1" applyAlignment="1" applyProtection="1">
      <alignment horizontal="justify" vertical="top" wrapText="1"/>
    </xf>
    <xf numFmtId="4" fontId="1" fillId="0" borderId="0" xfId="0" applyNumberFormat="1" applyFont="1" applyFill="1" applyBorder="1" applyAlignment="1" applyProtection="1">
      <alignment horizontal="justify" vertical="justify" wrapText="1" shrinkToFit="1"/>
    </xf>
    <xf numFmtId="4" fontId="1" fillId="0" borderId="0" xfId="0" applyNumberFormat="1" applyFont="1" applyFill="1" applyBorder="1" applyAlignment="1" applyProtection="1">
      <alignment horizontal="left" vertical="justify" wrapText="1" shrinkToFit="1"/>
    </xf>
    <xf numFmtId="4" fontId="1" fillId="0" borderId="11" xfId="0" applyNumberFormat="1" applyFont="1" applyFill="1" applyBorder="1" applyAlignment="1" applyProtection="1">
      <alignment horizontal="left" vertical="top" wrapText="1" shrinkToFit="1"/>
    </xf>
    <xf numFmtId="4" fontId="1" fillId="0" borderId="5" xfId="0" applyNumberFormat="1" applyFont="1" applyFill="1" applyBorder="1" applyAlignment="1" applyProtection="1">
      <alignment horizontal="left" vertical="top" wrapText="1" shrinkToFit="1"/>
    </xf>
    <xf numFmtId="4" fontId="1" fillId="0" borderId="6" xfId="0" applyNumberFormat="1" applyFont="1" applyFill="1" applyBorder="1" applyAlignment="1" applyProtection="1">
      <alignment horizontal="left" vertical="top" wrapText="1" shrinkToFit="1"/>
    </xf>
    <xf numFmtId="49" fontId="1" fillId="0" borderId="1" xfId="0" applyNumberFormat="1" applyFont="1" applyFill="1" applyBorder="1" applyAlignment="1" applyProtection="1">
      <alignment horizontal="left" vertical="top" shrinkToFit="1"/>
    </xf>
    <xf numFmtId="4" fontId="1" fillId="0" borderId="1" xfId="0" applyNumberFormat="1" applyFont="1" applyFill="1" applyBorder="1" applyAlignment="1" applyProtection="1">
      <alignment horizontal="justify" vertical="top" shrinkToFit="1"/>
    </xf>
    <xf numFmtId="4" fontId="1" fillId="2" borderId="1" xfId="0" applyNumberFormat="1" applyFont="1" applyFill="1" applyBorder="1" applyAlignment="1" applyProtection="1">
      <alignment horizontal="justify" vertical="top"/>
    </xf>
    <xf numFmtId="4" fontId="57" fillId="4" borderId="3" xfId="0" applyNumberFormat="1" applyFont="1" applyFill="1" applyBorder="1" applyAlignment="1" applyProtection="1">
      <alignment horizontal="left" vertical="top" wrapText="1" shrinkToFit="1"/>
    </xf>
    <xf numFmtId="49" fontId="8" fillId="0" borderId="25" xfId="0" applyNumberFormat="1" applyFont="1" applyFill="1" applyBorder="1" applyAlignment="1" applyProtection="1">
      <alignment horizontal="center" vertical="top" wrapText="1" shrinkToFit="1"/>
    </xf>
    <xf numFmtId="0" fontId="4" fillId="0" borderId="0" xfId="0" applyNumberFormat="1" applyFont="1" applyFill="1" applyBorder="1" applyAlignment="1" applyProtection="1">
      <alignment vertical="top" wrapText="1"/>
    </xf>
    <xf numFmtId="49" fontId="8" fillId="0" borderId="5" xfId="0" applyNumberFormat="1" applyFont="1" applyFill="1" applyBorder="1" applyAlignment="1" applyProtection="1">
      <alignment horizontal="left" vertical="top" wrapText="1" indent="1" shrinkToFit="1"/>
    </xf>
    <xf numFmtId="49" fontId="1" fillId="0" borderId="5" xfId="0" applyNumberFormat="1" applyFont="1" applyFill="1" applyBorder="1" applyAlignment="1" applyProtection="1">
      <alignment horizontal="left" vertical="top" wrapText="1" indent="1" shrinkToFit="1"/>
    </xf>
    <xf numFmtId="4" fontId="1" fillId="0" borderId="6" xfId="0" applyNumberFormat="1" applyFont="1" applyFill="1" applyBorder="1" applyAlignment="1" applyProtection="1">
      <alignment horizontal="justify" vertical="center" wrapText="1" shrinkToFit="1"/>
    </xf>
    <xf numFmtId="4" fontId="1" fillId="0" borderId="23" xfId="0" applyNumberFormat="1" applyFont="1" applyFill="1" applyBorder="1" applyAlignment="1" applyProtection="1">
      <alignment horizontal="justify" vertical="center" wrapText="1" shrinkToFit="1"/>
    </xf>
    <xf numFmtId="0" fontId="3" fillId="0" borderId="0" xfId="0" applyNumberFormat="1" applyFont="1" applyFill="1" applyBorder="1" applyAlignment="1" applyProtection="1">
      <alignment vertical="top" wrapText="1"/>
    </xf>
    <xf numFmtId="4" fontId="20" fillId="0" borderId="18" xfId="0" applyNumberFormat="1" applyFont="1" applyFill="1" applyBorder="1" applyAlignment="1" applyProtection="1">
      <alignment horizontal="justify" vertical="top" wrapText="1" shrinkToFit="1"/>
    </xf>
    <xf numFmtId="4" fontId="20" fillId="0" borderId="5" xfId="0" applyNumberFormat="1" applyFont="1" applyFill="1" applyBorder="1" applyAlignment="1" applyProtection="1">
      <alignment horizontal="justify" vertical="center" wrapText="1" shrinkToFit="1"/>
    </xf>
    <xf numFmtId="0" fontId="8" fillId="0" borderId="0" xfId="0" applyNumberFormat="1" applyFont="1" applyFill="1" applyBorder="1" applyAlignment="1" applyProtection="1">
      <alignment vertical="top" wrapText="1"/>
    </xf>
    <xf numFmtId="0" fontId="1" fillId="0" borderId="0" xfId="0" applyNumberFormat="1" applyFont="1" applyFill="1" applyBorder="1" applyAlignment="1" applyProtection="1">
      <alignment vertical="top" wrapText="1"/>
    </xf>
    <xf numFmtId="4" fontId="8" fillId="0" borderId="0" xfId="0" applyNumberFormat="1" applyFont="1" applyFill="1" applyBorder="1" applyAlignment="1" applyProtection="1">
      <alignment horizontal="left" vertical="center" wrapText="1" shrinkToFit="1"/>
    </xf>
    <xf numFmtId="4" fontId="8" fillId="0" borderId="24" xfId="0" applyNumberFormat="1" applyFont="1" applyFill="1" applyBorder="1" applyAlignment="1" applyProtection="1">
      <alignment horizontal="left" vertical="top" wrapText="1" shrinkToFit="1"/>
    </xf>
    <xf numFmtId="4" fontId="9" fillId="0" borderId="0" xfId="0" applyNumberFormat="1" applyFont="1" applyFill="1" applyBorder="1" applyAlignment="1" applyProtection="1">
      <alignment horizontal="justify" vertical="top" wrapText="1" shrinkToFit="1"/>
    </xf>
    <xf numFmtId="4" fontId="1" fillId="0" borderId="19" xfId="0" applyNumberFormat="1" applyFont="1" applyFill="1" applyBorder="1" applyAlignment="1" applyProtection="1">
      <alignment horizontal="justify" vertical="top" wrapText="1" shrinkToFit="1"/>
    </xf>
    <xf numFmtId="4" fontId="9" fillId="0" borderId="5" xfId="0" applyNumberFormat="1" applyFont="1" applyFill="1" applyBorder="1" applyAlignment="1" applyProtection="1">
      <alignment horizontal="justify" vertical="top" wrapText="1" shrinkToFit="1"/>
    </xf>
    <xf numFmtId="49" fontId="8" fillId="0" borderId="25" xfId="0" applyNumberFormat="1" applyFont="1" applyFill="1" applyBorder="1" applyAlignment="1" applyProtection="1">
      <alignment horizontal="justify" vertical="top" wrapText="1" shrinkToFit="1"/>
    </xf>
    <xf numFmtId="0" fontId="1" fillId="0" borderId="23" xfId="0" applyNumberFormat="1" applyFont="1" applyFill="1" applyBorder="1" applyAlignment="1" applyProtection="1">
      <alignment vertical="top" wrapText="1"/>
    </xf>
    <xf numFmtId="49" fontId="8" fillId="0" borderId="1" xfId="0" applyNumberFormat="1" applyFont="1" applyFill="1" applyBorder="1" applyAlignment="1" applyProtection="1">
      <alignment horizontal="justify" vertical="top" wrapText="1" shrinkToFit="1"/>
    </xf>
    <xf numFmtId="0" fontId="1" fillId="0" borderId="5" xfId="0" applyNumberFormat="1" applyFont="1" applyFill="1" applyBorder="1" applyAlignment="1" applyProtection="1">
      <alignment horizontal="justify" vertical="center" wrapText="1"/>
    </xf>
    <xf numFmtId="4" fontId="1" fillId="5" borderId="0" xfId="0" applyNumberFormat="1" applyFont="1" applyFill="1" applyBorder="1" applyAlignment="1" applyProtection="1">
      <alignment horizontal="justify" vertical="top" wrapText="1" shrinkToFit="1"/>
    </xf>
    <xf numFmtId="49" fontId="8" fillId="5" borderId="5" xfId="0" applyNumberFormat="1" applyFont="1" applyFill="1" applyBorder="1" applyAlignment="1" applyProtection="1">
      <alignment horizontal="justify" vertical="top" wrapText="1" shrinkToFit="1"/>
    </xf>
    <xf numFmtId="49" fontId="1" fillId="5" borderId="0" xfId="0" applyNumberFormat="1" applyFont="1" applyFill="1" applyBorder="1" applyAlignment="1" applyProtection="1">
      <alignment horizontal="justify" vertical="top" wrapText="1" shrinkToFit="1"/>
    </xf>
    <xf numFmtId="49" fontId="8" fillId="5" borderId="5" xfId="0" applyNumberFormat="1" applyFont="1" applyFill="1" applyBorder="1" applyAlignment="1" applyProtection="1">
      <alignment horizontal="center" vertical="top" wrapText="1" shrinkToFit="1"/>
    </xf>
    <xf numFmtId="4" fontId="20" fillId="5" borderId="18" xfId="0" applyNumberFormat="1" applyFont="1" applyFill="1" applyBorder="1" applyAlignment="1" applyProtection="1">
      <alignment horizontal="justify" vertical="top" wrapText="1" shrinkToFit="1"/>
    </xf>
    <xf numFmtId="49" fontId="1" fillId="5" borderId="4" xfId="0" applyNumberFormat="1" applyFont="1" applyFill="1" applyBorder="1" applyAlignment="1" applyProtection="1">
      <alignment horizontal="left" vertical="top" wrapText="1" shrinkToFit="1"/>
    </xf>
    <xf numFmtId="49" fontId="8" fillId="5" borderId="10" xfId="0" applyNumberFormat="1" applyFont="1" applyFill="1" applyBorder="1" applyAlignment="1" applyProtection="1">
      <alignment horizontal="center" vertical="top" wrapText="1" shrinkToFit="1"/>
    </xf>
    <xf numFmtId="4" fontId="1" fillId="5" borderId="5" xfId="0" applyNumberFormat="1" applyFont="1" applyFill="1" applyBorder="1" applyAlignment="1" applyProtection="1">
      <alignment horizontal="justify" vertical="top" wrapText="1" shrinkToFit="1"/>
    </xf>
    <xf numFmtId="2" fontId="1" fillId="5" borderId="4" xfId="0" applyNumberFormat="1" applyFont="1" applyFill="1" applyBorder="1" applyAlignment="1" applyProtection="1">
      <alignment horizontal="left" vertical="top" wrapText="1" shrinkToFit="1"/>
    </xf>
    <xf numFmtId="4" fontId="20" fillId="5" borderId="5" xfId="0" applyNumberFormat="1" applyFont="1" applyFill="1" applyBorder="1" applyAlignment="1" applyProtection="1">
      <alignment horizontal="justify" vertical="top" wrapText="1" shrinkToFit="1"/>
    </xf>
    <xf numFmtId="49" fontId="8" fillId="5" borderId="0" xfId="0" applyNumberFormat="1" applyFont="1" applyFill="1" applyBorder="1" applyAlignment="1" applyProtection="1">
      <alignment horizontal="center" vertical="top" wrapText="1" shrinkToFit="1"/>
    </xf>
    <xf numFmtId="49" fontId="8" fillId="5" borderId="4" xfId="0" applyNumberFormat="1" applyFont="1" applyFill="1" applyBorder="1" applyAlignment="1" applyProtection="1">
      <alignment horizontal="justify" vertical="top" wrapText="1" shrinkToFit="1"/>
    </xf>
    <xf numFmtId="0" fontId="1" fillId="11" borderId="23" xfId="0" applyNumberFormat="1" applyFont="1" applyFill="1" applyBorder="1" applyAlignment="1" applyProtection="1">
      <alignment vertical="top" wrapText="1"/>
    </xf>
    <xf numFmtId="49" fontId="8" fillId="5" borderId="23" xfId="0" applyNumberFormat="1" applyFont="1" applyFill="1" applyBorder="1" applyAlignment="1" applyProtection="1">
      <alignment horizontal="center" vertical="top" wrapText="1" shrinkToFit="1"/>
    </xf>
    <xf numFmtId="4" fontId="1" fillId="5" borderId="4" xfId="0" applyNumberFormat="1" applyFont="1" applyFill="1" applyBorder="1" applyAlignment="1" applyProtection="1">
      <alignment horizontal="justify" vertical="top" wrapText="1" shrinkToFit="1"/>
    </xf>
    <xf numFmtId="4" fontId="20" fillId="5" borderId="4" xfId="0" applyNumberFormat="1" applyFont="1" applyFill="1" applyBorder="1" applyAlignment="1" applyProtection="1">
      <alignment horizontal="justify" vertical="top" wrapText="1" shrinkToFit="1"/>
    </xf>
    <xf numFmtId="2" fontId="20" fillId="5" borderId="0" xfId="0" applyNumberFormat="1" applyFont="1" applyFill="1" applyBorder="1" applyAlignment="1" applyProtection="1">
      <alignment horizontal="justify" vertical="top" wrapText="1" shrinkToFit="1"/>
    </xf>
    <xf numFmtId="4" fontId="20" fillId="5" borderId="0" xfId="0" applyNumberFormat="1" applyFont="1" applyFill="1" applyBorder="1" applyAlignment="1" applyProtection="1">
      <alignment horizontal="justify" vertical="center" wrapText="1" shrinkToFit="1"/>
    </xf>
    <xf numFmtId="49" fontId="20" fillId="5" borderId="5" xfId="0" applyNumberFormat="1" applyFont="1" applyFill="1" applyBorder="1" applyAlignment="1" applyProtection="1">
      <alignment horizontal="justify" vertical="top" wrapText="1" shrinkToFit="1"/>
    </xf>
    <xf numFmtId="4" fontId="20" fillId="5" borderId="0" xfId="0" applyNumberFormat="1" applyFont="1" applyFill="1" applyBorder="1" applyAlignment="1" applyProtection="1">
      <alignment horizontal="justify" vertical="top" wrapText="1" shrinkToFit="1"/>
    </xf>
    <xf numFmtId="49" fontId="9" fillId="7" borderId="6" xfId="0" applyNumberFormat="1" applyFont="1" applyFill="1" applyBorder="1" applyAlignment="1" applyProtection="1">
      <alignment horizontal="justify" vertical="top" wrapText="1" shrinkToFit="1"/>
    </xf>
    <xf numFmtId="49" fontId="8" fillId="7" borderId="6" xfId="0" applyNumberFormat="1" applyFont="1" applyFill="1" applyBorder="1" applyAlignment="1" applyProtection="1">
      <alignment horizontal="center" vertical="top" wrapText="1" shrinkToFit="1"/>
    </xf>
    <xf numFmtId="4" fontId="9" fillId="7" borderId="11" xfId="0" applyNumberFormat="1" applyFont="1" applyFill="1" applyBorder="1" applyAlignment="1" applyProtection="1">
      <alignment horizontal="justify" vertical="top" wrapText="1" shrinkToFit="1"/>
    </xf>
    <xf numFmtId="4" fontId="11" fillId="3" borderId="11" xfId="0" applyNumberFormat="1" applyFont="1" applyFill="1" applyBorder="1" applyAlignment="1" applyProtection="1">
      <alignment horizontal="justify" vertical="top" wrapText="1" shrinkToFit="1"/>
    </xf>
    <xf numFmtId="49" fontId="20" fillId="0" borderId="10" xfId="0" applyNumberFormat="1" applyFont="1" applyFill="1" applyBorder="1" applyAlignment="1" applyProtection="1">
      <alignment horizontal="justify" vertical="top" wrapText="1" shrinkToFit="1"/>
    </xf>
    <xf numFmtId="49" fontId="8" fillId="7" borderId="25" xfId="0" applyNumberFormat="1" applyFont="1" applyFill="1" applyBorder="1" applyAlignment="1" applyProtection="1">
      <alignment horizontal="left" vertical="top" wrapText="1" shrinkToFit="1"/>
    </xf>
    <xf numFmtId="4" fontId="9" fillId="7" borderId="24" xfId="0" applyNumberFormat="1" applyFont="1" applyFill="1" applyBorder="1" applyAlignment="1" applyProtection="1">
      <alignment horizontal="justify" vertical="top" wrapText="1" shrinkToFit="1"/>
    </xf>
    <xf numFmtId="49" fontId="8" fillId="7" borderId="25" xfId="0" applyNumberFormat="1" applyFont="1" applyFill="1" applyBorder="1" applyAlignment="1" applyProtection="1">
      <alignment horizontal="center" vertical="top" wrapText="1" shrinkToFit="1"/>
    </xf>
    <xf numFmtId="166" fontId="8" fillId="0" borderId="14" xfId="0" applyNumberFormat="1" applyFont="1" applyFill="1" applyBorder="1" applyAlignment="1" applyProtection="1">
      <alignment horizontal="center" vertical="top" wrapText="1" shrinkToFit="1"/>
      <protection locked="0"/>
    </xf>
    <xf numFmtId="166" fontId="8" fillId="0" borderId="10" xfId="0" applyNumberFormat="1" applyFont="1" applyFill="1" applyBorder="1" applyAlignment="1" applyProtection="1">
      <alignment horizontal="center" vertical="top" wrapText="1" shrinkToFit="1"/>
      <protection locked="0"/>
    </xf>
    <xf numFmtId="166" fontId="8" fillId="0" borderId="5" xfId="0" applyNumberFormat="1" applyFont="1" applyFill="1" applyBorder="1" applyAlignment="1" applyProtection="1">
      <alignment horizontal="center" vertical="top" wrapText="1" shrinkToFit="1"/>
      <protection locked="0"/>
    </xf>
    <xf numFmtId="166" fontId="8" fillId="0" borderId="13" xfId="0" applyNumberFormat="1" applyFont="1" applyFill="1" applyBorder="1" applyAlignment="1" applyProtection="1">
      <alignment horizontal="center" vertical="top" wrapText="1" shrinkToFit="1"/>
      <protection locked="0"/>
    </xf>
    <xf numFmtId="166" fontId="8" fillId="0" borderId="7" xfId="0" applyNumberFormat="1" applyFont="1" applyFill="1" applyBorder="1" applyAlignment="1" applyProtection="1">
      <alignment horizontal="center" vertical="top" wrapText="1" shrinkToFit="1"/>
      <protection locked="0"/>
    </xf>
    <xf numFmtId="166" fontId="8" fillId="0" borderId="6" xfId="0" applyNumberFormat="1" applyFont="1" applyFill="1" applyBorder="1" applyAlignment="1" applyProtection="1">
      <alignment horizontal="center" vertical="top" wrapText="1" shrinkToFit="1"/>
      <protection locked="0"/>
    </xf>
    <xf numFmtId="166" fontId="9" fillId="4" borderId="5" xfId="0" applyNumberFormat="1" applyFont="1" applyFill="1" applyBorder="1" applyAlignment="1" applyProtection="1">
      <alignment horizontal="center" vertical="top" wrapText="1" shrinkToFit="1"/>
      <protection locked="0"/>
    </xf>
    <xf numFmtId="166" fontId="8" fillId="5" borderId="5" xfId="0" applyNumberFormat="1" applyFont="1" applyFill="1" applyBorder="1" applyAlignment="1" applyProtection="1">
      <alignment horizontal="center" vertical="top" wrapText="1" shrinkToFit="1"/>
      <protection locked="0"/>
    </xf>
    <xf numFmtId="166" fontId="8" fillId="2" borderId="7" xfId="0" applyNumberFormat="1" applyFont="1" applyFill="1" applyBorder="1" applyAlignment="1" applyProtection="1">
      <alignment horizontal="center" vertical="top" wrapText="1" shrinkToFit="1"/>
      <protection locked="0"/>
    </xf>
    <xf numFmtId="0" fontId="54" fillId="0" borderId="19" xfId="0" applyFont="1" applyFill="1" applyBorder="1" applyAlignment="1" applyProtection="1">
      <protection locked="0"/>
    </xf>
    <xf numFmtId="166" fontId="1" fillId="0" borderId="5" xfId="0" applyNumberFormat="1" applyFont="1" applyFill="1" applyBorder="1" applyAlignment="1" applyProtection="1">
      <alignment horizontal="justify" vertical="top" wrapText="1" shrinkToFit="1"/>
      <protection locked="0"/>
    </xf>
    <xf numFmtId="166" fontId="8" fillId="0" borderId="5" xfId="0" applyNumberFormat="1" applyFont="1" applyFill="1" applyBorder="1" applyAlignment="1" applyProtection="1">
      <alignment horizontal="center" vertical="top" wrapText="1"/>
      <protection locked="0"/>
    </xf>
    <xf numFmtId="166" fontId="8" fillId="2" borderId="5" xfId="0" applyNumberFormat="1" applyFont="1" applyFill="1" applyBorder="1" applyAlignment="1" applyProtection="1">
      <alignment horizontal="center" vertical="top" wrapText="1" shrinkToFit="1"/>
      <protection locked="0"/>
    </xf>
    <xf numFmtId="166" fontId="8" fillId="2" borderId="1" xfId="0" applyNumberFormat="1" applyFont="1" applyFill="1" applyBorder="1" applyAlignment="1" applyProtection="1">
      <alignment horizontal="center" vertical="top" wrapText="1" shrinkToFit="1"/>
      <protection locked="0"/>
    </xf>
    <xf numFmtId="166" fontId="46" fillId="0" borderId="5" xfId="0" applyNumberFormat="1" applyFont="1" applyFill="1" applyBorder="1" applyAlignment="1" applyProtection="1">
      <alignment horizontal="center" vertical="top" wrapText="1" shrinkToFit="1"/>
      <protection locked="0"/>
    </xf>
    <xf numFmtId="166" fontId="8" fillId="7" borderId="25" xfId="0" applyNumberFormat="1" applyFont="1" applyFill="1" applyBorder="1" applyAlignment="1" applyProtection="1">
      <alignment horizontal="center" vertical="top" wrapText="1" shrinkToFit="1"/>
      <protection locked="0"/>
    </xf>
    <xf numFmtId="166" fontId="45" fillId="4" borderId="1" xfId="0" applyNumberFormat="1" applyFont="1" applyFill="1" applyBorder="1" applyAlignment="1" applyProtection="1">
      <alignment horizontal="center" vertical="top" wrapText="1" shrinkToFit="1"/>
      <protection locked="0"/>
    </xf>
    <xf numFmtId="166" fontId="46" fillId="7" borderId="1" xfId="0" applyNumberFormat="1" applyFont="1" applyFill="1" applyBorder="1" applyAlignment="1" applyProtection="1">
      <alignment horizontal="center" vertical="top" wrapText="1" shrinkToFit="1"/>
      <protection locked="0"/>
    </xf>
    <xf numFmtId="166" fontId="46" fillId="0" borderId="7" xfId="0" applyNumberFormat="1" applyFont="1" applyFill="1" applyBorder="1" applyAlignment="1" applyProtection="1">
      <alignment horizontal="center" vertical="top" wrapText="1" shrinkToFit="1"/>
      <protection locked="0"/>
    </xf>
    <xf numFmtId="166" fontId="46" fillId="4" borderId="1" xfId="0" applyNumberFormat="1" applyFont="1" applyFill="1" applyBorder="1" applyAlignment="1" applyProtection="1">
      <alignment horizontal="center" vertical="top" wrapText="1" shrinkToFit="1"/>
      <protection locked="0"/>
    </xf>
    <xf numFmtId="0" fontId="55" fillId="0" borderId="7" xfId="0" applyFont="1" applyFill="1" applyBorder="1" applyAlignment="1" applyProtection="1">
      <protection locked="0"/>
    </xf>
    <xf numFmtId="0" fontId="55" fillId="0" borderId="5" xfId="0" applyFont="1" applyFill="1" applyBorder="1" applyAlignment="1" applyProtection="1">
      <protection locked="0"/>
    </xf>
    <xf numFmtId="4" fontId="46" fillId="0" borderId="5" xfId="0" applyNumberFormat="1" applyFont="1" applyFill="1" applyBorder="1" applyAlignment="1" applyProtection="1">
      <alignment horizontal="justify" vertical="top" wrapText="1" shrinkToFit="1"/>
      <protection locked="0"/>
    </xf>
    <xf numFmtId="166" fontId="8" fillId="4" borderId="1" xfId="0" applyNumberFormat="1" applyFont="1" applyFill="1" applyBorder="1" applyAlignment="1" applyProtection="1">
      <alignment horizontal="center" vertical="top" wrapText="1" shrinkToFit="1"/>
      <protection locked="0"/>
    </xf>
    <xf numFmtId="166" fontId="8" fillId="8" borderId="1" xfId="0" applyNumberFormat="1" applyFont="1" applyFill="1" applyBorder="1" applyAlignment="1" applyProtection="1">
      <alignment horizontal="center" vertical="top" wrapText="1" shrinkToFit="1"/>
      <protection locked="0"/>
    </xf>
    <xf numFmtId="166" fontId="8" fillId="7" borderId="1" xfId="0" applyNumberFormat="1" applyFont="1" applyFill="1" applyBorder="1" applyAlignment="1" applyProtection="1">
      <alignment horizontal="center" vertical="top" wrapText="1" shrinkToFit="1"/>
      <protection locked="0"/>
    </xf>
    <xf numFmtId="0" fontId="1" fillId="0" borderId="21" xfId="0" applyFont="1" applyFill="1" applyBorder="1" applyAlignment="1" applyProtection="1">
      <protection locked="0"/>
    </xf>
    <xf numFmtId="0" fontId="1" fillId="0" borderId="19" xfId="0" applyFont="1" applyFill="1" applyBorder="1" applyAlignment="1" applyProtection="1">
      <protection locked="0"/>
    </xf>
    <xf numFmtId="0" fontId="54" fillId="0" borderId="5" xfId="0" applyFont="1" applyFill="1" applyBorder="1" applyAlignment="1" applyProtection="1">
      <protection locked="0"/>
    </xf>
    <xf numFmtId="0" fontId="55" fillId="0" borderId="19" xfId="0" applyFont="1" applyFill="1" applyBorder="1" applyAlignment="1" applyProtection="1">
      <protection locked="0"/>
    </xf>
    <xf numFmtId="49" fontId="4" fillId="3" borderId="1" xfId="0" applyNumberFormat="1" applyFont="1" applyFill="1" applyBorder="1" applyAlignment="1" applyProtection="1">
      <alignment horizontal="center" vertical="top" wrapText="1" shrinkToFit="1"/>
      <protection locked="0"/>
    </xf>
    <xf numFmtId="166" fontId="8" fillId="4" borderId="6" xfId="0" applyNumberFormat="1" applyFont="1" applyFill="1" applyBorder="1" applyAlignment="1" applyProtection="1">
      <alignment horizontal="center" vertical="top" wrapText="1" shrinkToFit="1"/>
      <protection locked="0"/>
    </xf>
    <xf numFmtId="4" fontId="8" fillId="2" borderId="7" xfId="0" applyNumberFormat="1" applyFont="1" applyFill="1" applyBorder="1" applyAlignment="1" applyProtection="1">
      <alignment horizontal="justify" vertical="top" wrapText="1" shrinkToFit="1"/>
      <protection locked="0"/>
    </xf>
    <xf numFmtId="0" fontId="54" fillId="0" borderId="5" xfId="0" applyFont="1" applyBorder="1" applyAlignment="1" applyProtection="1">
      <protection locked="0"/>
    </xf>
    <xf numFmtId="4" fontId="8" fillId="0" borderId="10" xfId="0" applyNumberFormat="1" applyFont="1" applyFill="1" applyBorder="1" applyAlignment="1" applyProtection="1">
      <alignment horizontal="justify" vertical="top" wrapText="1" shrinkToFit="1"/>
      <protection locked="0"/>
    </xf>
    <xf numFmtId="166" fontId="8" fillId="9" borderId="1" xfId="0" applyNumberFormat="1" applyFont="1" applyFill="1" applyBorder="1" applyAlignment="1" applyProtection="1">
      <alignment horizontal="center" vertical="top" wrapText="1" shrinkToFit="1"/>
      <protection locked="0"/>
    </xf>
    <xf numFmtId="166" fontId="8" fillId="0" borderId="25" xfId="0" applyNumberFormat="1" applyFont="1" applyFill="1" applyBorder="1" applyAlignment="1" applyProtection="1">
      <alignment horizontal="center" vertical="top" wrapText="1" shrinkToFit="1"/>
      <protection locked="0"/>
    </xf>
    <xf numFmtId="49" fontId="8" fillId="3" borderId="1" xfId="0" applyNumberFormat="1" applyFont="1" applyFill="1" applyBorder="1" applyAlignment="1" applyProtection="1">
      <alignment horizontal="center" vertical="top" wrapText="1" shrinkToFit="1"/>
      <protection locked="0"/>
    </xf>
    <xf numFmtId="4" fontId="8" fillId="0" borderId="5" xfId="0" applyNumberFormat="1" applyFont="1" applyFill="1" applyBorder="1" applyAlignment="1" applyProtection="1">
      <alignment horizontal="justify" vertical="center" wrapText="1" shrinkToFit="1"/>
      <protection locked="0"/>
    </xf>
    <xf numFmtId="49" fontId="8" fillId="4" borderId="1" xfId="0" applyNumberFormat="1" applyFont="1" applyFill="1" applyBorder="1" applyAlignment="1" applyProtection="1">
      <alignment horizontal="center" vertical="top" wrapText="1" shrinkToFit="1"/>
      <protection locked="0"/>
    </xf>
    <xf numFmtId="0" fontId="54" fillId="0" borderId="21" xfId="0" applyFont="1" applyBorder="1" applyAlignment="1" applyProtection="1">
      <protection locked="0"/>
    </xf>
    <xf numFmtId="0" fontId="54" fillId="0" borderId="19" xfId="0" applyFont="1" applyBorder="1" applyAlignment="1" applyProtection="1">
      <protection locked="0"/>
    </xf>
    <xf numFmtId="166" fontId="8" fillId="3" borderId="6" xfId="0" applyNumberFormat="1" applyFont="1" applyFill="1" applyBorder="1" applyAlignment="1" applyProtection="1">
      <alignment horizontal="center" vertical="top" wrapText="1" shrinkToFit="1"/>
      <protection locked="0"/>
    </xf>
    <xf numFmtId="166" fontId="1" fillId="0" borderId="7" xfId="0" applyNumberFormat="1" applyFont="1" applyFill="1" applyBorder="1" applyAlignment="1" applyProtection="1">
      <alignment horizontal="center" vertical="top" wrapText="1" shrinkToFit="1"/>
      <protection locked="0"/>
    </xf>
    <xf numFmtId="166" fontId="1" fillId="0" borderId="5" xfId="0" applyNumberFormat="1" applyFont="1" applyFill="1" applyBorder="1" applyAlignment="1" applyProtection="1">
      <alignment horizontal="center" vertical="top" wrapText="1" shrinkToFit="1"/>
      <protection locked="0"/>
    </xf>
    <xf numFmtId="166" fontId="47" fillId="0" borderId="5" xfId="0" applyNumberFormat="1" applyFont="1" applyFill="1" applyBorder="1" applyAlignment="1" applyProtection="1">
      <alignment horizontal="center" vertical="top" wrapText="1" shrinkToFit="1"/>
      <protection locked="0"/>
    </xf>
    <xf numFmtId="166" fontId="8" fillId="8" borderId="0" xfId="0" applyNumberFormat="1" applyFont="1" applyFill="1" applyBorder="1" applyAlignment="1" applyProtection="1">
      <alignment horizontal="center" vertical="top" wrapText="1" shrinkToFit="1"/>
      <protection locked="0"/>
    </xf>
    <xf numFmtId="166" fontId="8" fillId="0" borderId="1" xfId="0" applyNumberFormat="1" applyFont="1" applyFill="1" applyBorder="1" applyAlignment="1" applyProtection="1">
      <alignment horizontal="center" vertical="top" shrinkToFit="1"/>
      <protection locked="0"/>
    </xf>
    <xf numFmtId="10" fontId="8" fillId="0" borderId="5" xfId="0" applyNumberFormat="1" applyFont="1" applyFill="1" applyBorder="1" applyAlignment="1" applyProtection="1">
      <alignment horizontal="center" vertical="top" wrapText="1" shrinkToFit="1"/>
      <protection locked="0"/>
    </xf>
    <xf numFmtId="49" fontId="1" fillId="0" borderId="7" xfId="0" applyNumberFormat="1" applyFont="1" applyFill="1" applyBorder="1" applyAlignment="1" applyProtection="1">
      <alignment horizontal="justify" vertical="top" wrapText="1" shrinkToFit="1"/>
    </xf>
    <xf numFmtId="4" fontId="1" fillId="5" borderId="9" xfId="0" applyNumberFormat="1" applyFont="1" applyFill="1" applyBorder="1" applyAlignment="1" applyProtection="1">
      <alignment horizontal="justify" vertical="top" wrapText="1" shrinkToFit="1"/>
    </xf>
    <xf numFmtId="49" fontId="1" fillId="0" borderId="10" xfId="0" applyNumberFormat="1" applyFont="1" applyFill="1" applyBorder="1" applyAlignment="1" applyProtection="1">
      <alignment horizontal="justify" vertical="top" wrapText="1" shrinkToFit="1"/>
    </xf>
    <xf numFmtId="0" fontId="8" fillId="0" borderId="15" xfId="0" applyFont="1" applyFill="1" applyBorder="1" applyAlignment="1">
      <alignment vertical="center" wrapText="1"/>
    </xf>
    <xf numFmtId="0" fontId="8" fillId="0" borderId="0" xfId="0" applyNumberFormat="1" applyFont="1" applyFill="1" applyBorder="1" applyAlignment="1" applyProtection="1">
      <alignment vertical="top"/>
    </xf>
    <xf numFmtId="0" fontId="43" fillId="0" borderId="15" xfId="0" applyFont="1" applyFill="1" applyBorder="1" applyAlignment="1">
      <alignment vertical="center" wrapText="1"/>
    </xf>
    <xf numFmtId="0" fontId="43" fillId="0" borderId="16" xfId="0" applyFont="1" applyFill="1" applyBorder="1" applyAlignment="1">
      <alignment vertical="center" wrapText="1"/>
    </xf>
    <xf numFmtId="0" fontId="8" fillId="0" borderId="0" xfId="0" applyNumberFormat="1" applyFont="1" applyFill="1" applyBorder="1" applyAlignment="1" applyProtection="1">
      <alignment horizontal="center" vertical="top" wrapText="1" shrinkToFit="1"/>
    </xf>
    <xf numFmtId="0" fontId="8" fillId="0" borderId="7" xfId="0" applyFont="1" applyFill="1" applyBorder="1" applyAlignment="1">
      <alignment vertical="center" wrapText="1"/>
    </xf>
    <xf numFmtId="0" fontId="13" fillId="0" borderId="5" xfId="0" applyFont="1" applyFill="1" applyBorder="1" applyAlignment="1">
      <alignment horizontal="center" vertical="center" wrapText="1"/>
    </xf>
    <xf numFmtId="0" fontId="13" fillId="0" borderId="5" xfId="0" applyFont="1" applyBorder="1" applyAlignment="1">
      <alignment horizontal="center" vertical="center" wrapText="1"/>
    </xf>
    <xf numFmtId="0" fontId="8" fillId="0" borderId="16" xfId="0" applyFont="1" applyBorder="1" applyAlignment="1">
      <alignment vertical="center" wrapText="1"/>
    </xf>
    <xf numFmtId="0" fontId="8" fillId="0" borderId="15" xfId="0" applyFont="1" applyBorder="1" applyAlignment="1">
      <alignment vertical="center" wrapText="1"/>
    </xf>
    <xf numFmtId="0" fontId="4" fillId="0" borderId="0" xfId="0" applyNumberFormat="1" applyFont="1" applyFill="1" applyBorder="1" applyAlignment="1" applyProtection="1">
      <alignment horizontal="center" vertical="top" wrapText="1"/>
    </xf>
    <xf numFmtId="0" fontId="3" fillId="0" borderId="0" xfId="0" applyNumberFormat="1" applyFont="1" applyFill="1" applyBorder="1" applyAlignment="1" applyProtection="1">
      <alignment horizontal="center" vertical="top" wrapText="1"/>
      <protection locked="0"/>
    </xf>
    <xf numFmtId="4" fontId="4" fillId="2" borderId="0" xfId="0" applyNumberFormat="1" applyFont="1" applyFill="1" applyBorder="1" applyAlignment="1" applyProtection="1">
      <alignment horizontal="center" vertical="top" wrapText="1"/>
    </xf>
    <xf numFmtId="166" fontId="8" fillId="0" borderId="5" xfId="0" applyNumberFormat="1" applyFont="1" applyFill="1" applyBorder="1" applyAlignment="1" applyProtection="1">
      <alignment horizontal="center" wrapText="1" shrinkToFit="1"/>
      <protection locked="0"/>
    </xf>
    <xf numFmtId="0" fontId="3" fillId="0" borderId="0" xfId="0" applyNumberFormat="1" applyFont="1" applyFill="1" applyBorder="1" applyAlignment="1" applyProtection="1">
      <alignment horizontal="center" vertical="top" wrapText="1"/>
    </xf>
    <xf numFmtId="0" fontId="3" fillId="12" borderId="0" xfId="0" applyNumberFormat="1" applyFont="1" applyFill="1" applyBorder="1" applyAlignment="1" applyProtection="1">
      <alignment horizontal="center" vertical="top" wrapText="1"/>
      <protection locked="0"/>
    </xf>
    <xf numFmtId="4" fontId="50" fillId="0" borderId="0" xfId="0" applyNumberFormat="1" applyFont="1" applyFill="1" applyBorder="1" applyAlignment="1" applyProtection="1">
      <alignment horizontal="justify" vertical="top" wrapText="1" shrinkToFit="1"/>
    </xf>
    <xf numFmtId="4" fontId="56" fillId="0" borderId="0" xfId="0" applyNumberFormat="1" applyFont="1" applyFill="1" applyBorder="1" applyAlignment="1" applyProtection="1">
      <alignment horizontal="justify" vertical="top" wrapText="1" shrinkToFit="1"/>
    </xf>
  </cellXfs>
  <cellStyles count="4">
    <cellStyle name="Euro" xfId="1" xr:uid="{86DAC7F4-5FCF-4F61-A72A-43ED633749D8}"/>
    <cellStyle name="Normal" xfId="0" builtinId="0"/>
    <cellStyle name="Normal 2" xfId="2" xr:uid="{36F905D3-BDB0-4279-AF6A-19D51F9079BA}"/>
    <cellStyle name="Normal 3" xfId="3" xr:uid="{9D6B8EF8-AD04-47AB-8649-54C42D93D9C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161925</xdr:colOff>
      <xdr:row>0</xdr:row>
      <xdr:rowOff>133350</xdr:rowOff>
    </xdr:from>
    <xdr:to>
      <xdr:col>0</xdr:col>
      <xdr:colOff>762000</xdr:colOff>
      <xdr:row>2</xdr:row>
      <xdr:rowOff>400050</xdr:rowOff>
    </xdr:to>
    <xdr:pic>
      <xdr:nvPicPr>
        <xdr:cNvPr id="82657" name="Image 1">
          <a:extLst>
            <a:ext uri="{FF2B5EF4-FFF2-40B4-BE49-F238E27FC236}">
              <a16:creationId xmlns:a16="http://schemas.microsoft.com/office/drawing/2014/main" id="{6B26B3F9-B0C3-9D42-BB5F-EECDAFF51BD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1925" y="133350"/>
          <a:ext cx="60007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working\waccache\AM1PEPF0003EBAF\EXCELCNV\f0917f96-7854-4c74-b3bd-660fa5ea285c\20-3611%20Estimation_v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1"/>
      <sheetName val="Cahier de Prix"/>
      <sheetName val="Forfaits Tx Prépas"/>
      <sheetName val="Estimation"/>
      <sheetName val="Mise en Page"/>
    </sheetNames>
    <sheetDataSet>
      <sheetData sheetId="0"/>
      <sheetData sheetId="1"/>
      <sheetData sheetId="2"/>
      <sheetData sheetId="3"/>
      <sheetData sheetId="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1AA1F-ACF2-4994-A424-3E6CE006B54B}">
  <sheetPr codeName="Feuil1"/>
  <dimension ref="A1:D945"/>
  <sheetViews>
    <sheetView workbookViewId="0"/>
  </sheetViews>
  <sheetFormatPr defaultColWidth="9.28515625" defaultRowHeight="13.15"/>
  <cols>
    <col min="1" max="256" width="11.42578125" customWidth="1"/>
  </cols>
  <sheetData>
    <row r="1" spans="1:4">
      <c r="A1" s="257" t="s">
        <v>0</v>
      </c>
      <c r="B1" s="257" t="s">
        <v>1</v>
      </c>
      <c r="C1" s="257" t="s">
        <v>2</v>
      </c>
      <c r="D1" s="257" t="s">
        <v>3</v>
      </c>
    </row>
    <row r="2" spans="1:4">
      <c r="A2" s="258" t="s">
        <v>4</v>
      </c>
      <c r="B2" s="259" t="e">
        <f ca="1">IF(ISTEXT(([0]!P_1_1.1.1 [0]!Qté)),0,([0]!P_1_1.1.1 [0]!Qté))</f>
        <v>#REF!</v>
      </c>
      <c r="C2" s="260" t="e">
        <f ca="1">([0]!P_1_1.1.1 [0]!PU)</f>
        <v>#REF!</v>
      </c>
      <c r="D2" s="260" t="e">
        <f ca="1">IF(ISTEXT(([0]!P_1_1.1.1 [0]!MT)),0,([0]!P_1_1.1.1 [0]!MT))</f>
        <v>#REF!</v>
      </c>
    </row>
    <row r="3" spans="1:4">
      <c r="A3" s="258" t="s">
        <v>5</v>
      </c>
      <c r="B3" s="259" t="e">
        <f ca="1">IF(ISTEXT(([0]!P_1_1.1.2 [0]!Qté)),0,([0]!P_1_1.1.2 [0]!Qté))</f>
        <v>#REF!</v>
      </c>
      <c r="C3" s="260" t="e">
        <f ca="1">([0]!P_1_1.1.2 [0]!PU)</f>
        <v>#REF!</v>
      </c>
      <c r="D3" s="260" t="e">
        <f ca="1">IF(ISTEXT(([0]!P_1_1.1.2 [0]!MT)),0,([0]!P_1_1.1.2 [0]!MT))</f>
        <v>#REF!</v>
      </c>
    </row>
    <row r="4" spans="1:4">
      <c r="A4" s="258" t="s">
        <v>6</v>
      </c>
      <c r="B4" s="259" t="e">
        <f ca="1">IF(ISTEXT(([0]!P_1_1.2 [0]!Qté)),0,([0]!P_1_1.2 [0]!Qté))</f>
        <v>#REF!</v>
      </c>
      <c r="C4" s="260" t="e">
        <f ca="1">([0]!P_1_1.2 [0]!PU)</f>
        <v>#REF!</v>
      </c>
      <c r="D4" s="260" t="e">
        <f ca="1">IF(ISTEXT(([0]!P_1_1.2 [0]!MT)),0,([0]!P_1_1.2 [0]!MT))</f>
        <v>#REF!</v>
      </c>
    </row>
    <row r="5" spans="1:4">
      <c r="A5" s="258" t="s">
        <v>7</v>
      </c>
      <c r="B5" s="259" t="e">
        <f ca="1">IF(ISTEXT(([0]!P_1_1.3.1.1 [0]!Qté)),0,([0]!P_1_1.3.1.1 [0]!Qté))</f>
        <v>#REF!</v>
      </c>
      <c r="C5" s="260" t="e">
        <f ca="1">([0]!P_1_1.3.1.1 [0]!PU)</f>
        <v>#REF!</v>
      </c>
      <c r="D5" s="260" t="e">
        <f ca="1">IF(ISTEXT(([0]!P_1_1.3.1.1 [0]!MT)),0,([0]!P_1_1.3.1.1 [0]!MT))</f>
        <v>#REF!</v>
      </c>
    </row>
    <row r="6" spans="1:4">
      <c r="A6" s="258" t="s">
        <v>8</v>
      </c>
      <c r="B6" s="259" t="e">
        <f ca="1">IF(ISTEXT(([0]!P_1_1.3.1.2 [0]!Qté)),0,([0]!P_1_1.3.1.2 [0]!Qté))</f>
        <v>#REF!</v>
      </c>
      <c r="C6" s="260" t="e">
        <f ca="1">([0]!P_1_1.3.1.2 [0]!PU)</f>
        <v>#REF!</v>
      </c>
      <c r="D6" s="260" t="e">
        <f ca="1">IF(ISTEXT(([0]!P_1_1.3.1.2 [0]!MT)),0,([0]!P_1_1.3.1.2 [0]!MT))</f>
        <v>#REF!</v>
      </c>
    </row>
    <row r="7" spans="1:4">
      <c r="A7" s="258" t="s">
        <v>9</v>
      </c>
      <c r="B7" s="259" t="e">
        <f ca="1">IF(ISTEXT(([0]!P_1_1.3.1.3 [0]!Qté)),0,([0]!P_1_1.3.1.3 [0]!Qté))</f>
        <v>#REF!</v>
      </c>
      <c r="C7" s="260" t="e">
        <f ca="1">([0]!P_1_1.3.1.3 [0]!PU)</f>
        <v>#REF!</v>
      </c>
      <c r="D7" s="260" t="e">
        <f ca="1">IF(ISTEXT(([0]!P_1_1.3.1.3 [0]!MT)),0,([0]!P_1_1.3.1.3 [0]!MT))</f>
        <v>#REF!</v>
      </c>
    </row>
    <row r="8" spans="1:4">
      <c r="A8" s="258" t="s">
        <v>10</v>
      </c>
      <c r="B8" s="259" t="e">
        <f ca="1">IF(ISTEXT(([0]!P_1_1.3.1.4 [0]!Qté)),0,([0]!P_1_1.3.1.4 [0]!Qté))</f>
        <v>#REF!</v>
      </c>
      <c r="C8" s="260" t="e">
        <f ca="1">([0]!P_1_1.3.1.4 [0]!PU)</f>
        <v>#REF!</v>
      </c>
      <c r="D8" s="260" t="e">
        <f ca="1">IF(ISTEXT(([0]!P_1_1.3.1.4 [0]!MT)),0,([0]!P_1_1.3.1.4 [0]!MT))</f>
        <v>#REF!</v>
      </c>
    </row>
    <row r="9" spans="1:4">
      <c r="A9" s="258" t="s">
        <v>11</v>
      </c>
      <c r="B9" s="259" t="e">
        <f ca="1">IF(ISTEXT(([0]!P_1_1.3.1.5 [0]!Qté)),0,([0]!P_1_1.3.1.5 [0]!Qté))</f>
        <v>#REF!</v>
      </c>
      <c r="C9" s="260" t="e">
        <f ca="1">([0]!P_1_1.3.1.5 [0]!PU)</f>
        <v>#REF!</v>
      </c>
      <c r="D9" s="260" t="e">
        <f ca="1">IF(ISTEXT(([0]!P_1_1.3.1.5 [0]!MT)),0,([0]!P_1_1.3.1.5 [0]!MT))</f>
        <v>#REF!</v>
      </c>
    </row>
    <row r="10" spans="1:4">
      <c r="A10" s="258" t="s">
        <v>12</v>
      </c>
      <c r="B10" s="259" t="e">
        <f ca="1">IF(ISTEXT(([0]!P_1_1.3.1.6 [0]!Qté)),0,([0]!P_1_1.3.1.6 [0]!Qté))</f>
        <v>#REF!</v>
      </c>
      <c r="C10" s="260" t="e">
        <f ca="1">([0]!P_1_1.3.1.6 [0]!PU)</f>
        <v>#REF!</v>
      </c>
      <c r="D10" s="260" t="e">
        <f ca="1">IF(ISTEXT(([0]!P_1_1.3.1.6 [0]!MT)),0,([0]!P_1_1.3.1.6 [0]!MT))</f>
        <v>#REF!</v>
      </c>
    </row>
    <row r="11" spans="1:4">
      <c r="A11" s="258" t="s">
        <v>13</v>
      </c>
      <c r="B11" s="259" t="e">
        <f ca="1">IF(ISTEXT(([0]!P_1_1.3.1.7 [0]!Qté)),0,([0]!P_1_1.3.1.7 [0]!Qté))</f>
        <v>#REF!</v>
      </c>
      <c r="C11" s="260" t="e">
        <f ca="1">([0]!P_1_1.3.1.7 [0]!PU)</f>
        <v>#REF!</v>
      </c>
      <c r="D11" s="260" t="e">
        <f ca="1">IF(ISTEXT(([0]!P_1_1.3.1.7 [0]!MT)),0,([0]!P_1_1.3.1.7 [0]!MT))</f>
        <v>#REF!</v>
      </c>
    </row>
    <row r="12" spans="1:4">
      <c r="A12" s="258" t="s">
        <v>14</v>
      </c>
      <c r="B12" s="259" t="e">
        <f ca="1">IF(ISTEXT(([0]!P_1_1.3.1.8 [0]!Qté)),0,([0]!P_1_1.3.1.8 [0]!Qté))</f>
        <v>#REF!</v>
      </c>
      <c r="C12" s="260" t="e">
        <f ca="1">([0]!P_1_1.3.1.8 [0]!PU)</f>
        <v>#REF!</v>
      </c>
      <c r="D12" s="260" t="e">
        <f ca="1">IF(ISTEXT(([0]!P_1_1.3.1.8 [0]!MT)),0,([0]!P_1_1.3.1.8 [0]!MT))</f>
        <v>#REF!</v>
      </c>
    </row>
    <row r="13" spans="1:4">
      <c r="A13" s="258" t="s">
        <v>15</v>
      </c>
      <c r="B13" s="259" t="e">
        <f ca="1">IF(ISTEXT(([0]!P_1_1.3.2.1 [0]!Qté)),0,([0]!P_1_1.3.2.1 [0]!Qté))</f>
        <v>#REF!</v>
      </c>
      <c r="C13" s="260" t="e">
        <f ca="1">([0]!P_1_1.3.2.1 [0]!PU)</f>
        <v>#REF!</v>
      </c>
      <c r="D13" s="260" t="e">
        <f ca="1">IF(ISTEXT(([0]!P_1_1.3.2.1 [0]!MT)),0,([0]!P_1_1.3.2.1 [0]!MT))</f>
        <v>#REF!</v>
      </c>
    </row>
    <row r="14" spans="1:4">
      <c r="A14" s="258" t="s">
        <v>16</v>
      </c>
      <c r="B14" s="259" t="e">
        <f ca="1">IF(ISTEXT(([0]!P_1_1.3.2.2 [0]!Qté)),0,([0]!P_1_1.3.2.2 [0]!Qté))</f>
        <v>#REF!</v>
      </c>
      <c r="C14" s="260" t="e">
        <f ca="1">([0]!P_1_1.3.2.2 [0]!PU)</f>
        <v>#REF!</v>
      </c>
      <c r="D14" s="260" t="e">
        <f ca="1">IF(ISTEXT(([0]!P_1_1.3.2.2 [0]!MT)),0,([0]!P_1_1.3.2.2 [0]!MT))</f>
        <v>#REF!</v>
      </c>
    </row>
    <row r="15" spans="1:4">
      <c r="A15" s="258" t="s">
        <v>17</v>
      </c>
      <c r="B15" s="259" t="e">
        <f ca="1">IF(ISTEXT(([0]!P_1_1.3.2.3 [0]!Qté)),0,([0]!P_1_1.3.2.3 [0]!Qté))</f>
        <v>#REF!</v>
      </c>
      <c r="C15" s="260" t="e">
        <f ca="1">([0]!P_1_1.3.2.3 [0]!PU)</f>
        <v>#REF!</v>
      </c>
      <c r="D15" s="260" t="e">
        <f ca="1">IF(ISTEXT(([0]!P_1_1.3.2.3 [0]!MT)),0,([0]!P_1_1.3.2.3 [0]!MT))</f>
        <v>#REF!</v>
      </c>
    </row>
    <row r="16" spans="1:4">
      <c r="A16" s="258" t="s">
        <v>18</v>
      </c>
      <c r="B16" s="259" t="e">
        <f ca="1">IF(ISTEXT(([0]!P_1_1.3.2.4 [0]!Qté)),0,([0]!P_1_1.3.2.4 [0]!Qté))</f>
        <v>#REF!</v>
      </c>
      <c r="C16" s="260" t="e">
        <f ca="1">([0]!P_1_1.3.2.4 [0]!PU)</f>
        <v>#REF!</v>
      </c>
      <c r="D16" s="260" t="e">
        <f ca="1">IF(ISTEXT(([0]!P_1_1.3.2.4 [0]!MT)),0,([0]!P_1_1.3.2.4 [0]!MT))</f>
        <v>#REF!</v>
      </c>
    </row>
    <row r="17" spans="1:4">
      <c r="A17" s="258" t="s">
        <v>19</v>
      </c>
      <c r="B17" s="259" t="e">
        <f ca="1">IF(ISTEXT(([0]!P_1_1.3.3.1 [0]!Qté)),0,([0]!P_1_1.3.3.1 [0]!Qté))</f>
        <v>#REF!</v>
      </c>
      <c r="C17" s="260" t="e">
        <f ca="1">([0]!P_1_1.3.3.1 [0]!PU)</f>
        <v>#REF!</v>
      </c>
      <c r="D17" s="260" t="e">
        <f ca="1">IF(ISTEXT(([0]!P_1_1.3.3.1 [0]!MT)),0,([0]!P_1_1.3.3.1 [0]!MT))</f>
        <v>#REF!</v>
      </c>
    </row>
    <row r="18" spans="1:4">
      <c r="A18" s="258" t="s">
        <v>20</v>
      </c>
      <c r="B18" s="259" t="e">
        <f ca="1">IF(ISTEXT(([0]!P_1_1.3.3.2 [0]!Qté)),0,([0]!P_1_1.3.3.2 [0]!Qté))</f>
        <v>#REF!</v>
      </c>
      <c r="C18" s="260" t="e">
        <f ca="1">([0]!P_1_1.3.3.2 [0]!PU)</f>
        <v>#REF!</v>
      </c>
      <c r="D18" s="260" t="e">
        <f ca="1">IF(ISTEXT(([0]!P_1_1.3.3.2 [0]!MT)),0,([0]!P_1_1.3.3.2 [0]!MT))</f>
        <v>#REF!</v>
      </c>
    </row>
    <row r="19" spans="1:4">
      <c r="A19" s="258" t="s">
        <v>21</v>
      </c>
      <c r="B19" s="259" t="e">
        <f ca="1">IF(ISTEXT(([0]!P_1_1.3.3.3 [0]!Qté)),0,([0]!P_1_1.3.3.3 [0]!Qté))</f>
        <v>#REF!</v>
      </c>
      <c r="C19" s="260" t="e">
        <f ca="1">([0]!P_1_1.3.3.3 [0]!PU)</f>
        <v>#REF!</v>
      </c>
      <c r="D19" s="260" t="e">
        <f ca="1">IF(ISTEXT(([0]!P_1_1.3.3.3 [0]!MT)),0,([0]!P_1_1.3.3.3 [0]!MT))</f>
        <v>#REF!</v>
      </c>
    </row>
    <row r="20" spans="1:4">
      <c r="A20" s="258" t="s">
        <v>22</v>
      </c>
      <c r="B20" s="259" t="e">
        <f ca="1">IF(ISTEXT(([0]!P_1_1.3.3.4 [0]!Qté)),0,([0]!P_1_1.3.3.4 [0]!Qté))</f>
        <v>#REF!</v>
      </c>
      <c r="C20" s="260" t="e">
        <f ca="1">([0]!P_1_1.3.3.4 [0]!PU)</f>
        <v>#REF!</v>
      </c>
      <c r="D20" s="260" t="e">
        <f ca="1">IF(ISTEXT(([0]!P_1_1.3.3.4 [0]!MT)),0,([0]!P_1_1.3.3.4 [0]!MT))</f>
        <v>#REF!</v>
      </c>
    </row>
    <row r="21" spans="1:4">
      <c r="A21" s="258" t="s">
        <v>23</v>
      </c>
      <c r="B21" s="259" t="e">
        <f ca="1">IF(ISTEXT(([0]!P_1_1.3.4 [0]!Qté)),0,([0]!P_1_1.3.4 [0]!Qté))</f>
        <v>#REF!</v>
      </c>
      <c r="C21" s="260" t="e">
        <f ca="1">([0]!P_1_1.3.4 [0]!PU)</f>
        <v>#REF!</v>
      </c>
      <c r="D21" s="260" t="e">
        <f ca="1">IF(ISTEXT(([0]!P_1_1.3.4 [0]!MT)),0,([0]!P_1_1.3.4 [0]!MT))</f>
        <v>#REF!</v>
      </c>
    </row>
    <row r="22" spans="1:4">
      <c r="A22" s="258" t="s">
        <v>24</v>
      </c>
      <c r="B22" s="259" t="e">
        <f ca="1">IF(ISTEXT(([0]!P_1_1.3.5 [0]!Qté)),0,([0]!P_1_1.3.5 [0]!Qté))</f>
        <v>#REF!</v>
      </c>
      <c r="C22" s="260" t="e">
        <f ca="1">([0]!P_1_1.3.5 [0]!PU)</f>
        <v>#REF!</v>
      </c>
      <c r="D22" s="260" t="e">
        <f ca="1">IF(ISTEXT(([0]!P_1_1.3.5 [0]!MT)),0,([0]!P_1_1.3.5 [0]!MT))</f>
        <v>#REF!</v>
      </c>
    </row>
    <row r="23" spans="1:4">
      <c r="A23" s="258" t="s">
        <v>25</v>
      </c>
      <c r="B23" s="259" t="e">
        <f ca="1">IF(ISTEXT(([0]!P_1_1.3.6 [0]!Qté)),0,([0]!P_1_1.3.6 [0]!Qté))</f>
        <v>#REF!</v>
      </c>
      <c r="C23" s="260" t="e">
        <f ca="1">([0]!P_1_1.3.6 [0]!PU)</f>
        <v>#REF!</v>
      </c>
      <c r="D23" s="260" t="e">
        <f ca="1">IF(ISTEXT(([0]!P_1_1.3.6 [0]!MT)),0,([0]!P_1_1.3.6 [0]!MT))</f>
        <v>#REF!</v>
      </c>
    </row>
    <row r="24" spans="1:4">
      <c r="A24" s="258" t="s">
        <v>26</v>
      </c>
      <c r="B24" s="259" t="e">
        <f ca="1">IF(ISTEXT(([0]!P_1_1.3.7 [0]!Qté)),0,([0]!P_1_1.3.7 [0]!Qté))</f>
        <v>#REF!</v>
      </c>
      <c r="C24" s="260" t="e">
        <f ca="1">([0]!P_1_1.3.7 [0]!PU)</f>
        <v>#REF!</v>
      </c>
      <c r="D24" s="260" t="e">
        <f ca="1">IF(ISTEXT(([0]!P_1_1.3.7 [0]!MT)),0,([0]!P_1_1.3.7 [0]!MT))</f>
        <v>#REF!</v>
      </c>
    </row>
    <row r="25" spans="1:4">
      <c r="A25" s="258" t="s">
        <v>27</v>
      </c>
      <c r="B25" s="259" t="e">
        <f ca="1">IF(ISTEXT(([0]!P_1_1.3.8 [0]!Qté)),0,([0]!P_1_1.3.8 [0]!Qté))</f>
        <v>#REF!</v>
      </c>
      <c r="C25" s="260" t="e">
        <f ca="1">([0]!P_1_1.3.8 [0]!PU)</f>
        <v>#REF!</v>
      </c>
      <c r="D25" s="260" t="e">
        <f ca="1">IF(ISTEXT(([0]!P_1_1.3.8 [0]!MT)),0,([0]!P_1_1.3.8 [0]!MT))</f>
        <v>#REF!</v>
      </c>
    </row>
    <row r="26" spans="1:4">
      <c r="A26" s="258" t="s">
        <v>28</v>
      </c>
      <c r="B26" s="259" t="e">
        <f ca="1">IF(ISTEXT(([0]!P_1_1.3.9 [0]!Qté)),0,([0]!P_1_1.3.9 [0]!Qté))</f>
        <v>#REF!</v>
      </c>
      <c r="C26" s="260" t="e">
        <f ca="1">([0]!P_1_1.3.9 [0]!PU)</f>
        <v>#REF!</v>
      </c>
      <c r="D26" s="260" t="e">
        <f ca="1">IF(ISTEXT(([0]!P_1_1.3.9 [0]!MT)),0,([0]!P_1_1.3.9 [0]!MT))</f>
        <v>#REF!</v>
      </c>
    </row>
    <row r="27" spans="1:4">
      <c r="A27" s="258" t="s">
        <v>29</v>
      </c>
      <c r="B27" s="259" t="e">
        <f ca="1">IF(ISTEXT(([0]!P_1_1.3.10 [0]!Qté)),0,([0]!P_1_1.3.10 [0]!Qté))</f>
        <v>#REF!</v>
      </c>
      <c r="C27" s="260" t="e">
        <f ca="1">([0]!P_1_1.3.10 [0]!PU)</f>
        <v>#REF!</v>
      </c>
      <c r="D27" s="260" t="e">
        <f ca="1">IF(ISTEXT(([0]!P_1_1.3.10 [0]!MT)),0,([0]!P_1_1.3.10 [0]!MT))</f>
        <v>#REF!</v>
      </c>
    </row>
    <row r="28" spans="1:4">
      <c r="A28" s="258" t="s">
        <v>30</v>
      </c>
      <c r="B28" s="259" t="e">
        <f ca="1">IF(ISTEXT(([0]!P_1_1.3.11 [0]!Qté)),0,([0]!P_1_1.3.11 [0]!Qté))</f>
        <v>#REF!</v>
      </c>
      <c r="C28" s="260" t="e">
        <f ca="1">([0]!P_1_1.3.11 [0]!PU)</f>
        <v>#REF!</v>
      </c>
      <c r="D28" s="260" t="e">
        <f ca="1">IF(ISTEXT(([0]!P_1_1.3.11 [0]!MT)),0,([0]!P_1_1.3.11 [0]!MT))</f>
        <v>#REF!</v>
      </c>
    </row>
    <row r="29" spans="1:4">
      <c r="A29" s="258" t="s">
        <v>31</v>
      </c>
      <c r="B29" s="259" t="e">
        <f ca="1">IF(ISTEXT(([0]!P_1_1.4.1 [0]!Qté)),0,([0]!P_1_1.4.1 [0]!Qté))</f>
        <v>#REF!</v>
      </c>
      <c r="C29" s="260" t="e">
        <f ca="1">([0]!P_1_1.4.1 [0]!PU)</f>
        <v>#REF!</v>
      </c>
      <c r="D29" s="260" t="e">
        <f ca="1">IF(ISTEXT(([0]!P_1_1.4.1 [0]!MT)),0,([0]!P_1_1.4.1 [0]!MT))</f>
        <v>#REF!</v>
      </c>
    </row>
    <row r="30" spans="1:4">
      <c r="A30" s="258" t="s">
        <v>32</v>
      </c>
      <c r="B30" s="259" t="e">
        <f ca="1">IF(ISTEXT(([0]!P_1_1.4.2 [0]!Qté)),0,([0]!P_1_1.4.2 [0]!Qté))</f>
        <v>#REF!</v>
      </c>
      <c r="C30" s="260" t="e">
        <f ca="1">([0]!P_1_1.4.2 [0]!PU)</f>
        <v>#REF!</v>
      </c>
      <c r="D30" s="260" t="e">
        <f ca="1">IF(ISTEXT(([0]!P_1_1.4.2 [0]!MT)),0,([0]!P_1_1.4.2 [0]!MT))</f>
        <v>#REF!</v>
      </c>
    </row>
    <row r="31" spans="1:4">
      <c r="A31" s="258" t="s">
        <v>33</v>
      </c>
      <c r="B31" s="259" t="e">
        <f ca="1">IF(ISTEXT(([0]!P_1_1.4.3 [0]!Qté)),0,([0]!P_1_1.4.3 [0]!Qté))</f>
        <v>#REF!</v>
      </c>
      <c r="C31" s="260" t="e">
        <f ca="1">([0]!P_1_1.4.3 [0]!PU)</f>
        <v>#REF!</v>
      </c>
      <c r="D31" s="260" t="e">
        <f ca="1">IF(ISTEXT(([0]!P_1_1.4.3 [0]!MT)),0,([0]!P_1_1.4.3 [0]!MT))</f>
        <v>#REF!</v>
      </c>
    </row>
    <row r="32" spans="1:4">
      <c r="A32" s="258" t="s">
        <v>34</v>
      </c>
      <c r="B32" s="259" t="e">
        <f ca="1">IF(ISTEXT(([0]!P_1_1.5 [0]!Qté)),0,([0]!P_1_1.5 [0]!Qté))</f>
        <v>#REF!</v>
      </c>
      <c r="C32" s="260" t="e">
        <f ca="1">([0]!P_1_1.5 [0]!PU)</f>
        <v>#REF!</v>
      </c>
      <c r="D32" s="260" t="e">
        <f ca="1">IF(ISTEXT(([0]!P_1_1.5 [0]!MT)),0,([0]!P_1_1.5 [0]!MT))</f>
        <v>#REF!</v>
      </c>
    </row>
    <row r="33" spans="1:4">
      <c r="A33" s="258" t="s">
        <v>35</v>
      </c>
      <c r="B33" s="259" t="e">
        <f ca="1">IF(ISTEXT(([0]!P_1_1.6 [0]!Qté)),0,([0]!P_1_1.6 [0]!Qté))</f>
        <v>#REF!</v>
      </c>
      <c r="C33" s="260" t="e">
        <f ca="1">([0]!P_1_1.6 [0]!PU)</f>
        <v>#REF!</v>
      </c>
      <c r="D33" s="260" t="e">
        <f ca="1">IF(ISTEXT(([0]!P_1_1.6 [0]!MT)),0,([0]!P_1_1.6 [0]!MT))</f>
        <v>#REF!</v>
      </c>
    </row>
    <row r="34" spans="1:4">
      <c r="A34" s="258" t="s">
        <v>36</v>
      </c>
      <c r="B34" s="259" t="e">
        <f ca="1">IF(ISTEXT(([0]!P_1_1.7.1 [0]!Qté)),0,([0]!P_1_1.7.1 [0]!Qté))</f>
        <v>#REF!</v>
      </c>
      <c r="C34" s="260" t="e">
        <f ca="1">([0]!P_1_1.7.1 [0]!PU)</f>
        <v>#REF!</v>
      </c>
      <c r="D34" s="260" t="e">
        <f ca="1">IF(ISTEXT(([0]!P_1_1.7.1 [0]!MT)),0,([0]!P_1_1.7.1 [0]!MT))</f>
        <v>#REF!</v>
      </c>
    </row>
    <row r="35" spans="1:4">
      <c r="A35" s="258" t="s">
        <v>37</v>
      </c>
      <c r="B35" s="259" t="e">
        <f ca="1">IF(ISTEXT(([0]!P_1_1.7.2 [0]!Qté)),0,([0]!P_1_1.7.2 [0]!Qté))</f>
        <v>#REF!</v>
      </c>
      <c r="C35" s="260" t="e">
        <f ca="1">([0]!P_1_1.7.2 [0]!PU)</f>
        <v>#REF!</v>
      </c>
      <c r="D35" s="260" t="e">
        <f ca="1">IF(ISTEXT(([0]!P_1_1.7.2 [0]!MT)),0,([0]!P_1_1.7.2 [0]!MT))</f>
        <v>#REF!</v>
      </c>
    </row>
    <row r="36" spans="1:4">
      <c r="A36" s="258" t="s">
        <v>38</v>
      </c>
      <c r="B36" s="259" t="e">
        <f ca="1">IF(ISTEXT(([0]!P_1_1.7.3 [0]!Qté)),0,([0]!P_1_1.7.3 [0]!Qté))</f>
        <v>#REF!</v>
      </c>
      <c r="C36" s="260" t="e">
        <f ca="1">([0]!P_1_1.7.3 [0]!PU)</f>
        <v>#REF!</v>
      </c>
      <c r="D36" s="260" t="e">
        <f ca="1">IF(ISTEXT(([0]!P_1_1.7.3 [0]!MT)),0,([0]!P_1_1.7.3 [0]!MT))</f>
        <v>#REF!</v>
      </c>
    </row>
    <row r="37" spans="1:4">
      <c r="A37" s="258" t="s">
        <v>39</v>
      </c>
      <c r="B37" s="259" t="e">
        <f ca="1">IF(ISTEXT(([0]!P_1_2.1.1 [0]!Qté)),0,([0]!P_1_2.1.1 [0]!Qté))</f>
        <v>#REF!</v>
      </c>
      <c r="C37" s="260" t="e">
        <f ca="1">([0]!P_1_2.1.1 [0]!PU)</f>
        <v>#REF!</v>
      </c>
      <c r="D37" s="260" t="e">
        <f ca="1">IF(ISTEXT(([0]!P_1_2.1.1 [0]!MT)),0,([0]!P_1_2.1.1 [0]!MT))</f>
        <v>#REF!</v>
      </c>
    </row>
    <row r="38" spans="1:4">
      <c r="A38" s="258" t="s">
        <v>40</v>
      </c>
      <c r="B38" s="259" t="e">
        <f ca="1">IF(ISTEXT(([0]!P_1_2.1.2 [0]!Qté)),0,([0]!P_1_2.1.2 [0]!Qté))</f>
        <v>#REF!</v>
      </c>
      <c r="C38" s="260" t="e">
        <f ca="1">([0]!P_1_2.1.2 [0]!PU)</f>
        <v>#REF!</v>
      </c>
      <c r="D38" s="260" t="e">
        <f ca="1">IF(ISTEXT(([0]!P_1_2.1.2 [0]!MT)),0,([0]!P_1_2.1.2 [0]!MT))</f>
        <v>#REF!</v>
      </c>
    </row>
    <row r="39" spans="1:4">
      <c r="A39" s="258" t="s">
        <v>41</v>
      </c>
      <c r="B39" s="259" t="e">
        <f ca="1">IF(ISTEXT(([0]!P_1_2.1.3 [0]!Qté)),0,([0]!P_1_2.1.3 [0]!Qté))</f>
        <v>#REF!</v>
      </c>
      <c r="C39" s="260" t="e">
        <f ca="1">([0]!P_1_2.1.3 [0]!PU)</f>
        <v>#REF!</v>
      </c>
      <c r="D39" s="260" t="e">
        <f ca="1">IF(ISTEXT(([0]!P_1_2.1.3 [0]!MT)),0,([0]!P_1_2.1.3 [0]!MT))</f>
        <v>#REF!</v>
      </c>
    </row>
    <row r="40" spans="1:4">
      <c r="A40" s="258" t="s">
        <v>42</v>
      </c>
      <c r="B40" s="259" t="e">
        <f ca="1">IF(ISTEXT(([0]!P_1_2.1.4 [0]!Qté)),0,([0]!P_1_2.1.4 [0]!Qté))</f>
        <v>#REF!</v>
      </c>
      <c r="C40" s="260" t="e">
        <f ca="1">([0]!P_1_2.1.4 [0]!PU)</f>
        <v>#REF!</v>
      </c>
      <c r="D40" s="260" t="e">
        <f ca="1">IF(ISTEXT(([0]!P_1_2.1.4 [0]!MT)),0,([0]!P_1_2.1.4 [0]!MT))</f>
        <v>#REF!</v>
      </c>
    </row>
    <row r="41" spans="1:4">
      <c r="A41" s="258" t="s">
        <v>43</v>
      </c>
      <c r="B41" s="259" t="e">
        <f ca="1">IF(ISTEXT(([0]!P_1_2.1.5 [0]!Qté)),0,([0]!P_1_2.1.5 [0]!Qté))</f>
        <v>#REF!</v>
      </c>
      <c r="C41" s="260" t="e">
        <f ca="1">([0]!P_1_2.1.5 [0]!PU)</f>
        <v>#REF!</v>
      </c>
      <c r="D41" s="260" t="e">
        <f ca="1">IF(ISTEXT(([0]!P_1_2.1.5 [0]!MT)),0,([0]!P_1_2.1.5 [0]!MT))</f>
        <v>#REF!</v>
      </c>
    </row>
    <row r="42" spans="1:4">
      <c r="A42" s="258" t="s">
        <v>44</v>
      </c>
      <c r="B42" s="259" t="e">
        <f ca="1">IF(ISTEXT(([0]!P_1_2.2.1 [0]!Qté)),0,([0]!P_1_2.2.1 [0]!Qté))</f>
        <v>#REF!</v>
      </c>
      <c r="C42" s="260" t="e">
        <f ca="1">([0]!P_1_2.2.1 [0]!PU)</f>
        <v>#REF!</v>
      </c>
      <c r="D42" s="260" t="e">
        <f ca="1">IF(ISTEXT(([0]!P_1_2.2.1 [0]!MT)),0,([0]!P_1_2.2.1 [0]!MT))</f>
        <v>#REF!</v>
      </c>
    </row>
    <row r="43" spans="1:4">
      <c r="A43" s="258" t="s">
        <v>45</v>
      </c>
      <c r="B43" s="259" t="e">
        <f ca="1">IF(ISTEXT(([0]!P_1_2.2.2 [0]!Qté)),0,([0]!P_1_2.2.2 [0]!Qté))</f>
        <v>#REF!</v>
      </c>
      <c r="C43" s="260" t="e">
        <f ca="1">([0]!P_1_2.2.2 [0]!PU)</f>
        <v>#REF!</v>
      </c>
      <c r="D43" s="260" t="e">
        <f ca="1">IF(ISTEXT(([0]!P_1_2.2.2 [0]!MT)),0,([0]!P_1_2.2.2 [0]!MT))</f>
        <v>#REF!</v>
      </c>
    </row>
    <row r="44" spans="1:4">
      <c r="A44" s="258" t="s">
        <v>46</v>
      </c>
      <c r="B44" s="259" t="e">
        <f ca="1">IF(ISTEXT(([0]!P_1_2.2.3 [0]!Qté)),0,([0]!P_1_2.2.3 [0]!Qté))</f>
        <v>#REF!</v>
      </c>
      <c r="C44" s="260" t="e">
        <f ca="1">([0]!P_1_2.2.3 [0]!PU)</f>
        <v>#REF!</v>
      </c>
      <c r="D44" s="260" t="e">
        <f ca="1">IF(ISTEXT(([0]!P_1_2.2.3 [0]!MT)),0,([0]!P_1_2.2.3 [0]!MT))</f>
        <v>#REF!</v>
      </c>
    </row>
    <row r="45" spans="1:4">
      <c r="A45" s="258" t="s">
        <v>47</v>
      </c>
      <c r="B45" s="259" t="e">
        <f ca="1">IF(ISTEXT(([0]!P_1_2.2.4 [0]!Qté)),0,([0]!P_1_2.2.4 [0]!Qté))</f>
        <v>#REF!</v>
      </c>
      <c r="C45" s="260" t="e">
        <f ca="1">([0]!P_1_2.2.4 [0]!PU)</f>
        <v>#REF!</v>
      </c>
      <c r="D45" s="260" t="e">
        <f ca="1">IF(ISTEXT(([0]!P_1_2.2.4 [0]!MT)),0,([0]!P_1_2.2.4 [0]!MT))</f>
        <v>#REF!</v>
      </c>
    </row>
    <row r="46" spans="1:4">
      <c r="A46" s="258" t="s">
        <v>48</v>
      </c>
      <c r="B46" s="259" t="e">
        <f ca="1">IF(ISTEXT(([0]!P_1_2.2.5 [0]!Qté)),0,([0]!P_1_2.2.5 [0]!Qté))</f>
        <v>#REF!</v>
      </c>
      <c r="C46" s="260" t="e">
        <f ca="1">([0]!P_1_2.2.5 [0]!PU)</f>
        <v>#REF!</v>
      </c>
      <c r="D46" s="260" t="e">
        <f ca="1">IF(ISTEXT(([0]!P_1_2.2.5 [0]!MT)),0,([0]!P_1_2.2.5 [0]!MT))</f>
        <v>#REF!</v>
      </c>
    </row>
    <row r="47" spans="1:4">
      <c r="A47" s="258" t="s">
        <v>49</v>
      </c>
      <c r="B47" s="259" t="e">
        <f ca="1">IF(ISTEXT(([0]!P_1_2.2.6 [0]!Qté)),0,([0]!P_1_2.2.6 [0]!Qté))</f>
        <v>#REF!</v>
      </c>
      <c r="C47" s="260" t="e">
        <f ca="1">([0]!P_1_2.2.6 [0]!PU)</f>
        <v>#REF!</v>
      </c>
      <c r="D47" s="260" t="e">
        <f ca="1">IF(ISTEXT(([0]!P_1_2.2.6 [0]!MT)),0,([0]!P_1_2.2.6 [0]!MT))</f>
        <v>#REF!</v>
      </c>
    </row>
    <row r="48" spans="1:4">
      <c r="A48" s="258" t="s">
        <v>50</v>
      </c>
      <c r="B48" s="259" t="e">
        <f ca="1">IF(ISTEXT(([0]!P_1_2.2.7 [0]!Qté)),0,([0]!P_1_2.2.7 [0]!Qté))</f>
        <v>#REF!</v>
      </c>
      <c r="C48" s="260" t="e">
        <f ca="1">([0]!P_1_2.2.7 [0]!PU)</f>
        <v>#REF!</v>
      </c>
      <c r="D48" s="260" t="e">
        <f ca="1">IF(ISTEXT(([0]!P_1_2.2.7 [0]!MT)),0,([0]!P_1_2.2.7 [0]!MT))</f>
        <v>#REF!</v>
      </c>
    </row>
    <row r="49" spans="1:4">
      <c r="A49" s="258" t="s">
        <v>51</v>
      </c>
      <c r="B49" s="259" t="e">
        <f ca="1">IF(ISTEXT(([0]!P_1_2.2.8 [0]!Qté)),0,([0]!P_1_2.2.8 [0]!Qté))</f>
        <v>#REF!</v>
      </c>
      <c r="C49" s="260" t="e">
        <f ca="1">([0]!P_1_2.2.8 [0]!PU)</f>
        <v>#REF!</v>
      </c>
      <c r="D49" s="260" t="e">
        <f ca="1">IF(ISTEXT(([0]!P_1_2.2.8 [0]!MT)),0,([0]!P_1_2.2.8 [0]!MT))</f>
        <v>#REF!</v>
      </c>
    </row>
    <row r="50" spans="1:4">
      <c r="A50" s="258" t="s">
        <v>52</v>
      </c>
      <c r="B50" s="259" t="e">
        <f ca="1">IF(ISTEXT(([0]!P_1_2.3.1 [0]!Qté)),0,([0]!P_1_2.3.1 [0]!Qté))</f>
        <v>#REF!</v>
      </c>
      <c r="C50" s="260" t="e">
        <f ca="1">([0]!P_1_2.3.1 [0]!PU)</f>
        <v>#REF!</v>
      </c>
      <c r="D50" s="260" t="e">
        <f ca="1">IF(ISTEXT(([0]!P_1_2.3.1 [0]!MT)),0,([0]!P_1_2.3.1 [0]!MT))</f>
        <v>#REF!</v>
      </c>
    </row>
    <row r="51" spans="1:4">
      <c r="A51" s="258" t="s">
        <v>53</v>
      </c>
      <c r="B51" s="259" t="e">
        <f ca="1">IF(ISTEXT(([0]!P_1_2.3.2 [0]!Qté)),0,([0]!P_1_2.3.2 [0]!Qté))</f>
        <v>#REF!</v>
      </c>
      <c r="C51" s="260" t="e">
        <f ca="1">([0]!P_1_2.3.2 [0]!PU)</f>
        <v>#REF!</v>
      </c>
      <c r="D51" s="260" t="e">
        <f ca="1">IF(ISTEXT(([0]!P_1_2.3.2 [0]!MT)),0,([0]!P_1_2.3.2 [0]!MT))</f>
        <v>#REF!</v>
      </c>
    </row>
    <row r="52" spans="1:4">
      <c r="A52" s="258" t="s">
        <v>54</v>
      </c>
      <c r="B52" s="259" t="e">
        <f ca="1">IF(ISTEXT(([0]!P_1_2.3.3 [0]!Qté)),0,([0]!P_1_2.3.3 [0]!Qté))</f>
        <v>#REF!</v>
      </c>
      <c r="C52" s="260" t="e">
        <f ca="1">([0]!P_1_2.3.3 [0]!PU)</f>
        <v>#REF!</v>
      </c>
      <c r="D52" s="260" t="e">
        <f ca="1">IF(ISTEXT(([0]!P_1_2.3.3 [0]!MT)),0,([0]!P_1_2.3.3 [0]!MT))</f>
        <v>#REF!</v>
      </c>
    </row>
    <row r="53" spans="1:4">
      <c r="A53" s="258" t="s">
        <v>55</v>
      </c>
      <c r="B53" s="259" t="e">
        <f ca="1">IF(ISTEXT(([0]!P_1_2.3.4 [0]!Qté)),0,([0]!P_1_2.3.4 [0]!Qté))</f>
        <v>#REF!</v>
      </c>
      <c r="C53" s="260" t="e">
        <f ca="1">([0]!P_1_2.3.4 [0]!PU)</f>
        <v>#REF!</v>
      </c>
      <c r="D53" s="260" t="e">
        <f ca="1">IF(ISTEXT(([0]!P_1_2.3.4 [0]!MT)),0,([0]!P_1_2.3.4 [0]!MT))</f>
        <v>#REF!</v>
      </c>
    </row>
    <row r="54" spans="1:4">
      <c r="A54" s="258" t="s">
        <v>56</v>
      </c>
      <c r="B54" s="259" t="e">
        <f ca="1">IF(ISTEXT(([0]!P_1_2.3.5 [0]!Qté)),0,([0]!P_1_2.3.5 [0]!Qté))</f>
        <v>#REF!</v>
      </c>
      <c r="C54" s="260" t="e">
        <f ca="1">([0]!P_1_2.3.5 [0]!PU)</f>
        <v>#REF!</v>
      </c>
      <c r="D54" s="260" t="e">
        <f ca="1">IF(ISTEXT(([0]!P_1_2.3.5 [0]!MT)),0,([0]!P_1_2.3.5 [0]!MT))</f>
        <v>#REF!</v>
      </c>
    </row>
    <row r="55" spans="1:4">
      <c r="A55" s="258" t="s">
        <v>57</v>
      </c>
      <c r="B55" s="259" t="e">
        <f ca="1">IF(ISTEXT(([0]!P_1_2.4.1 [0]!Qté)),0,([0]!P_1_2.4.1 [0]!Qté))</f>
        <v>#REF!</v>
      </c>
      <c r="C55" s="260" t="e">
        <f ca="1">([0]!P_1_2.4.1 [0]!PU)</f>
        <v>#REF!</v>
      </c>
      <c r="D55" s="260" t="e">
        <f ca="1">IF(ISTEXT(([0]!P_1_2.4.1 [0]!MT)),0,([0]!P_1_2.4.1 [0]!MT))</f>
        <v>#REF!</v>
      </c>
    </row>
    <row r="56" spans="1:4">
      <c r="A56" s="258" t="s">
        <v>58</v>
      </c>
      <c r="B56" s="259" t="e">
        <f ca="1">IF(ISTEXT(([0]!P_1_2.4.2 [0]!Qté)),0,([0]!P_1_2.4.2 [0]!Qté))</f>
        <v>#REF!</v>
      </c>
      <c r="C56" s="260" t="e">
        <f ca="1">([0]!P_1_2.4.2 [0]!PU)</f>
        <v>#REF!</v>
      </c>
      <c r="D56" s="260" t="e">
        <f ca="1">IF(ISTEXT(([0]!P_1_2.4.2 [0]!MT)),0,([0]!P_1_2.4.2 [0]!MT))</f>
        <v>#REF!</v>
      </c>
    </row>
    <row r="57" spans="1:4">
      <c r="A57" s="258" t="s">
        <v>59</v>
      </c>
      <c r="B57" s="259" t="e">
        <f ca="1">IF(ISTEXT(([0]!P_1_2.4.3 [0]!Qté)),0,([0]!P_1_2.4.3 [0]!Qté))</f>
        <v>#REF!</v>
      </c>
      <c r="C57" s="260" t="e">
        <f ca="1">([0]!P_1_2.4.3 [0]!PU)</f>
        <v>#REF!</v>
      </c>
      <c r="D57" s="260" t="e">
        <f ca="1">IF(ISTEXT(([0]!P_1_2.4.3 [0]!MT)),0,([0]!P_1_2.4.3 [0]!MT))</f>
        <v>#REF!</v>
      </c>
    </row>
    <row r="58" spans="1:4">
      <c r="A58" s="258" t="s">
        <v>60</v>
      </c>
      <c r="B58" s="259" t="e">
        <f ca="1">IF(ISTEXT(([0]!P_1_2.4.4 [0]!Qté)),0,([0]!P_1_2.4.4 [0]!Qté))</f>
        <v>#REF!</v>
      </c>
      <c r="C58" s="260" t="e">
        <f ca="1">([0]!P_1_2.4.4 [0]!PU)</f>
        <v>#REF!</v>
      </c>
      <c r="D58" s="260" t="e">
        <f ca="1">IF(ISTEXT(([0]!P_1_2.4.4 [0]!MT)),0,([0]!P_1_2.4.4 [0]!MT))</f>
        <v>#REF!</v>
      </c>
    </row>
    <row r="59" spans="1:4">
      <c r="A59" s="258" t="s">
        <v>61</v>
      </c>
      <c r="B59" s="259" t="e">
        <f ca="1">IF(ISTEXT(([0]!P_1_2.4.5 [0]!Qté)),0,([0]!P_1_2.4.5 [0]!Qté))</f>
        <v>#REF!</v>
      </c>
      <c r="C59" s="260" t="e">
        <f ca="1">([0]!P_1_2.4.5 [0]!PU)</f>
        <v>#REF!</v>
      </c>
      <c r="D59" s="260" t="e">
        <f ca="1">IF(ISTEXT(([0]!P_1_2.4.5 [0]!MT)),0,([0]!P_1_2.4.5 [0]!MT))</f>
        <v>#REF!</v>
      </c>
    </row>
    <row r="60" spans="1:4">
      <c r="A60" s="258" t="s">
        <v>62</v>
      </c>
      <c r="B60" s="259" t="e">
        <f ca="1">IF(ISTEXT(([0]!P_1_2.4.6 [0]!Qté)),0,([0]!P_1_2.4.6 [0]!Qté))</f>
        <v>#REF!</v>
      </c>
      <c r="C60" s="260" t="e">
        <f ca="1">([0]!P_1_2.4.6 [0]!PU)</f>
        <v>#REF!</v>
      </c>
      <c r="D60" s="260" t="e">
        <f ca="1">IF(ISTEXT(([0]!P_1_2.4.6 [0]!MT)),0,([0]!P_1_2.4.6 [0]!MT))</f>
        <v>#REF!</v>
      </c>
    </row>
    <row r="61" spans="1:4">
      <c r="A61" s="258" t="s">
        <v>63</v>
      </c>
      <c r="B61" s="259" t="e">
        <f ca="1">IF(ISTEXT(([0]!P_1_2.4.7 [0]!Qté)),0,([0]!P_1_2.4.7 [0]!Qté))</f>
        <v>#REF!</v>
      </c>
      <c r="C61" s="260" t="e">
        <f ca="1">([0]!P_1_2.4.7 [0]!PU)</f>
        <v>#REF!</v>
      </c>
      <c r="D61" s="260" t="e">
        <f ca="1">IF(ISTEXT(([0]!P_1_2.4.7 [0]!MT)),0,([0]!P_1_2.4.7 [0]!MT))</f>
        <v>#REF!</v>
      </c>
    </row>
    <row r="62" spans="1:4">
      <c r="A62" s="258" t="s">
        <v>64</v>
      </c>
      <c r="B62" s="259" t="e">
        <f ca="1">IF(ISTEXT(([0]!P_1_2.5.1 [0]!Qté)),0,([0]!P_1_2.5.1 [0]!Qté))</f>
        <v>#REF!</v>
      </c>
      <c r="C62" s="260" t="e">
        <f ca="1">([0]!P_1_2.5.1 [0]!PU)</f>
        <v>#REF!</v>
      </c>
      <c r="D62" s="260" t="e">
        <f ca="1">IF(ISTEXT(([0]!P_1_2.5.1 [0]!MT)),0,([0]!P_1_2.5.1 [0]!MT))</f>
        <v>#REF!</v>
      </c>
    </row>
    <row r="63" spans="1:4">
      <c r="A63" s="258" t="s">
        <v>65</v>
      </c>
      <c r="B63" s="259" t="e">
        <f ca="1">IF(ISTEXT(([0]!P_1_2.5.2 [0]!Qté)),0,([0]!P_1_2.5.2 [0]!Qté))</f>
        <v>#REF!</v>
      </c>
      <c r="C63" s="260" t="e">
        <f ca="1">([0]!P_1_2.5.2 [0]!PU)</f>
        <v>#REF!</v>
      </c>
      <c r="D63" s="260" t="e">
        <f ca="1">IF(ISTEXT(([0]!P_1_2.5.2 [0]!MT)),0,([0]!P_1_2.5.2 [0]!MT))</f>
        <v>#REF!</v>
      </c>
    </row>
    <row r="64" spans="1:4">
      <c r="A64" s="258" t="s">
        <v>66</v>
      </c>
      <c r="B64" s="259" t="e">
        <f ca="1">IF(ISTEXT(([0]!P_1_2.5.3 [0]!Qté)),0,([0]!P_1_2.5.3 [0]!Qté))</f>
        <v>#REF!</v>
      </c>
      <c r="C64" s="260" t="e">
        <f ca="1">([0]!P_1_2.5.3 [0]!PU)</f>
        <v>#REF!</v>
      </c>
      <c r="D64" s="260" t="e">
        <f ca="1">IF(ISTEXT(([0]!P_1_2.5.3 [0]!MT)),0,([0]!P_1_2.5.3 [0]!MT))</f>
        <v>#REF!</v>
      </c>
    </row>
    <row r="65" spans="1:4">
      <c r="A65" s="258" t="s">
        <v>67</v>
      </c>
      <c r="B65" s="259" t="e">
        <f ca="1">IF(ISTEXT(([0]!P_1_2.5.4 [0]!Qté)),0,([0]!P_1_2.5.4 [0]!Qté))</f>
        <v>#REF!</v>
      </c>
      <c r="C65" s="260" t="e">
        <f ca="1">([0]!P_1_2.5.4 [0]!PU)</f>
        <v>#REF!</v>
      </c>
      <c r="D65" s="260" t="e">
        <f ca="1">IF(ISTEXT(([0]!P_1_2.5.4 [0]!MT)),0,([0]!P_1_2.5.4 [0]!MT))</f>
        <v>#REF!</v>
      </c>
    </row>
    <row r="66" spans="1:4">
      <c r="A66" s="258" t="s">
        <v>68</v>
      </c>
      <c r="B66" s="259" t="e">
        <f ca="1">IF(ISTEXT(([0]!P_1_2.5.5 [0]!Qté)),0,([0]!P_1_2.5.5 [0]!Qté))</f>
        <v>#REF!</v>
      </c>
      <c r="C66" s="260" t="e">
        <f ca="1">([0]!P_1_2.5.5 [0]!PU)</f>
        <v>#REF!</v>
      </c>
      <c r="D66" s="260" t="e">
        <f ca="1">IF(ISTEXT(([0]!P_1_2.5.5 [0]!MT)),0,([0]!P_1_2.5.5 [0]!MT))</f>
        <v>#REF!</v>
      </c>
    </row>
    <row r="67" spans="1:4">
      <c r="A67" s="258" t="s">
        <v>69</v>
      </c>
      <c r="B67" s="259" t="e">
        <f ca="1">IF(ISTEXT(([0]!P_1_2.6.1 [0]!Qté)),0,([0]!P_1_2.6.1 [0]!Qté))</f>
        <v>#REF!</v>
      </c>
      <c r="C67" s="260" t="e">
        <f ca="1">([0]!P_1_2.6.1 [0]!PU)</f>
        <v>#REF!</v>
      </c>
      <c r="D67" s="260" t="e">
        <f ca="1">IF(ISTEXT(([0]!P_1_2.6.1 [0]!MT)),0,([0]!P_1_2.6.1 [0]!MT))</f>
        <v>#REF!</v>
      </c>
    </row>
    <row r="68" spans="1:4">
      <c r="A68" s="258" t="s">
        <v>70</v>
      </c>
      <c r="B68" s="259" t="e">
        <f ca="1">IF(ISTEXT(([0]!P_1_2.6.2 [0]!Qté)),0,([0]!P_1_2.6.2 [0]!Qté))</f>
        <v>#REF!</v>
      </c>
      <c r="C68" s="260" t="e">
        <f ca="1">([0]!P_1_2.6.2 [0]!PU)</f>
        <v>#REF!</v>
      </c>
      <c r="D68" s="260" t="e">
        <f ca="1">IF(ISTEXT(([0]!P_1_2.6.2 [0]!MT)),0,([0]!P_1_2.6.2 [0]!MT))</f>
        <v>#REF!</v>
      </c>
    </row>
    <row r="69" spans="1:4">
      <c r="A69" s="258" t="s">
        <v>71</v>
      </c>
      <c r="B69" s="259" t="e">
        <f ca="1">IF(ISTEXT(([0]!P_1_2.6.3 [0]!Qté)),0,([0]!P_1_2.6.3 [0]!Qté))</f>
        <v>#REF!</v>
      </c>
      <c r="C69" s="260" t="e">
        <f ca="1">([0]!P_1_2.6.3 [0]!PU)</f>
        <v>#REF!</v>
      </c>
      <c r="D69" s="260" t="e">
        <f ca="1">IF(ISTEXT(([0]!P_1_2.6.3 [0]!MT)),0,([0]!P_1_2.6.3 [0]!MT))</f>
        <v>#REF!</v>
      </c>
    </row>
    <row r="70" spans="1:4">
      <c r="A70" s="258" t="s">
        <v>72</v>
      </c>
      <c r="B70" s="259" t="e">
        <f ca="1">IF(ISTEXT(([0]!P_1_2.6.4 [0]!Qté)),0,([0]!P_1_2.6.4 [0]!Qté))</f>
        <v>#REF!</v>
      </c>
      <c r="C70" s="260" t="e">
        <f ca="1">([0]!P_1_2.6.4 [0]!PU)</f>
        <v>#REF!</v>
      </c>
      <c r="D70" s="260" t="e">
        <f ca="1">IF(ISTEXT(([0]!P_1_2.6.4 [0]!MT)),0,([0]!P_1_2.6.4 [0]!MT))</f>
        <v>#REF!</v>
      </c>
    </row>
    <row r="71" spans="1:4">
      <c r="A71" s="258" t="s">
        <v>73</v>
      </c>
      <c r="B71" s="259" t="e">
        <f ca="1">IF(ISTEXT(([0]!P_1_3.1.1 [0]!Qté)),0,([0]!P_1_3.1.1 [0]!Qté))</f>
        <v>#REF!</v>
      </c>
      <c r="C71" s="260" t="e">
        <f ca="1">([0]!P_1_3.1.1 [0]!PU)</f>
        <v>#REF!</v>
      </c>
      <c r="D71" s="260" t="e">
        <f ca="1">IF(ISTEXT(([0]!P_1_3.1.1 [0]!MT)),0,([0]!P_1_3.1.1 [0]!MT))</f>
        <v>#REF!</v>
      </c>
    </row>
    <row r="72" spans="1:4">
      <c r="A72" s="258" t="s">
        <v>74</v>
      </c>
      <c r="B72" s="259" t="e">
        <f ca="1">IF(ISTEXT(([0]!P_1_3.1.2 [0]!Qté)),0,([0]!P_1_3.1.2 [0]!Qté))</f>
        <v>#REF!</v>
      </c>
      <c r="C72" s="260" t="e">
        <f ca="1">([0]!P_1_3.1.2 [0]!PU)</f>
        <v>#REF!</v>
      </c>
      <c r="D72" s="260" t="e">
        <f ca="1">IF(ISTEXT(([0]!P_1_3.1.2 [0]!MT)),0,([0]!P_1_3.1.2 [0]!MT))</f>
        <v>#REF!</v>
      </c>
    </row>
    <row r="73" spans="1:4">
      <c r="A73" s="258" t="s">
        <v>75</v>
      </c>
      <c r="B73" s="259" t="e">
        <f ca="1">IF(ISTEXT(([0]!P_1_3.1.3 [0]!Qté)),0,([0]!P_1_3.1.3 [0]!Qté))</f>
        <v>#REF!</v>
      </c>
      <c r="C73" s="260" t="e">
        <f ca="1">([0]!P_1_3.1.3 [0]!PU)</f>
        <v>#REF!</v>
      </c>
      <c r="D73" s="260" t="e">
        <f ca="1">IF(ISTEXT(([0]!P_1_3.1.3 [0]!MT)),0,([0]!P_1_3.1.3 [0]!MT))</f>
        <v>#REF!</v>
      </c>
    </row>
    <row r="74" spans="1:4">
      <c r="A74" s="258" t="s">
        <v>76</v>
      </c>
      <c r="B74" s="259" t="e">
        <f ca="1">IF(ISTEXT(([0]!P_1_3.4 [0]!Qté)),0,([0]!P_1_3.4 [0]!Qté))</f>
        <v>#REF!</v>
      </c>
      <c r="C74" s="260" t="e">
        <f ca="1">([0]!P_1_3.4 [0]!PU)</f>
        <v>#REF!</v>
      </c>
      <c r="D74" s="260" t="e">
        <f ca="1">IF(ISTEXT(([0]!P_1_3.4 [0]!MT)),0,([0]!P_1_3.4 [0]!MT))</f>
        <v>#REF!</v>
      </c>
    </row>
    <row r="75" spans="1:4">
      <c r="A75" s="258" t="s">
        <v>77</v>
      </c>
      <c r="B75" s="259" t="e">
        <f ca="1">IF(ISTEXT(([0]!P_1_3.1.5 [0]!Qté)),0,([0]!P_1_3.1.5 [0]!Qté))</f>
        <v>#REF!</v>
      </c>
      <c r="C75" s="260" t="e">
        <f ca="1">([0]!P_1_3.1.5 [0]!PU)</f>
        <v>#REF!</v>
      </c>
      <c r="D75" s="260" t="e">
        <f ca="1">IF(ISTEXT(([0]!P_1_3.1.5 [0]!MT)),0,([0]!P_1_3.1.5 [0]!MT))</f>
        <v>#REF!</v>
      </c>
    </row>
    <row r="76" spans="1:4">
      <c r="A76" s="258" t="s">
        <v>78</v>
      </c>
      <c r="B76" s="259" t="e">
        <f ca="1">IF(ISTEXT(([0]!P_1_3.1.6 [0]!Qté)),0,([0]!P_1_3.1.6 [0]!Qté))</f>
        <v>#REF!</v>
      </c>
      <c r="C76" s="260" t="e">
        <f ca="1">([0]!P_1_3.1.6 [0]!PU)</f>
        <v>#REF!</v>
      </c>
      <c r="D76" s="260" t="e">
        <f ca="1">IF(ISTEXT(([0]!P_1_3.1.6 [0]!MT)),0,([0]!P_1_3.1.6 [0]!MT))</f>
        <v>#REF!</v>
      </c>
    </row>
    <row r="77" spans="1:4">
      <c r="A77" s="258" t="s">
        <v>79</v>
      </c>
      <c r="B77" s="259" t="e">
        <f ca="1">IF(ISTEXT(([0]!P_1_3.7 [0]!Qté)),0,([0]!P_1_3.7 [0]!Qté))</f>
        <v>#REF!</v>
      </c>
      <c r="C77" s="260" t="e">
        <f ca="1">([0]!P_1_3.7 [0]!PU)</f>
        <v>#REF!</v>
      </c>
      <c r="D77" s="260" t="e">
        <f ca="1">IF(ISTEXT(([0]!P_1_3.7 [0]!MT)),0,([0]!P_1_3.7 [0]!MT))</f>
        <v>#REF!</v>
      </c>
    </row>
    <row r="78" spans="1:4">
      <c r="A78" s="258" t="s">
        <v>80</v>
      </c>
      <c r="B78" s="259" t="e">
        <f ca="1">IF(ISTEXT(([0]!P_1_3.8 [0]!Qté)),0,([0]!P_1_3.8 [0]!Qté))</f>
        <v>#REF!</v>
      </c>
      <c r="C78" s="260" t="e">
        <f ca="1">([0]!P_1_3.8 [0]!PU)</f>
        <v>#REF!</v>
      </c>
      <c r="D78" s="260" t="e">
        <f ca="1">IF(ISTEXT(([0]!P_1_3.8 [0]!MT)),0,([0]!P_1_3.8 [0]!MT))</f>
        <v>#REF!</v>
      </c>
    </row>
    <row r="79" spans="1:4">
      <c r="A79" s="258" t="s">
        <v>81</v>
      </c>
      <c r="B79" s="259" t="e">
        <f ca="1">IF(ISTEXT(([0]!P_1_3.2.1 [0]!Qté)),0,([0]!P_1_3.2.1 [0]!Qté))</f>
        <v>#REF!</v>
      </c>
      <c r="C79" s="260" t="e">
        <f ca="1">([0]!P_1_3.2.1 [0]!PU)</f>
        <v>#REF!</v>
      </c>
      <c r="D79" s="260" t="e">
        <f ca="1">IF(ISTEXT(([0]!P_1_3.2.1 [0]!MT)),0,([0]!P_1_3.2.1 [0]!MT))</f>
        <v>#REF!</v>
      </c>
    </row>
    <row r="80" spans="1:4">
      <c r="A80" s="258" t="s">
        <v>82</v>
      </c>
      <c r="B80" s="259" t="e">
        <f ca="1">IF(ISTEXT(([0]!P_1_3.2.2 [0]!Qté)),0,([0]!P_1_3.2.2 [0]!Qté))</f>
        <v>#REF!</v>
      </c>
      <c r="C80" s="260" t="e">
        <f ca="1">([0]!P_1_3.2.2 [0]!PU)</f>
        <v>#REF!</v>
      </c>
      <c r="D80" s="260" t="e">
        <f ca="1">IF(ISTEXT(([0]!P_1_3.2.2 [0]!MT)),0,([0]!P_1_3.2.2 [0]!MT))</f>
        <v>#REF!</v>
      </c>
    </row>
    <row r="81" spans="1:4">
      <c r="A81" s="258" t="s">
        <v>83</v>
      </c>
      <c r="B81" s="259" t="e">
        <f ca="1">IF(ISTEXT(([0]!P_1_3.2.3 [0]!Qté)),0,([0]!P_1_3.2.3 [0]!Qté))</f>
        <v>#REF!</v>
      </c>
      <c r="C81" s="260" t="e">
        <f ca="1">([0]!P_1_3.2.3 [0]!PU)</f>
        <v>#REF!</v>
      </c>
      <c r="D81" s="260" t="e">
        <f ca="1">IF(ISTEXT(([0]!P_1_3.2.3 [0]!MT)),0,([0]!P_1_3.2.3 [0]!MT))</f>
        <v>#REF!</v>
      </c>
    </row>
    <row r="82" spans="1:4">
      <c r="A82" s="258" t="s">
        <v>84</v>
      </c>
      <c r="B82" s="259" t="e">
        <f ca="1">IF(ISTEXT(([0]!P_1_3.3.1 [0]!Qté)),0,([0]!P_1_3.3.1 [0]!Qté))</f>
        <v>#REF!</v>
      </c>
      <c r="C82" s="260" t="e">
        <f ca="1">([0]!P_1_3.3.1 [0]!PU)</f>
        <v>#REF!</v>
      </c>
      <c r="D82" s="260" t="e">
        <f ca="1">IF(ISTEXT(([0]!P_1_3.3.1 [0]!MT)),0,([0]!P_1_3.3.1 [0]!MT))</f>
        <v>#REF!</v>
      </c>
    </row>
    <row r="83" spans="1:4">
      <c r="A83" s="258" t="s">
        <v>85</v>
      </c>
      <c r="B83" s="259" t="e">
        <f ca="1">IF(ISTEXT(([0]!P_1_3.3.2 [0]!Qté)),0,([0]!P_1_3.3.2 [0]!Qté))</f>
        <v>#REF!</v>
      </c>
      <c r="C83" s="260" t="e">
        <f ca="1">([0]!P_1_3.3.2 [0]!PU)</f>
        <v>#REF!</v>
      </c>
      <c r="D83" s="260" t="e">
        <f ca="1">IF(ISTEXT(([0]!P_1_3.3.2 [0]!MT)),0,([0]!P_1_3.3.2 [0]!MT))</f>
        <v>#REF!</v>
      </c>
    </row>
    <row r="84" spans="1:4">
      <c r="A84" s="258" t="s">
        <v>86</v>
      </c>
      <c r="B84" s="259" t="e">
        <f ca="1">IF(ISTEXT(([0]!P_1_3.3.3 [0]!Qté)),0,([0]!P_1_3.3.3 [0]!Qté))</f>
        <v>#REF!</v>
      </c>
      <c r="C84" s="260" t="e">
        <f ca="1">([0]!P_1_3.3.3 [0]!PU)</f>
        <v>#REF!</v>
      </c>
      <c r="D84" s="260" t="e">
        <f ca="1">IF(ISTEXT(([0]!P_1_3.3.3 [0]!MT)),0,([0]!P_1_3.3.3 [0]!MT))</f>
        <v>#REF!</v>
      </c>
    </row>
    <row r="85" spans="1:4">
      <c r="A85" s="258" t="s">
        <v>87</v>
      </c>
      <c r="B85" s="259" t="e">
        <f ca="1">IF(ISTEXT(([0]!P_1_3.4.1 [0]!Qté)),0,([0]!P_1_3.4.1 [0]!Qté))</f>
        <v>#REF!</v>
      </c>
      <c r="C85" s="260" t="e">
        <f ca="1">([0]!P_1_3.4.1 [0]!PU)</f>
        <v>#REF!</v>
      </c>
      <c r="D85" s="260" t="e">
        <f ca="1">IF(ISTEXT(([0]!P_1_3.4.1 [0]!MT)),0,([0]!P_1_3.4.1 [0]!MT))</f>
        <v>#REF!</v>
      </c>
    </row>
    <row r="86" spans="1:4">
      <c r="A86" s="258" t="s">
        <v>88</v>
      </c>
      <c r="B86" s="259" t="e">
        <f ca="1">IF(ISTEXT(([0]!P_1_3.4.2 [0]!Qté)),0,([0]!P_1_3.4.2 [0]!Qté))</f>
        <v>#REF!</v>
      </c>
      <c r="C86" s="260" t="e">
        <f ca="1">([0]!P_1_3.4.2 [0]!PU)</f>
        <v>#REF!</v>
      </c>
      <c r="D86" s="260" t="e">
        <f ca="1">IF(ISTEXT(([0]!P_1_3.4.2 [0]!MT)),0,([0]!P_1_3.4.2 [0]!MT))</f>
        <v>#REF!</v>
      </c>
    </row>
    <row r="87" spans="1:4">
      <c r="A87" s="258" t="s">
        <v>89</v>
      </c>
      <c r="B87" s="259" t="e">
        <f ca="1">IF(ISTEXT(([0]!P_1_3.4.3 [0]!Qté)),0,([0]!P_1_3.4.3 [0]!Qté))</f>
        <v>#REF!</v>
      </c>
      <c r="C87" s="260" t="e">
        <f ca="1">([0]!P_1_3.4.3 [0]!PU)</f>
        <v>#REF!</v>
      </c>
      <c r="D87" s="260" t="e">
        <f ca="1">IF(ISTEXT(([0]!P_1_3.4.3 [0]!MT)),0,([0]!P_1_3.4.3 [0]!MT))</f>
        <v>#REF!</v>
      </c>
    </row>
    <row r="88" spans="1:4">
      <c r="A88" s="258" t="s">
        <v>90</v>
      </c>
      <c r="B88" s="259" t="e">
        <f ca="1">IF(ISTEXT(([0]!P_1_3.5.1 [0]!Qté)),0,([0]!P_1_3.5.1 [0]!Qté))</f>
        <v>#REF!</v>
      </c>
      <c r="C88" s="260" t="e">
        <f ca="1">([0]!P_1_3.5.1 [0]!PU)</f>
        <v>#REF!</v>
      </c>
      <c r="D88" s="260" t="e">
        <f ca="1">IF(ISTEXT(([0]!P_1_3.5.1 [0]!MT)),0,([0]!P_1_3.5.1 [0]!MT))</f>
        <v>#REF!</v>
      </c>
    </row>
    <row r="89" spans="1:4">
      <c r="A89" s="258" t="s">
        <v>91</v>
      </c>
      <c r="B89" s="259" t="e">
        <f ca="1">IF(ISTEXT(([0]!P_1_3.5.2 [0]!Qté)),0,([0]!P_1_3.5.2 [0]!Qté))</f>
        <v>#REF!</v>
      </c>
      <c r="C89" s="260" t="e">
        <f ca="1">([0]!P_1_3.5.2 [0]!PU)</f>
        <v>#REF!</v>
      </c>
      <c r="D89" s="260" t="e">
        <f ca="1">IF(ISTEXT(([0]!P_1_3.5.2 [0]!MT)),0,([0]!P_1_3.5.2 [0]!MT))</f>
        <v>#REF!</v>
      </c>
    </row>
    <row r="90" spans="1:4">
      <c r="A90" s="258" t="s">
        <v>92</v>
      </c>
      <c r="B90" s="259" t="e">
        <f ca="1">IF(ISTEXT(([0]!P_1_4.1.1 [0]!Qté)),0,([0]!P_1_4.1.1 [0]!Qté))</f>
        <v>#REF!</v>
      </c>
      <c r="C90" s="260" t="e">
        <f ca="1">([0]!P_1_4.1.1 [0]!PU)</f>
        <v>#REF!</v>
      </c>
      <c r="D90" s="260" t="e">
        <f ca="1">IF(ISTEXT(([0]!P_1_4.1.1 [0]!MT)),0,([0]!P_1_4.1.1 [0]!MT))</f>
        <v>#REF!</v>
      </c>
    </row>
    <row r="91" spans="1:4">
      <c r="A91" s="258" t="s">
        <v>93</v>
      </c>
      <c r="B91" s="259" t="e">
        <f ca="1">IF(ISTEXT(([0]!P_1_4.1.2 [0]!Qté)),0,([0]!P_1_4.1.2 [0]!Qté))</f>
        <v>#REF!</v>
      </c>
      <c r="C91" s="260" t="e">
        <f ca="1">([0]!P_1_4.1.2 [0]!PU)</f>
        <v>#REF!</v>
      </c>
      <c r="D91" s="260" t="e">
        <f ca="1">IF(ISTEXT(([0]!P_1_4.1.2 [0]!MT)),0,([0]!P_1_4.1.2 [0]!MT))</f>
        <v>#REF!</v>
      </c>
    </row>
    <row r="92" spans="1:4">
      <c r="A92" s="258" t="s">
        <v>94</v>
      </c>
      <c r="B92" s="259" t="e">
        <f ca="1">IF(ISTEXT(([0]!P_1_4.1.3 [0]!Qté)),0,([0]!P_1_4.1.3 [0]!Qté))</f>
        <v>#REF!</v>
      </c>
      <c r="C92" s="260" t="e">
        <f ca="1">([0]!P_1_4.1.3 [0]!PU)</f>
        <v>#REF!</v>
      </c>
      <c r="D92" s="260" t="e">
        <f ca="1">IF(ISTEXT(([0]!P_1_4.1.3 [0]!MT)),0,([0]!P_1_4.1.3 [0]!MT))</f>
        <v>#REF!</v>
      </c>
    </row>
    <row r="93" spans="1:4">
      <c r="A93" s="258" t="s">
        <v>95</v>
      </c>
      <c r="B93" s="259" t="e">
        <f ca="1">IF(ISTEXT(([0]!P_1_4.1.4 [0]!Qté)),0,([0]!P_1_4.1.4 [0]!Qté))</f>
        <v>#REF!</v>
      </c>
      <c r="C93" s="260" t="e">
        <f ca="1">([0]!P_1_4.1.4 [0]!PU)</f>
        <v>#REF!</v>
      </c>
      <c r="D93" s="260" t="e">
        <f ca="1">IF(ISTEXT(([0]!P_1_4.1.4 [0]!MT)),0,([0]!P_1_4.1.4 [0]!MT))</f>
        <v>#REF!</v>
      </c>
    </row>
    <row r="94" spans="1:4">
      <c r="A94" s="258" t="s">
        <v>96</v>
      </c>
      <c r="B94" s="259" t="e">
        <f ca="1">IF(ISTEXT(([0]!P_1_4.1.5 [0]!Qté)),0,([0]!P_1_4.1.5 [0]!Qté))</f>
        <v>#REF!</v>
      </c>
      <c r="C94" s="260" t="e">
        <f ca="1">([0]!P_1_4.1.5 [0]!PU)</f>
        <v>#REF!</v>
      </c>
      <c r="D94" s="260" t="e">
        <f ca="1">IF(ISTEXT(([0]!P_1_4.1.5 [0]!MT)),0,([0]!P_1_4.1.5 [0]!MT))</f>
        <v>#REF!</v>
      </c>
    </row>
    <row r="95" spans="1:4">
      <c r="A95" s="258" t="s">
        <v>97</v>
      </c>
      <c r="B95" s="259" t="e">
        <f ca="1">IF(ISTEXT(([0]!P_1_4.1.6 [0]!Qté)),0,([0]!P_1_4.1.6 [0]!Qté))</f>
        <v>#REF!</v>
      </c>
      <c r="C95" s="260" t="e">
        <f ca="1">([0]!P_1_4.1.6 [0]!PU)</f>
        <v>#REF!</v>
      </c>
      <c r="D95" s="260" t="e">
        <f ca="1">IF(ISTEXT(([0]!P_1_4.1.6 [0]!MT)),0,([0]!P_1_4.1.6 [0]!MT))</f>
        <v>#REF!</v>
      </c>
    </row>
    <row r="96" spans="1:4">
      <c r="A96" s="258" t="s">
        <v>98</v>
      </c>
      <c r="B96" s="259" t="e">
        <f ca="1">IF(ISTEXT(([0]!P_1_4.1.7 [0]!Qté)),0,([0]!P_1_4.1.7 [0]!Qté))</f>
        <v>#REF!</v>
      </c>
      <c r="C96" s="260" t="e">
        <f ca="1">([0]!P_1_4.1.7 [0]!PU)</f>
        <v>#REF!</v>
      </c>
      <c r="D96" s="260" t="e">
        <f ca="1">IF(ISTEXT(([0]!P_1_4.1.7 [0]!MT)),0,([0]!P_1_4.1.7 [0]!MT))</f>
        <v>#REF!</v>
      </c>
    </row>
    <row r="97" spans="1:4">
      <c r="A97" s="258" t="s">
        <v>99</v>
      </c>
      <c r="B97" s="259" t="e">
        <f ca="1">IF(ISTEXT(([0]!P_1_4.1.8 [0]!Qté)),0,([0]!P_1_4.1.8 [0]!Qté))</f>
        <v>#REF!</v>
      </c>
      <c r="C97" s="260" t="e">
        <f ca="1">([0]!P_1_4.1.8 [0]!PU)</f>
        <v>#REF!</v>
      </c>
      <c r="D97" s="260" t="e">
        <f ca="1">IF(ISTEXT(([0]!P_1_4.1.8 [0]!MT)),0,([0]!P_1_4.1.8 [0]!MT))</f>
        <v>#REF!</v>
      </c>
    </row>
    <row r="98" spans="1:4">
      <c r="A98" s="258" t="s">
        <v>100</v>
      </c>
      <c r="B98" s="259" t="e">
        <f ca="1">IF(ISTEXT(([0]!P_1_4.1.9 [0]!Qté)),0,([0]!P_1_4.1.9 [0]!Qté))</f>
        <v>#REF!</v>
      </c>
      <c r="C98" s="260" t="e">
        <f ca="1">([0]!P_1_4.1.9 [0]!PU)</f>
        <v>#REF!</v>
      </c>
      <c r="D98" s="260" t="e">
        <f ca="1">IF(ISTEXT(([0]!P_1_4.1.9 [0]!MT)),0,([0]!P_1_4.1.9 [0]!MT))</f>
        <v>#REF!</v>
      </c>
    </row>
    <row r="99" spans="1:4">
      <c r="A99" s="258" t="s">
        <v>101</v>
      </c>
      <c r="B99" s="259" t="e">
        <f ca="1">IF(ISTEXT(([0]!P_1_4.1.10 [0]!Qté)),0,([0]!P_1_4.1.10 [0]!Qté))</f>
        <v>#REF!</v>
      </c>
      <c r="C99" s="260" t="e">
        <f ca="1">([0]!P_1_4.1.10 [0]!PU)</f>
        <v>#REF!</v>
      </c>
      <c r="D99" s="260" t="e">
        <f ca="1">IF(ISTEXT(([0]!P_1_4.1.10 [0]!MT)),0,([0]!P_1_4.1.10 [0]!MT))</f>
        <v>#REF!</v>
      </c>
    </row>
    <row r="100" spans="1:4">
      <c r="A100" s="258" t="s">
        <v>102</v>
      </c>
      <c r="B100" s="259" t="e">
        <f ca="1">IF(ISTEXT(([0]!P_1_4.1.11 [0]!Qté)),0,([0]!P_1_4.1.11 [0]!Qté))</f>
        <v>#REF!</v>
      </c>
      <c r="C100" s="260" t="e">
        <f ca="1">([0]!P_1_4.1.11 [0]!PU)</f>
        <v>#REF!</v>
      </c>
      <c r="D100" s="260" t="e">
        <f ca="1">IF(ISTEXT(([0]!P_1_4.1.11 [0]!MT)),0,([0]!P_1_4.1.11 [0]!MT))</f>
        <v>#REF!</v>
      </c>
    </row>
    <row r="101" spans="1:4">
      <c r="A101" s="258" t="s">
        <v>103</v>
      </c>
      <c r="B101" s="259" t="e">
        <f ca="1">IF(ISTEXT(([0]!P_1_4.1.12 [0]!Qté)),0,([0]!P_1_4.1.12 [0]!Qté))</f>
        <v>#REF!</v>
      </c>
      <c r="C101" s="260" t="e">
        <f ca="1">([0]!P_1_4.1.12 [0]!PU)</f>
        <v>#REF!</v>
      </c>
      <c r="D101" s="260" t="e">
        <f ca="1">IF(ISTEXT(([0]!P_1_4.1.12 [0]!MT)),0,([0]!P_1_4.1.12 [0]!MT))</f>
        <v>#REF!</v>
      </c>
    </row>
    <row r="102" spans="1:4">
      <c r="A102" s="258" t="s">
        <v>104</v>
      </c>
      <c r="B102" s="259" t="e">
        <f ca="1">IF(ISTEXT(([0]!P_1_4.1.13 [0]!Qté)),0,([0]!P_1_4.1.13 [0]!Qté))</f>
        <v>#REF!</v>
      </c>
      <c r="C102" s="260" t="e">
        <f ca="1">([0]!P_1_4.1.13 [0]!PU)</f>
        <v>#REF!</v>
      </c>
      <c r="D102" s="260" t="e">
        <f ca="1">IF(ISTEXT(([0]!P_1_4.1.13 [0]!MT)),0,([0]!P_1_4.1.13 [0]!MT))</f>
        <v>#REF!</v>
      </c>
    </row>
    <row r="103" spans="1:4">
      <c r="A103" s="258" t="s">
        <v>105</v>
      </c>
      <c r="B103" s="259" t="e">
        <f ca="1">IF(ISTEXT(([0]!P_1_4.1.14 [0]!Qté)),0,([0]!P_1_4.1.14 [0]!Qté))</f>
        <v>#REF!</v>
      </c>
      <c r="C103" s="260" t="e">
        <f ca="1">([0]!P_1_4.1.14 [0]!PU)</f>
        <v>#REF!</v>
      </c>
      <c r="D103" s="260" t="e">
        <f ca="1">IF(ISTEXT(([0]!P_1_4.1.14 [0]!MT)),0,([0]!P_1_4.1.14 [0]!MT))</f>
        <v>#REF!</v>
      </c>
    </row>
    <row r="104" spans="1:4">
      <c r="A104" s="258" t="s">
        <v>106</v>
      </c>
      <c r="B104" s="259" t="e">
        <f ca="1">IF(ISTEXT(([0]!P_1_4.2.1 [0]!Qté)),0,([0]!P_1_4.2.1 [0]!Qté))</f>
        <v>#REF!</v>
      </c>
      <c r="C104" s="260" t="e">
        <f ca="1">([0]!P_1_4.2.1 [0]!PU)</f>
        <v>#REF!</v>
      </c>
      <c r="D104" s="260" t="e">
        <f ca="1">IF(ISTEXT(([0]!P_1_4.2.1 [0]!MT)),0,([0]!P_1_4.2.1 [0]!MT))</f>
        <v>#REF!</v>
      </c>
    </row>
    <row r="105" spans="1:4">
      <c r="A105" s="258" t="s">
        <v>107</v>
      </c>
      <c r="B105" s="259" t="e">
        <f ca="1">IF(ISTEXT(([0]!P_1_4.2.2 [0]!Qté)),0,([0]!P_1_4.2.2 [0]!Qté))</f>
        <v>#REF!</v>
      </c>
      <c r="C105" s="260" t="e">
        <f ca="1">([0]!P_1_4.2.2 [0]!PU)</f>
        <v>#REF!</v>
      </c>
      <c r="D105" s="260" t="e">
        <f ca="1">IF(ISTEXT(([0]!P_1_4.2.2 [0]!MT)),0,([0]!P_1_4.2.2 [0]!MT))</f>
        <v>#REF!</v>
      </c>
    </row>
    <row r="106" spans="1:4">
      <c r="A106" s="258" t="s">
        <v>108</v>
      </c>
      <c r="B106" s="259" t="e">
        <f ca="1">IF(ISTEXT(([0]!P_1_4.2.3 [0]!Qté)),0,([0]!P_1_4.2.3 [0]!Qté))</f>
        <v>#REF!</v>
      </c>
      <c r="C106" s="260" t="e">
        <f ca="1">([0]!P_1_4.2.3 [0]!PU)</f>
        <v>#REF!</v>
      </c>
      <c r="D106" s="260" t="e">
        <f ca="1">IF(ISTEXT(([0]!P_1_4.2.3 [0]!MT)),0,([0]!P_1_4.2.3 [0]!MT))</f>
        <v>#REF!</v>
      </c>
    </row>
    <row r="107" spans="1:4">
      <c r="A107" s="258" t="s">
        <v>109</v>
      </c>
      <c r="B107" s="259" t="e">
        <f ca="1">IF(ISTEXT(([0]!P_1_4.2.4 [0]!Qté)),0,([0]!P_1_4.2.4 [0]!Qté))</f>
        <v>#REF!</v>
      </c>
      <c r="C107" s="260" t="e">
        <f ca="1">([0]!P_1_4.2.4 [0]!PU)</f>
        <v>#REF!</v>
      </c>
      <c r="D107" s="260" t="e">
        <f ca="1">IF(ISTEXT(([0]!P_1_4.2.4 [0]!MT)),0,([0]!P_1_4.2.4 [0]!MT))</f>
        <v>#REF!</v>
      </c>
    </row>
    <row r="108" spans="1:4">
      <c r="A108" s="258" t="s">
        <v>110</v>
      </c>
      <c r="B108" s="259" t="e">
        <f ca="1">IF(ISTEXT(([0]!P_1_4.2.5 [0]!Qté)),0,([0]!P_1_4.2.5 [0]!Qté))</f>
        <v>#REF!</v>
      </c>
      <c r="C108" s="260" t="e">
        <f ca="1">([0]!P_1_4.2.5 [0]!PU)</f>
        <v>#REF!</v>
      </c>
      <c r="D108" s="260" t="e">
        <f ca="1">IF(ISTEXT(([0]!P_1_4.2.5 [0]!MT)),0,([0]!P_1_4.2.5 [0]!MT))</f>
        <v>#REF!</v>
      </c>
    </row>
    <row r="109" spans="1:4">
      <c r="A109" s="258" t="s">
        <v>111</v>
      </c>
      <c r="B109" s="259" t="e">
        <f ca="1">IF(ISTEXT(([0]!P_1_4.2.6.1 [0]!Qté)),0,([0]!P_1_4.2.6.1 [0]!Qté))</f>
        <v>#REF!</v>
      </c>
      <c r="C109" s="260" t="e">
        <f ca="1">([0]!P_1_4.2.6.1 [0]!PU)</f>
        <v>#REF!</v>
      </c>
      <c r="D109" s="260" t="e">
        <f ca="1">IF(ISTEXT(([0]!P_1_4.2.6.1 [0]!MT)),0,([0]!P_1_4.2.6.1 [0]!MT))</f>
        <v>#REF!</v>
      </c>
    </row>
    <row r="110" spans="1:4">
      <c r="A110" s="258" t="s">
        <v>112</v>
      </c>
      <c r="B110" s="259" t="e">
        <f ca="1">IF(ISTEXT(([0]!P_1_4.2.6.2 [0]!Qté)),0,([0]!P_1_4.2.6.2 [0]!Qté))</f>
        <v>#REF!</v>
      </c>
      <c r="C110" s="260" t="e">
        <f ca="1">([0]!P_1_4.2.6.2 [0]!PU)</f>
        <v>#REF!</v>
      </c>
      <c r="D110" s="260" t="e">
        <f ca="1">IF(ISTEXT(([0]!P_1_4.2.6.2 [0]!MT)),0,([0]!P_1_4.2.6.2 [0]!MT))</f>
        <v>#REF!</v>
      </c>
    </row>
    <row r="111" spans="1:4">
      <c r="A111" s="258" t="s">
        <v>113</v>
      </c>
      <c r="B111" s="259" t="e">
        <f ca="1">IF(ISTEXT(([0]!P_1_4.2.6.3 [0]!Qté)),0,([0]!P_1_4.2.6.3 [0]!Qté))</f>
        <v>#REF!</v>
      </c>
      <c r="C111" s="260" t="e">
        <f ca="1">([0]!P_1_4.2.6.3 [0]!PU)</f>
        <v>#REF!</v>
      </c>
      <c r="D111" s="260" t="e">
        <f ca="1">IF(ISTEXT(([0]!P_1_4.2.6.3 [0]!MT)),0,([0]!P_1_4.2.6.3 [0]!MT))</f>
        <v>#REF!</v>
      </c>
    </row>
    <row r="112" spans="1:4">
      <c r="A112" s="258" t="s">
        <v>114</v>
      </c>
      <c r="B112" s="259" t="e">
        <f ca="1">IF(ISTEXT(([0]!P_1_4.2.7.1 [0]!Qté)),0,([0]!P_1_4.2.7.1 [0]!Qté))</f>
        <v>#REF!</v>
      </c>
      <c r="C112" s="260" t="e">
        <f ca="1">([0]!P_1_4.2.7.1 [0]!PU)</f>
        <v>#REF!</v>
      </c>
      <c r="D112" s="260" t="e">
        <f ca="1">IF(ISTEXT(([0]!P_1_4.2.7.1 [0]!MT)),0,([0]!P_1_4.2.7.1 [0]!MT))</f>
        <v>#REF!</v>
      </c>
    </row>
    <row r="113" spans="1:4">
      <c r="A113" s="258" t="s">
        <v>115</v>
      </c>
      <c r="B113" s="259" t="e">
        <f ca="1">IF(ISTEXT(([0]!P_1_4.2.7.2 [0]!Qté)),0,([0]!P_1_4.2.7.2 [0]!Qté))</f>
        <v>#REF!</v>
      </c>
      <c r="C113" s="260" t="e">
        <f ca="1">([0]!P_1_4.2.7.2 [0]!PU)</f>
        <v>#REF!</v>
      </c>
      <c r="D113" s="260" t="e">
        <f ca="1">IF(ISTEXT(([0]!P_1_4.2.7.2 [0]!MT)),0,([0]!P_1_4.2.7.2 [0]!MT))</f>
        <v>#REF!</v>
      </c>
    </row>
    <row r="114" spans="1:4">
      <c r="A114" s="258" t="s">
        <v>116</v>
      </c>
      <c r="B114" s="259" t="e">
        <f ca="1">IF(ISTEXT(([0]!P_1_4.2.7.3 [0]!Qté)),0,([0]!P_1_4.2.7.3 [0]!Qté))</f>
        <v>#REF!</v>
      </c>
      <c r="C114" s="260" t="e">
        <f ca="1">([0]!P_1_4.2.7.3 [0]!PU)</f>
        <v>#REF!</v>
      </c>
      <c r="D114" s="260" t="e">
        <f ca="1">IF(ISTEXT(([0]!P_1_4.2.7.3 [0]!MT)),0,([0]!P_1_4.2.7.3 [0]!MT))</f>
        <v>#REF!</v>
      </c>
    </row>
    <row r="115" spans="1:4">
      <c r="A115" s="258" t="s">
        <v>117</v>
      </c>
      <c r="B115" s="259" t="e">
        <f ca="1">IF(ISTEXT(([0]!P_1_5.1.1 [0]!Qté)),0,([0]!P_1_5.1.1 [0]!Qté))</f>
        <v>#REF!</v>
      </c>
      <c r="C115" s="260" t="e">
        <f ca="1">([0]!P_1_5.1.1 [0]!PU)</f>
        <v>#REF!</v>
      </c>
      <c r="D115" s="260" t="e">
        <f ca="1">IF(ISTEXT(([0]!P_1_5.1.1 [0]!MT)),0,([0]!P_1_5.1.1 [0]!MT))</f>
        <v>#REF!</v>
      </c>
    </row>
    <row r="116" spans="1:4">
      <c r="A116" s="258" t="s">
        <v>118</v>
      </c>
      <c r="B116" s="259" t="e">
        <f ca="1">IF(ISTEXT(([0]!P_1_5.1.2 [0]!Qté)),0,([0]!P_1_5.1.2 [0]!Qté))</f>
        <v>#REF!</v>
      </c>
      <c r="C116" s="260" t="e">
        <f ca="1">([0]!P_1_5.1.2 [0]!PU)</f>
        <v>#REF!</v>
      </c>
      <c r="D116" s="260" t="e">
        <f ca="1">IF(ISTEXT(([0]!P_1_5.1.2 [0]!MT)),0,([0]!P_1_5.1.2 [0]!MT))</f>
        <v>#REF!</v>
      </c>
    </row>
    <row r="117" spans="1:4">
      <c r="A117" s="258" t="s">
        <v>119</v>
      </c>
      <c r="B117" s="259" t="e">
        <f ca="1">IF(ISTEXT(([0]!P_1_5.1.3 [0]!Qté)),0,([0]!P_1_5.1.3 [0]!Qté))</f>
        <v>#REF!</v>
      </c>
      <c r="C117" s="260" t="e">
        <f ca="1">([0]!P_1_5.1.3 [0]!PU)</f>
        <v>#REF!</v>
      </c>
      <c r="D117" s="260" t="e">
        <f ca="1">IF(ISTEXT(([0]!P_1_5.1.3 [0]!MT)),0,([0]!P_1_5.1.3 [0]!MT))</f>
        <v>#REF!</v>
      </c>
    </row>
    <row r="118" spans="1:4">
      <c r="A118" s="258" t="s">
        <v>120</v>
      </c>
      <c r="B118" s="259" t="e">
        <f ca="1">IF(ISTEXT(([0]!P_1_5.1.4 [0]!Qté)),0,([0]!P_1_5.1.4 [0]!Qté))</f>
        <v>#REF!</v>
      </c>
      <c r="C118" s="260" t="e">
        <f ca="1">([0]!P_1_5.1.4 [0]!PU)</f>
        <v>#REF!</v>
      </c>
      <c r="D118" s="260" t="e">
        <f ca="1">IF(ISTEXT(([0]!P_1_5.1.4 [0]!MT)),0,([0]!P_1_5.1.4 [0]!MT))</f>
        <v>#REF!</v>
      </c>
    </row>
    <row r="119" spans="1:4">
      <c r="A119" s="258" t="s">
        <v>121</v>
      </c>
      <c r="B119" s="259" t="e">
        <f ca="1">IF(ISTEXT(([0]!P_1_5.1.5 [0]!Qté)),0,([0]!P_1_5.1.5 [0]!Qté))</f>
        <v>#REF!</v>
      </c>
      <c r="C119" s="260" t="e">
        <f ca="1">([0]!P_1_5.1.5 [0]!PU)</f>
        <v>#REF!</v>
      </c>
      <c r="D119" s="260" t="e">
        <f ca="1">IF(ISTEXT(([0]!P_1_5.1.5 [0]!MT)),0,([0]!P_1_5.1.5 [0]!MT))</f>
        <v>#REF!</v>
      </c>
    </row>
    <row r="120" spans="1:4">
      <c r="A120" s="258" t="s">
        <v>122</v>
      </c>
      <c r="B120" s="259" t="e">
        <f ca="1">IF(ISTEXT(([0]!P_1_5.1.6 [0]!Qté)),0,([0]!P_1_5.1.6 [0]!Qté))</f>
        <v>#REF!</v>
      </c>
      <c r="C120" s="260" t="e">
        <f ca="1">([0]!P_1_5.1.6 [0]!PU)</f>
        <v>#REF!</v>
      </c>
      <c r="D120" s="260" t="e">
        <f ca="1">IF(ISTEXT(([0]!P_1_5.1.6 [0]!MT)),0,([0]!P_1_5.1.6 [0]!MT))</f>
        <v>#REF!</v>
      </c>
    </row>
    <row r="121" spans="1:4">
      <c r="A121" s="258" t="s">
        <v>123</v>
      </c>
      <c r="B121" s="259" t="e">
        <f ca="1">IF(ISTEXT(([0]!P_1_5.1.7 [0]!Qté)),0,([0]!P_1_5.1.7 [0]!Qté))</f>
        <v>#REF!</v>
      </c>
      <c r="C121" s="260" t="e">
        <f ca="1">([0]!P_1_5.1.7 [0]!PU)</f>
        <v>#REF!</v>
      </c>
      <c r="D121" s="260" t="e">
        <f ca="1">IF(ISTEXT(([0]!P_1_5.1.7 [0]!MT)),0,([0]!P_1_5.1.7 [0]!MT))</f>
        <v>#REF!</v>
      </c>
    </row>
    <row r="122" spans="1:4">
      <c r="A122" s="258" t="s">
        <v>124</v>
      </c>
      <c r="B122" s="259" t="e">
        <f ca="1">IF(ISTEXT(([0]!P_1_5.1.8 [0]!Qté)),0,([0]!P_1_5.1.8 [0]!Qté))</f>
        <v>#REF!</v>
      </c>
      <c r="C122" s="260" t="e">
        <f ca="1">([0]!P_1_5.1.8 [0]!PU)</f>
        <v>#REF!</v>
      </c>
      <c r="D122" s="260" t="e">
        <f ca="1">IF(ISTEXT(([0]!P_1_5.1.8 [0]!MT)),0,([0]!P_1_5.1.8 [0]!MT))</f>
        <v>#REF!</v>
      </c>
    </row>
    <row r="123" spans="1:4">
      <c r="A123" s="258" t="s">
        <v>125</v>
      </c>
      <c r="B123" s="259" t="e">
        <f ca="1">IF(ISTEXT(([0]!P_1_5.1.9.1 [0]!Qté)),0,([0]!P_1_5.1.9.1 [0]!Qté))</f>
        <v>#REF!</v>
      </c>
      <c r="C123" s="260" t="e">
        <f ca="1">([0]!P_1_5.1.9.1 [0]!PU)</f>
        <v>#REF!</v>
      </c>
      <c r="D123" s="260" t="e">
        <f ca="1">IF(ISTEXT(([0]!P_1_5.1.9.1 [0]!MT)),0,([0]!P_1_5.1.9.1 [0]!MT))</f>
        <v>#REF!</v>
      </c>
    </row>
    <row r="124" spans="1:4">
      <c r="A124" s="258" t="s">
        <v>126</v>
      </c>
      <c r="B124" s="259" t="e">
        <f ca="1">IF(ISTEXT(([0]!P_1_5.1.9.2 [0]!Qté)),0,([0]!P_1_5.1.9.2 [0]!Qté))</f>
        <v>#REF!</v>
      </c>
      <c r="C124" s="260" t="e">
        <f ca="1">([0]!P_1_5.1.9.2 [0]!PU)</f>
        <v>#REF!</v>
      </c>
      <c r="D124" s="260" t="e">
        <f ca="1">IF(ISTEXT(([0]!P_1_5.1.9.2 [0]!MT)),0,([0]!P_1_5.1.9.2 [0]!MT))</f>
        <v>#REF!</v>
      </c>
    </row>
    <row r="125" spans="1:4">
      <c r="A125" s="258" t="s">
        <v>127</v>
      </c>
      <c r="B125" s="259" t="e">
        <f ca="1">IF(ISTEXT(([0]!P_1_5.1.9.3 [0]!Qté)),0,([0]!P_1_5.1.9.3 [0]!Qté))</f>
        <v>#REF!</v>
      </c>
      <c r="C125" s="260" t="e">
        <f ca="1">([0]!P_1_5.1.9.3 [0]!PU)</f>
        <v>#REF!</v>
      </c>
      <c r="D125" s="260" t="e">
        <f ca="1">IF(ISTEXT(([0]!P_1_5.1.9.3 [0]!MT)),0,([0]!P_1_5.1.9.3 [0]!MT))</f>
        <v>#REF!</v>
      </c>
    </row>
    <row r="126" spans="1:4">
      <c r="A126" s="258" t="s">
        <v>128</v>
      </c>
      <c r="B126" s="259" t="e">
        <f ca="1">IF(ISTEXT(([0]!P_1_5.1.9.4 [0]!Qté)),0,([0]!P_1_5.1.9.4 [0]!Qté))</f>
        <v>#REF!</v>
      </c>
      <c r="C126" s="260" t="e">
        <f ca="1">([0]!P_1_5.1.9.4 [0]!PU)</f>
        <v>#REF!</v>
      </c>
      <c r="D126" s="260" t="e">
        <f ca="1">IF(ISTEXT(([0]!P_1_5.1.9.4 [0]!MT)),0,([0]!P_1_5.1.9.4 [0]!MT))</f>
        <v>#REF!</v>
      </c>
    </row>
    <row r="127" spans="1:4">
      <c r="A127" s="258" t="s">
        <v>129</v>
      </c>
      <c r="B127" s="259" t="e">
        <f ca="1">IF(ISTEXT(([0]!P_1_5.1.9.5 [0]!Qté)),0,([0]!P_1_5.1.9.5 [0]!Qté))</f>
        <v>#REF!</v>
      </c>
      <c r="C127" s="260" t="e">
        <f ca="1">([0]!P_1_5.1.9.5 [0]!PU)</f>
        <v>#REF!</v>
      </c>
      <c r="D127" s="260" t="e">
        <f ca="1">IF(ISTEXT(([0]!P_1_5.1.9.5 [0]!MT)),0,([0]!P_1_5.1.9.5 [0]!MT))</f>
        <v>#REF!</v>
      </c>
    </row>
    <row r="128" spans="1:4">
      <c r="A128" s="258" t="s">
        <v>130</v>
      </c>
      <c r="B128" s="259" t="e">
        <f ca="1">IF(ISTEXT(([0]!P_1_5.1.9.6 [0]!Qté)),0,([0]!P_1_5.1.9.6 [0]!Qté))</f>
        <v>#REF!</v>
      </c>
      <c r="C128" s="260" t="e">
        <f ca="1">([0]!P_1_5.1.9.6 [0]!PU)</f>
        <v>#REF!</v>
      </c>
      <c r="D128" s="260" t="e">
        <f ca="1">IF(ISTEXT(([0]!P_1_5.1.9.6 [0]!MT)),0,([0]!P_1_5.1.9.6 [0]!MT))</f>
        <v>#REF!</v>
      </c>
    </row>
    <row r="129" spans="1:4">
      <c r="A129" s="258" t="s">
        <v>131</v>
      </c>
      <c r="B129" s="259" t="e">
        <f ca="1">IF(ISTEXT(([0]!P_1_5.1.9.7 [0]!Qté)),0,([0]!P_1_5.1.9.7 [0]!Qté))</f>
        <v>#REF!</v>
      </c>
      <c r="C129" s="260" t="e">
        <f ca="1">([0]!P_1_5.1.9.7 [0]!PU)</f>
        <v>#REF!</v>
      </c>
      <c r="D129" s="260" t="e">
        <f ca="1">IF(ISTEXT(([0]!P_1_5.1.9.7 [0]!MT)),0,([0]!P_1_5.1.9.7 [0]!MT))</f>
        <v>#REF!</v>
      </c>
    </row>
    <row r="130" spans="1:4">
      <c r="A130" s="258" t="s">
        <v>132</v>
      </c>
      <c r="B130" s="259" t="e">
        <f ca="1">IF(ISTEXT(([0]!P_1_5.1.9.8 [0]!Qté)),0,([0]!P_1_5.1.9.8 [0]!Qté))</f>
        <v>#REF!</v>
      </c>
      <c r="C130" s="260" t="e">
        <f ca="1">([0]!P_1_5.1.9.8 [0]!PU)</f>
        <v>#REF!</v>
      </c>
      <c r="D130" s="260" t="e">
        <f ca="1">IF(ISTEXT(([0]!P_1_5.1.9.8 [0]!MT)),0,([0]!P_1_5.1.9.8 [0]!MT))</f>
        <v>#REF!</v>
      </c>
    </row>
    <row r="131" spans="1:4">
      <c r="A131" s="258" t="s">
        <v>133</v>
      </c>
      <c r="B131" s="259" t="e">
        <f ca="1">IF(ISTEXT(([0]!P_1_5.1.9.9 [0]!Qté)),0,([0]!P_1_5.1.9.9 [0]!Qté))</f>
        <v>#REF!</v>
      </c>
      <c r="C131" s="260" t="e">
        <f ca="1">([0]!P_1_5.1.9.9 [0]!PU)</f>
        <v>#REF!</v>
      </c>
      <c r="D131" s="260" t="e">
        <f ca="1">IF(ISTEXT(([0]!P_1_5.1.9.9 [0]!MT)),0,([0]!P_1_5.1.9.9 [0]!MT))</f>
        <v>#REF!</v>
      </c>
    </row>
    <row r="132" spans="1:4">
      <c r="A132" s="258" t="s">
        <v>134</v>
      </c>
      <c r="B132" s="259" t="e">
        <f ca="1">IF(ISTEXT(([0]!P_1_5.1.9.10 [0]!Qté)),0,([0]!P_1_5.1.9.10 [0]!Qté))</f>
        <v>#REF!</v>
      </c>
      <c r="C132" s="260" t="e">
        <f ca="1">([0]!P_1_5.1.9.10 [0]!PU)</f>
        <v>#REF!</v>
      </c>
      <c r="D132" s="260" t="e">
        <f ca="1">IF(ISTEXT(([0]!P_1_5.1.9.10 [0]!MT)),0,([0]!P_1_5.1.9.10 [0]!MT))</f>
        <v>#REF!</v>
      </c>
    </row>
    <row r="133" spans="1:4">
      <c r="A133" s="258" t="s">
        <v>135</v>
      </c>
      <c r="B133" s="259" t="e">
        <f ca="1">IF(ISTEXT(([0]!P_1_5.1.10.1 [0]!Qté)),0,([0]!P_1_5.1.10.1 [0]!Qté))</f>
        <v>#REF!</v>
      </c>
      <c r="C133" s="260" t="e">
        <f ca="1">([0]!P_1_5.1.10.1 [0]!PU)</f>
        <v>#REF!</v>
      </c>
      <c r="D133" s="260" t="e">
        <f ca="1">IF(ISTEXT(([0]!P_1_5.1.10.1 [0]!MT)),0,([0]!P_1_5.1.10.1 [0]!MT))</f>
        <v>#REF!</v>
      </c>
    </row>
    <row r="134" spans="1:4">
      <c r="A134" s="258" t="s">
        <v>136</v>
      </c>
      <c r="B134" s="259" t="e">
        <f ca="1">IF(ISTEXT(([0]!P_1_5.1.10.2 [0]!Qté)),0,([0]!P_1_5.1.10.2 [0]!Qté))</f>
        <v>#REF!</v>
      </c>
      <c r="C134" s="260" t="e">
        <f ca="1">([0]!P_1_5.1.10.2 [0]!PU)</f>
        <v>#REF!</v>
      </c>
      <c r="D134" s="260" t="e">
        <f ca="1">IF(ISTEXT(([0]!P_1_5.1.10.2 [0]!MT)),0,([0]!P_1_5.1.10.2 [0]!MT))</f>
        <v>#REF!</v>
      </c>
    </row>
    <row r="135" spans="1:4">
      <c r="A135" s="258" t="s">
        <v>137</v>
      </c>
      <c r="B135" s="259" t="e">
        <f ca="1">IF(ISTEXT(([0]!P_1_5.1.10.3 [0]!Qté)),0,([0]!P_1_5.1.10.3 [0]!Qté))</f>
        <v>#REF!</v>
      </c>
      <c r="C135" s="260" t="e">
        <f ca="1">([0]!P_1_5.1.10.3 [0]!PU)</f>
        <v>#REF!</v>
      </c>
      <c r="D135" s="260" t="e">
        <f ca="1">IF(ISTEXT(([0]!P_1_5.1.10.3 [0]!MT)),0,([0]!P_1_5.1.10.3 [0]!MT))</f>
        <v>#REF!</v>
      </c>
    </row>
    <row r="136" spans="1:4">
      <c r="A136" s="258" t="s">
        <v>138</v>
      </c>
      <c r="B136" s="259" t="e">
        <f ca="1">IF(ISTEXT(([0]!P_1_5.1.11.1 [0]!Qté)),0,([0]!P_1_5.1.11.1 [0]!Qté))</f>
        <v>#REF!</v>
      </c>
      <c r="C136" s="260" t="e">
        <f ca="1">([0]!P_1_5.1.11.1 [0]!PU)</f>
        <v>#REF!</v>
      </c>
      <c r="D136" s="260" t="e">
        <f ca="1">IF(ISTEXT(([0]!P_1_5.1.11.1 [0]!MT)),0,([0]!P_1_5.1.11.1 [0]!MT))</f>
        <v>#REF!</v>
      </c>
    </row>
    <row r="137" spans="1:4">
      <c r="A137" s="258" t="s">
        <v>139</v>
      </c>
      <c r="B137" s="259" t="e">
        <f ca="1">IF(ISTEXT(([0]!P_1_5.1.11.2 [0]!Qté)),0,([0]!P_1_5.1.11.2 [0]!Qté))</f>
        <v>#REF!</v>
      </c>
      <c r="C137" s="260" t="e">
        <f ca="1">([0]!P_1_5.1.11.2 [0]!PU)</f>
        <v>#REF!</v>
      </c>
      <c r="D137" s="260" t="e">
        <f ca="1">IF(ISTEXT(([0]!P_1_5.1.11.2 [0]!MT)),0,([0]!P_1_5.1.11.2 [0]!MT))</f>
        <v>#REF!</v>
      </c>
    </row>
    <row r="138" spans="1:4">
      <c r="A138" s="258" t="s">
        <v>140</v>
      </c>
      <c r="B138" s="259" t="e">
        <f ca="1">IF(ISTEXT(([0]!P_1_5.1.11.3 [0]!Qté)),0,([0]!P_1_5.1.11.3 [0]!Qté))</f>
        <v>#REF!</v>
      </c>
      <c r="C138" s="260" t="e">
        <f ca="1">([0]!P_1_5.1.11.3 [0]!PU)</f>
        <v>#REF!</v>
      </c>
      <c r="D138" s="260" t="e">
        <f ca="1">IF(ISTEXT(([0]!P_1_5.1.11.3 [0]!MT)),0,([0]!P_1_5.1.11.3 [0]!MT))</f>
        <v>#REF!</v>
      </c>
    </row>
    <row r="139" spans="1:4">
      <c r="A139" s="258" t="s">
        <v>141</v>
      </c>
      <c r="B139" s="259" t="e">
        <f ca="1">IF(ISTEXT(([0]!P_1_5.1.12 [0]!Qté)),0,([0]!P_1_5.1.12 [0]!Qté))</f>
        <v>#REF!</v>
      </c>
      <c r="C139" s="260" t="e">
        <f ca="1">([0]!P_1_5.1.12 [0]!PU)</f>
        <v>#REF!</v>
      </c>
      <c r="D139" s="260" t="e">
        <f ca="1">IF(ISTEXT(([0]!P_1_5.1.12 [0]!MT)),0,([0]!P_1_5.1.12 [0]!MT))</f>
        <v>#REF!</v>
      </c>
    </row>
    <row r="140" spans="1:4">
      <c r="A140" s="258" t="s">
        <v>142</v>
      </c>
      <c r="B140" s="259" t="e">
        <f ca="1">IF(ISTEXT(([0]!P_1_5.1.13.1 [0]!Qté)),0,([0]!P_1_5.1.13.1 [0]!Qté))</f>
        <v>#REF!</v>
      </c>
      <c r="C140" s="260" t="e">
        <f ca="1">([0]!P_1_5.1.13.1 [0]!PU)</f>
        <v>#REF!</v>
      </c>
      <c r="D140" s="260" t="e">
        <f ca="1">IF(ISTEXT(([0]!P_1_5.1.13.1 [0]!MT)),0,([0]!P_1_5.1.13.1 [0]!MT))</f>
        <v>#REF!</v>
      </c>
    </row>
    <row r="141" spans="1:4">
      <c r="A141" s="258" t="s">
        <v>143</v>
      </c>
      <c r="B141" s="259" t="e">
        <f ca="1">IF(ISTEXT(([0]!P_1_5.1.13.2 [0]!Qté)),0,([0]!P_1_5.1.13.2 [0]!Qté))</f>
        <v>#REF!</v>
      </c>
      <c r="C141" s="260" t="e">
        <f ca="1">([0]!P_1_5.1.13.2 [0]!PU)</f>
        <v>#REF!</v>
      </c>
      <c r="D141" s="260" t="e">
        <f ca="1">IF(ISTEXT(([0]!P_1_5.1.13.2 [0]!MT)),0,([0]!P_1_5.1.13.2 [0]!MT))</f>
        <v>#REF!</v>
      </c>
    </row>
    <row r="142" spans="1:4">
      <c r="A142" s="258" t="s">
        <v>144</v>
      </c>
      <c r="B142" s="259" t="e">
        <f ca="1">IF(ISTEXT(([0]!P_1_5.2.1.1 [0]!Qté)),0,([0]!P_1_5.2.1.1 [0]!Qté))</f>
        <v>#REF!</v>
      </c>
      <c r="C142" s="260" t="e">
        <f ca="1">([0]!P_1_5.2.1.1 [0]!PU)</f>
        <v>#REF!</v>
      </c>
      <c r="D142" s="260" t="e">
        <f ca="1">IF(ISTEXT(([0]!P_1_5.2.1.1 [0]!MT)),0,([0]!P_1_5.2.1.1 [0]!MT))</f>
        <v>#REF!</v>
      </c>
    </row>
    <row r="143" spans="1:4">
      <c r="A143" s="258" t="s">
        <v>145</v>
      </c>
      <c r="B143" s="259" t="e">
        <f ca="1">IF(ISTEXT(([0]!P_1_5.2.1.2 [0]!Qté)),0,([0]!P_1_5.2.1.2 [0]!Qté))</f>
        <v>#REF!</v>
      </c>
      <c r="C143" s="260" t="e">
        <f ca="1">([0]!P_1_5.2.1.2 [0]!PU)</f>
        <v>#REF!</v>
      </c>
      <c r="D143" s="260" t="e">
        <f ca="1">IF(ISTEXT(([0]!P_1_5.2.1.2 [0]!MT)),0,([0]!P_1_5.2.1.2 [0]!MT))</f>
        <v>#REF!</v>
      </c>
    </row>
    <row r="144" spans="1:4">
      <c r="A144" s="258" t="s">
        <v>146</v>
      </c>
      <c r="B144" s="259" t="e">
        <f ca="1">IF(ISTEXT(([0]!P_1_5.2.1.3 [0]!Qté)),0,([0]!P_1_5.2.1.3 [0]!Qté))</f>
        <v>#REF!</v>
      </c>
      <c r="C144" s="260" t="e">
        <f ca="1">([0]!P_1_5.2.1.3 [0]!PU)</f>
        <v>#REF!</v>
      </c>
      <c r="D144" s="260" t="e">
        <f ca="1">IF(ISTEXT(([0]!P_1_5.2.1.3 [0]!MT)),0,([0]!P_1_5.2.1.3 [0]!MT))</f>
        <v>#REF!</v>
      </c>
    </row>
    <row r="145" spans="1:4">
      <c r="A145" s="258" t="s">
        <v>147</v>
      </c>
      <c r="B145" s="259" t="e">
        <f ca="1">IF(ISTEXT(([0]!P_1_5.2.1.4 [0]!Qté)),0,([0]!P_1_5.2.1.4 [0]!Qté))</f>
        <v>#REF!</v>
      </c>
      <c r="C145" s="260" t="e">
        <f ca="1">([0]!P_1_5.2.1.4 [0]!PU)</f>
        <v>#REF!</v>
      </c>
      <c r="D145" s="260" t="e">
        <f ca="1">IF(ISTEXT(([0]!P_1_5.2.1.4 [0]!MT)),0,([0]!P_1_5.2.1.4 [0]!MT))</f>
        <v>#REF!</v>
      </c>
    </row>
    <row r="146" spans="1:4">
      <c r="A146" s="258" t="s">
        <v>148</v>
      </c>
      <c r="B146" s="259" t="e">
        <f ca="1">IF(ISTEXT(([0]!P_1_5.2.1.5 [0]!Qté)),0,([0]!P_1_5.2.1.5 [0]!Qté))</f>
        <v>#REF!</v>
      </c>
      <c r="C146" s="260" t="e">
        <f ca="1">([0]!P_1_5.2.1.5 [0]!PU)</f>
        <v>#REF!</v>
      </c>
      <c r="D146" s="260" t="e">
        <f ca="1">IF(ISTEXT(([0]!P_1_5.2.1.5 [0]!MT)),0,([0]!P_1_5.2.1.5 [0]!MT))</f>
        <v>#REF!</v>
      </c>
    </row>
    <row r="147" spans="1:4">
      <c r="A147" s="258" t="s">
        <v>149</v>
      </c>
      <c r="B147" s="259" t="e">
        <f ca="1">IF(ISTEXT(([0]!P_1_5.2.1.6 [0]!Qté)),0,([0]!P_1_5.2.1.6 [0]!Qté))</f>
        <v>#REF!</v>
      </c>
      <c r="C147" s="260" t="e">
        <f ca="1">([0]!P_1_5.2.1.6 [0]!PU)</f>
        <v>#REF!</v>
      </c>
      <c r="D147" s="260" t="e">
        <f ca="1">IF(ISTEXT(([0]!P_1_5.2.1.6 [0]!MT)),0,([0]!P_1_5.2.1.6 [0]!MT))</f>
        <v>#REF!</v>
      </c>
    </row>
    <row r="148" spans="1:4">
      <c r="A148" s="258" t="s">
        <v>150</v>
      </c>
      <c r="B148" s="259" t="e">
        <f ca="1">IF(ISTEXT(([0]!P_1_5.2.1.7 [0]!Qté)),0,([0]!P_1_5.2.1.7 [0]!Qté))</f>
        <v>#REF!</v>
      </c>
      <c r="C148" s="260" t="e">
        <f ca="1">([0]!P_1_5.2.1.7 [0]!PU)</f>
        <v>#REF!</v>
      </c>
      <c r="D148" s="260" t="e">
        <f ca="1">IF(ISTEXT(([0]!P_1_5.2.1.7 [0]!MT)),0,([0]!P_1_5.2.1.7 [0]!MT))</f>
        <v>#REF!</v>
      </c>
    </row>
    <row r="149" spans="1:4">
      <c r="A149" s="258" t="s">
        <v>151</v>
      </c>
      <c r="B149" s="259" t="e">
        <f ca="1">IF(ISTEXT(([0]!P_1_5.2.1.8 [0]!Qté)),0,([0]!P_1_5.2.1.8 [0]!Qté))</f>
        <v>#REF!</v>
      </c>
      <c r="C149" s="260" t="e">
        <f ca="1">([0]!P_1_5.2.1.8 [0]!PU)</f>
        <v>#REF!</v>
      </c>
      <c r="D149" s="260" t="e">
        <f ca="1">IF(ISTEXT(([0]!P_1_5.2.1.8 [0]!MT)),0,([0]!P_1_5.2.1.8 [0]!MT))</f>
        <v>#REF!</v>
      </c>
    </row>
    <row r="150" spans="1:4">
      <c r="A150" s="258" t="s">
        <v>152</v>
      </c>
      <c r="B150" s="259" t="e">
        <f ca="1">IF(ISTEXT(([0]!P_1_5.2.1.9 [0]!Qté)),0,([0]!P_1_5.2.1.9 [0]!Qté))</f>
        <v>#REF!</v>
      </c>
      <c r="C150" s="260" t="e">
        <f ca="1">([0]!P_1_5.2.1.9 [0]!PU)</f>
        <v>#REF!</v>
      </c>
      <c r="D150" s="260" t="e">
        <f ca="1">IF(ISTEXT(([0]!P_1_5.2.1.9 [0]!MT)),0,([0]!P_1_5.2.1.9 [0]!MT))</f>
        <v>#REF!</v>
      </c>
    </row>
    <row r="151" spans="1:4">
      <c r="A151" s="258" t="s">
        <v>153</v>
      </c>
      <c r="B151" s="259" t="e">
        <f ca="1">IF(ISTEXT(([0]!P_1_5.2.1.10 [0]!Qté)),0,([0]!P_1_5.2.1.10 [0]!Qté))</f>
        <v>#REF!</v>
      </c>
      <c r="C151" s="260" t="e">
        <f ca="1">([0]!P_1_5.2.1.10 [0]!PU)</f>
        <v>#REF!</v>
      </c>
      <c r="D151" s="260" t="e">
        <f ca="1">IF(ISTEXT(([0]!P_1_5.2.1.10 [0]!MT)),0,([0]!P_1_5.2.1.10 [0]!MT))</f>
        <v>#REF!</v>
      </c>
    </row>
    <row r="152" spans="1:4">
      <c r="A152" s="258" t="s">
        <v>154</v>
      </c>
      <c r="B152" s="259" t="e">
        <f ca="1">IF(ISTEXT(([0]!P_1_5.2.1.11 [0]!Qté)),0,([0]!P_1_5.2.1.11 [0]!Qté))</f>
        <v>#REF!</v>
      </c>
      <c r="C152" s="260" t="e">
        <f ca="1">([0]!P_1_5.2.1.11 [0]!PU)</f>
        <v>#REF!</v>
      </c>
      <c r="D152" s="260" t="e">
        <f ca="1">IF(ISTEXT(([0]!P_1_5.2.1.11 [0]!MT)),0,([0]!P_1_5.2.1.11 [0]!MT))</f>
        <v>#REF!</v>
      </c>
    </row>
    <row r="153" spans="1:4">
      <c r="A153" s="258" t="s">
        <v>155</v>
      </c>
      <c r="B153" s="259" t="e">
        <f ca="1">IF(ISTEXT(([0]!P_1_5.2.1.12 [0]!Qté)),0,([0]!P_1_5.2.1.12 [0]!Qté))</f>
        <v>#REF!</v>
      </c>
      <c r="C153" s="260" t="e">
        <f ca="1">([0]!P_1_5.2.1.12 [0]!PU)</f>
        <v>#REF!</v>
      </c>
      <c r="D153" s="260" t="e">
        <f ca="1">IF(ISTEXT(([0]!P_1_5.2.1.12 [0]!MT)),0,([0]!P_1_5.2.1.12 [0]!MT))</f>
        <v>#REF!</v>
      </c>
    </row>
    <row r="154" spans="1:4">
      <c r="A154" s="258" t="s">
        <v>156</v>
      </c>
      <c r="B154" s="259" t="e">
        <f ca="1">IF(ISTEXT(([0]!P_1_5.2.1.13 [0]!Qté)),0,([0]!P_1_5.2.1.13 [0]!Qté))</f>
        <v>#REF!</v>
      </c>
      <c r="C154" s="260" t="e">
        <f ca="1">([0]!P_1_5.2.1.13 [0]!PU)</f>
        <v>#REF!</v>
      </c>
      <c r="D154" s="260" t="e">
        <f ca="1">IF(ISTEXT(([0]!P_1_5.2.1.13 [0]!MT)),0,([0]!P_1_5.2.1.13 [0]!MT))</f>
        <v>#REF!</v>
      </c>
    </row>
    <row r="155" spans="1:4">
      <c r="A155" s="258" t="s">
        <v>157</v>
      </c>
      <c r="B155" s="259" t="e">
        <f ca="1">IF(ISTEXT(([0]!P_1_5.2.2.1 [0]!Qté)),0,([0]!P_1_5.2.2.1 [0]!Qté))</f>
        <v>#REF!</v>
      </c>
      <c r="C155" s="260" t="e">
        <f ca="1">([0]!P_1_5.2.2.1 [0]!PU)</f>
        <v>#REF!</v>
      </c>
      <c r="D155" s="260" t="e">
        <f ca="1">IF(ISTEXT(([0]!P_1_5.2.2.1 [0]!MT)),0,([0]!P_1_5.2.2.1 [0]!MT))</f>
        <v>#REF!</v>
      </c>
    </row>
    <row r="156" spans="1:4">
      <c r="A156" s="258" t="s">
        <v>158</v>
      </c>
      <c r="B156" s="259" t="e">
        <f ca="1">IF(ISTEXT(([0]!P_1_5.2.2.2 [0]!Qté)),0,([0]!P_1_5.2.2.2 [0]!Qté))</f>
        <v>#REF!</v>
      </c>
      <c r="C156" s="260" t="e">
        <f ca="1">([0]!P_1_5.2.2.2 [0]!PU)</f>
        <v>#REF!</v>
      </c>
      <c r="D156" s="260" t="e">
        <f ca="1">IF(ISTEXT(([0]!P_1_5.2.2.2 [0]!MT)),0,([0]!P_1_5.2.2.2 [0]!MT))</f>
        <v>#REF!</v>
      </c>
    </row>
    <row r="157" spans="1:4">
      <c r="A157" s="258" t="s">
        <v>159</v>
      </c>
      <c r="B157" s="259" t="e">
        <f ca="1">IF(ISTEXT(([0]!P_1_5.2.2.3 [0]!Qté)),0,([0]!P_1_5.2.2.3 [0]!Qté))</f>
        <v>#REF!</v>
      </c>
      <c r="C157" s="260" t="e">
        <f ca="1">([0]!P_1_5.2.2.3 [0]!PU)</f>
        <v>#REF!</v>
      </c>
      <c r="D157" s="260" t="e">
        <f ca="1">IF(ISTEXT(([0]!P_1_5.2.2.3 [0]!MT)),0,([0]!P_1_5.2.2.3 [0]!MT))</f>
        <v>#REF!</v>
      </c>
    </row>
    <row r="158" spans="1:4">
      <c r="A158" s="258" t="s">
        <v>160</v>
      </c>
      <c r="B158" s="259" t="e">
        <f ca="1">IF(ISTEXT(([0]!P_1_5.2.2.4 [0]!Qté)),0,([0]!P_1_5.2.2.4 [0]!Qté))</f>
        <v>#REF!</v>
      </c>
      <c r="C158" s="260" t="e">
        <f ca="1">([0]!P_1_5.2.2.4 [0]!PU)</f>
        <v>#REF!</v>
      </c>
      <c r="D158" s="260" t="e">
        <f ca="1">IF(ISTEXT(([0]!P_1_5.2.2.4 [0]!MT)),0,([0]!P_1_5.2.2.4 [0]!MT))</f>
        <v>#REF!</v>
      </c>
    </row>
    <row r="159" spans="1:4">
      <c r="A159" s="258" t="s">
        <v>161</v>
      </c>
      <c r="B159" s="259" t="e">
        <f ca="1">IF(ISTEXT(([0]!P_1_5.2.2.5 [0]!Qté)),0,([0]!P_1_5.2.2.5 [0]!Qté))</f>
        <v>#REF!</v>
      </c>
      <c r="C159" s="260" t="e">
        <f ca="1">([0]!P_1_5.2.2.5 [0]!PU)</f>
        <v>#REF!</v>
      </c>
      <c r="D159" s="260" t="e">
        <f ca="1">IF(ISTEXT(([0]!P_1_5.2.2.5 [0]!MT)),0,([0]!P_1_5.2.2.5 [0]!MT))</f>
        <v>#REF!</v>
      </c>
    </row>
    <row r="160" spans="1:4">
      <c r="A160" s="258" t="s">
        <v>162</v>
      </c>
      <c r="B160" s="259" t="e">
        <f ca="1">IF(ISTEXT(([0]!P_1_5.2.2.6 [0]!Qté)),0,([0]!P_1_5.2.2.6 [0]!Qté))</f>
        <v>#REF!</v>
      </c>
      <c r="C160" s="260" t="e">
        <f ca="1">([0]!P_1_5.2.2.6 [0]!PU)</f>
        <v>#REF!</v>
      </c>
      <c r="D160" s="260" t="e">
        <f ca="1">IF(ISTEXT(([0]!P_1_5.2.2.6 [0]!MT)),0,([0]!P_1_5.2.2.6 [0]!MT))</f>
        <v>#REF!</v>
      </c>
    </row>
    <row r="161" spans="1:4">
      <c r="A161" s="258" t="s">
        <v>163</v>
      </c>
      <c r="B161" s="259" t="e">
        <f ca="1">IF(ISTEXT(([0]!P_1_5.2.2.7 [0]!Qté)),0,([0]!P_1_5.2.2.7 [0]!Qté))</f>
        <v>#REF!</v>
      </c>
      <c r="C161" s="260" t="e">
        <f ca="1">([0]!P_1_5.2.2.7 [0]!PU)</f>
        <v>#REF!</v>
      </c>
      <c r="D161" s="260" t="e">
        <f ca="1">IF(ISTEXT(([0]!P_1_5.2.2.7 [0]!MT)),0,([0]!P_1_5.2.2.7 [0]!MT))</f>
        <v>#REF!</v>
      </c>
    </row>
    <row r="162" spans="1:4">
      <c r="A162" s="258" t="s">
        <v>164</v>
      </c>
      <c r="B162" s="259" t="e">
        <f ca="1">IF(ISTEXT(([0]!P_1_5.2.2.8 [0]!Qté)),0,([0]!P_1_5.2.2.8 [0]!Qté))</f>
        <v>#REF!</v>
      </c>
      <c r="C162" s="260" t="e">
        <f ca="1">([0]!P_1_5.2.2.8 [0]!PU)</f>
        <v>#REF!</v>
      </c>
      <c r="D162" s="260" t="e">
        <f ca="1">IF(ISTEXT(([0]!P_1_5.2.2.8 [0]!MT)),0,([0]!P_1_5.2.2.8 [0]!MT))</f>
        <v>#REF!</v>
      </c>
    </row>
    <row r="163" spans="1:4">
      <c r="A163" s="258" t="s">
        <v>165</v>
      </c>
      <c r="B163" s="259" t="e">
        <f ca="1">IF(ISTEXT(([0]!P_1_5.2.2.9 [0]!Qté)),0,([0]!P_1_5.2.2.9 [0]!Qté))</f>
        <v>#REF!</v>
      </c>
      <c r="C163" s="260" t="e">
        <f ca="1">([0]!P_1_5.2.2.9 [0]!PU)</f>
        <v>#REF!</v>
      </c>
      <c r="D163" s="260" t="e">
        <f ca="1">IF(ISTEXT(([0]!P_1_5.2.2.9 [0]!MT)),0,([0]!P_1_5.2.2.9 [0]!MT))</f>
        <v>#REF!</v>
      </c>
    </row>
    <row r="164" spans="1:4">
      <c r="A164" s="258" t="s">
        <v>166</v>
      </c>
      <c r="B164" s="259" t="e">
        <f ca="1">IF(ISTEXT(([0]!P_1_5.2.2.10 [0]!Qté)),0,([0]!P_1_5.2.2.10 [0]!Qté))</f>
        <v>#REF!</v>
      </c>
      <c r="C164" s="260" t="e">
        <f ca="1">([0]!P_1_5.2.2.10 [0]!PU)</f>
        <v>#REF!</v>
      </c>
      <c r="D164" s="260" t="e">
        <f ca="1">IF(ISTEXT(([0]!P_1_5.2.2.10 [0]!MT)),0,([0]!P_1_5.2.2.10 [0]!MT))</f>
        <v>#REF!</v>
      </c>
    </row>
    <row r="165" spans="1:4">
      <c r="A165" s="258" t="s">
        <v>167</v>
      </c>
      <c r="B165" s="259" t="e">
        <f ca="1">IF(ISTEXT(([0]!P_1_5.2.3.1 [0]!Qté)),0,([0]!P_1_5.2.3.1 [0]!Qté))</f>
        <v>#REF!</v>
      </c>
      <c r="C165" s="260" t="e">
        <f ca="1">([0]!P_1_5.2.3.1 [0]!PU)</f>
        <v>#REF!</v>
      </c>
      <c r="D165" s="260" t="e">
        <f ca="1">IF(ISTEXT(([0]!P_1_5.2.3.1 [0]!MT)),0,([0]!P_1_5.2.3.1 [0]!MT))</f>
        <v>#REF!</v>
      </c>
    </row>
    <row r="166" spans="1:4">
      <c r="A166" s="258" t="s">
        <v>168</v>
      </c>
      <c r="B166" s="259" t="e">
        <f ca="1">IF(ISTEXT(([0]!P_1_5.2.3.2 [0]!Qté)),0,([0]!P_1_5.2.3.2 [0]!Qté))</f>
        <v>#REF!</v>
      </c>
      <c r="C166" s="260" t="e">
        <f ca="1">([0]!P_1_5.2.3.2 [0]!PU)</f>
        <v>#REF!</v>
      </c>
      <c r="D166" s="260" t="e">
        <f ca="1">IF(ISTEXT(([0]!P_1_5.2.3.2 [0]!MT)),0,([0]!P_1_5.2.3.2 [0]!MT))</f>
        <v>#REF!</v>
      </c>
    </row>
    <row r="167" spans="1:4">
      <c r="A167" s="258" t="s">
        <v>169</v>
      </c>
      <c r="B167" s="259" t="e">
        <f ca="1">IF(ISTEXT(([0]!P_1_5.2.4.1 [0]!Qté)),0,([0]!P_1_5.2.4.1 [0]!Qté))</f>
        <v>#REF!</v>
      </c>
      <c r="C167" s="260" t="e">
        <f ca="1">([0]!P_1_5.2.4.1 [0]!PU)</f>
        <v>#REF!</v>
      </c>
      <c r="D167" s="260" t="e">
        <f ca="1">IF(ISTEXT(([0]!P_1_5.2.4.1 [0]!MT)),0,([0]!P_1_5.2.4.1 [0]!MT))</f>
        <v>#REF!</v>
      </c>
    </row>
    <row r="168" spans="1:4">
      <c r="A168" s="258" t="s">
        <v>170</v>
      </c>
      <c r="B168" s="259" t="e">
        <f ca="1">IF(ISTEXT(([0]!P_1_5.2.4.2 [0]!Qté)),0,([0]!P_1_5.2.4.2 [0]!Qté))</f>
        <v>#REF!</v>
      </c>
      <c r="C168" s="260" t="e">
        <f ca="1">([0]!P_1_5.2.4.2 [0]!PU)</f>
        <v>#REF!</v>
      </c>
      <c r="D168" s="260" t="e">
        <f ca="1">IF(ISTEXT(([0]!P_1_5.2.4.2 [0]!MT)),0,([0]!P_1_5.2.4.2 [0]!MT))</f>
        <v>#REF!</v>
      </c>
    </row>
    <row r="169" spans="1:4">
      <c r="A169" s="258" t="s">
        <v>171</v>
      </c>
      <c r="B169" s="259" t="e">
        <f ca="1">IF(ISTEXT(([0]!P_1_5.2.4.3 [0]!Qté)),0,([0]!P_1_5.2.4.3 [0]!Qté))</f>
        <v>#REF!</v>
      </c>
      <c r="C169" s="260" t="e">
        <f ca="1">([0]!P_1_5.2.4.3 [0]!PU)</f>
        <v>#REF!</v>
      </c>
      <c r="D169" s="260" t="e">
        <f ca="1">IF(ISTEXT(([0]!P_1_5.2.4.3 [0]!MT)),0,([0]!P_1_5.2.4.3 [0]!MT))</f>
        <v>#REF!</v>
      </c>
    </row>
    <row r="170" spans="1:4">
      <c r="A170" s="258" t="s">
        <v>172</v>
      </c>
      <c r="B170" s="259" t="e">
        <f ca="1">IF(ISTEXT(([0]!P_1_5.2.4.4 [0]!Qté)),0,([0]!P_1_5.2.4.4 [0]!Qté))</f>
        <v>#REF!</v>
      </c>
      <c r="C170" s="260" t="e">
        <f ca="1">([0]!P_1_5.2.4.4 [0]!PU)</f>
        <v>#REF!</v>
      </c>
      <c r="D170" s="260" t="e">
        <f ca="1">IF(ISTEXT(([0]!P_1_5.2.4.4 [0]!MT)),0,([0]!P_1_5.2.4.4 [0]!MT))</f>
        <v>#REF!</v>
      </c>
    </row>
    <row r="171" spans="1:4">
      <c r="A171" s="258" t="s">
        <v>173</v>
      </c>
      <c r="B171" s="259" t="e">
        <f ca="1">IF(ISTEXT(([0]!P_1_5.2.4.5 [0]!Qté)),0,([0]!P_1_5.2.4.5 [0]!Qté))</f>
        <v>#REF!</v>
      </c>
      <c r="C171" s="260" t="e">
        <f ca="1">([0]!P_1_5.2.4.5 [0]!PU)</f>
        <v>#REF!</v>
      </c>
      <c r="D171" s="260" t="e">
        <f ca="1">IF(ISTEXT(([0]!P_1_5.2.4.5 [0]!MT)),0,([0]!P_1_5.2.4.5 [0]!MT))</f>
        <v>#REF!</v>
      </c>
    </row>
    <row r="172" spans="1:4">
      <c r="A172" s="258" t="s">
        <v>174</v>
      </c>
      <c r="B172" s="259" t="e">
        <f ca="1">IF(ISTEXT(([0]!P_1_5.2.4.6 [0]!Qté)),0,([0]!P_1_5.2.4.6 [0]!Qté))</f>
        <v>#REF!</v>
      </c>
      <c r="C172" s="260" t="e">
        <f ca="1">([0]!P_1_5.2.4.6 [0]!PU)</f>
        <v>#REF!</v>
      </c>
      <c r="D172" s="260" t="e">
        <f ca="1">IF(ISTEXT(([0]!P_1_5.2.4.6 [0]!MT)),0,([0]!P_1_5.2.4.6 [0]!MT))</f>
        <v>#REF!</v>
      </c>
    </row>
    <row r="173" spans="1:4">
      <c r="A173" s="258" t="s">
        <v>175</v>
      </c>
      <c r="B173" s="259" t="e">
        <f ca="1">IF(ISTEXT(([0]!P_1_5.2.4.7 [0]!Qté)),0,([0]!P_1_5.2.4.7 [0]!Qté))</f>
        <v>#REF!</v>
      </c>
      <c r="C173" s="260" t="e">
        <f ca="1">([0]!P_1_5.2.4.7 [0]!PU)</f>
        <v>#REF!</v>
      </c>
      <c r="D173" s="260" t="e">
        <f ca="1">IF(ISTEXT(([0]!P_1_5.2.4.7 [0]!MT)),0,([0]!P_1_5.2.4.7 [0]!MT))</f>
        <v>#REF!</v>
      </c>
    </row>
    <row r="174" spans="1:4">
      <c r="A174" s="258" t="s">
        <v>176</v>
      </c>
      <c r="B174" s="259" t="e">
        <f ca="1">IF(ISTEXT(([0]!P_1_5.2.4.8 [0]!Qté)),0,([0]!P_1_5.2.4.8 [0]!Qté))</f>
        <v>#REF!</v>
      </c>
      <c r="C174" s="260" t="e">
        <f ca="1">([0]!P_1_5.2.4.8 [0]!PU)</f>
        <v>#REF!</v>
      </c>
      <c r="D174" s="260" t="e">
        <f ca="1">IF(ISTEXT(([0]!P_1_5.2.4.8 [0]!MT)),0,([0]!P_1_5.2.4.8 [0]!MT))</f>
        <v>#REF!</v>
      </c>
    </row>
    <row r="175" spans="1:4">
      <c r="A175" s="258" t="s">
        <v>177</v>
      </c>
      <c r="B175" s="259" t="e">
        <f ca="1">IF(ISTEXT(([0]!P_1_5.2.4.9 [0]!Qté)),0,([0]!P_1_5.2.4.9 [0]!Qté))</f>
        <v>#REF!</v>
      </c>
      <c r="C175" s="260" t="e">
        <f ca="1">([0]!P_1_5.2.4.9 [0]!PU)</f>
        <v>#REF!</v>
      </c>
      <c r="D175" s="260" t="e">
        <f ca="1">IF(ISTEXT(([0]!P_1_5.2.4.9 [0]!MT)),0,([0]!P_1_5.2.4.9 [0]!MT))</f>
        <v>#REF!</v>
      </c>
    </row>
    <row r="176" spans="1:4">
      <c r="A176" s="258" t="s">
        <v>178</v>
      </c>
      <c r="B176" s="259" t="e">
        <f ca="1">IF(ISTEXT(([0]!P_1_5.2.4.10 [0]!Qté)),0,([0]!P_1_5.2.4.10 [0]!Qté))</f>
        <v>#REF!</v>
      </c>
      <c r="C176" s="260" t="e">
        <f ca="1">([0]!P_1_5.2.4.10 [0]!PU)</f>
        <v>#REF!</v>
      </c>
      <c r="D176" s="260" t="e">
        <f ca="1">IF(ISTEXT(([0]!P_1_5.2.4.10 [0]!MT)),0,([0]!P_1_5.2.4.10 [0]!MT))</f>
        <v>#REF!</v>
      </c>
    </row>
    <row r="177" spans="1:4">
      <c r="A177" s="258" t="s">
        <v>179</v>
      </c>
      <c r="B177" s="259" t="e">
        <f ca="1">IF(ISTEXT(([0]!P_1_5.2.4.11 [0]!Qté)),0,([0]!P_1_5.2.4.11 [0]!Qté))</f>
        <v>#REF!</v>
      </c>
      <c r="C177" s="260" t="e">
        <f ca="1">([0]!P_1_5.2.4.11 [0]!PU)</f>
        <v>#REF!</v>
      </c>
      <c r="D177" s="260" t="e">
        <f ca="1">IF(ISTEXT(([0]!P_1_5.2.4.11 [0]!MT)),0,([0]!P_1_5.2.4.11 [0]!MT))</f>
        <v>#REF!</v>
      </c>
    </row>
    <row r="178" spans="1:4">
      <c r="A178" s="258" t="s">
        <v>180</v>
      </c>
      <c r="B178" s="259" t="e">
        <f ca="1">IF(ISTEXT(([0]!P_1_5.2.4.12 [0]!Qté)),0,([0]!P_1_5.2.4.12 [0]!Qté))</f>
        <v>#REF!</v>
      </c>
      <c r="C178" s="260" t="e">
        <f ca="1">([0]!P_1_5.2.4.12 [0]!PU)</f>
        <v>#REF!</v>
      </c>
      <c r="D178" s="260" t="e">
        <f ca="1">IF(ISTEXT(([0]!P_1_5.2.4.12 [0]!MT)),0,([0]!P_1_5.2.4.12 [0]!MT))</f>
        <v>#REF!</v>
      </c>
    </row>
    <row r="179" spans="1:4">
      <c r="A179" s="258" t="s">
        <v>181</v>
      </c>
      <c r="B179" s="259" t="e">
        <f ca="1">IF(ISTEXT(([0]!P_1_5.2.4.13 [0]!Qté)),0,([0]!P_1_5.2.4.13 [0]!Qté))</f>
        <v>#REF!</v>
      </c>
      <c r="C179" s="260" t="e">
        <f ca="1">([0]!P_1_5.2.4.13 [0]!PU)</f>
        <v>#REF!</v>
      </c>
      <c r="D179" s="260" t="e">
        <f ca="1">IF(ISTEXT(([0]!P_1_5.2.4.13 [0]!MT)),0,([0]!P_1_5.2.4.13 [0]!MT))</f>
        <v>#REF!</v>
      </c>
    </row>
    <row r="180" spans="1:4">
      <c r="A180" s="258" t="s">
        <v>182</v>
      </c>
      <c r="B180" s="259" t="e">
        <f ca="1">IF(ISTEXT(([0]!P_1_5.2.4.14 [0]!Qté)),0,([0]!P_1_5.2.4.14 [0]!Qté))</f>
        <v>#REF!</v>
      </c>
      <c r="C180" s="260" t="e">
        <f ca="1">([0]!P_1_5.2.4.14 [0]!PU)</f>
        <v>#REF!</v>
      </c>
      <c r="D180" s="260" t="e">
        <f ca="1">IF(ISTEXT(([0]!P_1_5.2.4.14 [0]!MT)),0,([0]!P_1_5.2.4.14 [0]!MT))</f>
        <v>#REF!</v>
      </c>
    </row>
    <row r="181" spans="1:4">
      <c r="A181" s="258" t="s">
        <v>183</v>
      </c>
      <c r="B181" s="259" t="e">
        <f ca="1">IF(ISTEXT(([0]!P_1_5.2.4.15 [0]!Qté)),0,([0]!P_1_5.2.4.15 [0]!Qté))</f>
        <v>#REF!</v>
      </c>
      <c r="C181" s="260" t="e">
        <f ca="1">([0]!P_1_5.2.4.15 [0]!PU)</f>
        <v>#REF!</v>
      </c>
      <c r="D181" s="260" t="e">
        <f ca="1">IF(ISTEXT(([0]!P_1_5.2.4.15 [0]!MT)),0,([0]!P_1_5.2.4.15 [0]!MT))</f>
        <v>#REF!</v>
      </c>
    </row>
    <row r="182" spans="1:4">
      <c r="A182" s="258" t="s">
        <v>184</v>
      </c>
      <c r="B182" s="259" t="e">
        <f ca="1">IF(ISTEXT(([0]!P_1_5.2.4.16 [0]!Qté)),0,([0]!P_1_5.2.4.16 [0]!Qté))</f>
        <v>#REF!</v>
      </c>
      <c r="C182" s="260" t="e">
        <f ca="1">([0]!P_1_5.2.4.16 [0]!PU)</f>
        <v>#REF!</v>
      </c>
      <c r="D182" s="260" t="e">
        <f ca="1">IF(ISTEXT(([0]!P_1_5.2.4.16 [0]!MT)),0,([0]!P_1_5.2.4.16 [0]!MT))</f>
        <v>#REF!</v>
      </c>
    </row>
    <row r="183" spans="1:4">
      <c r="A183" s="258" t="s">
        <v>185</v>
      </c>
      <c r="B183" s="259" t="e">
        <f ca="1">IF(ISTEXT(([0]!P_1_5.2.4.17 [0]!Qté)),0,([0]!P_1_5.2.4.17 [0]!Qté))</f>
        <v>#REF!</v>
      </c>
      <c r="C183" s="260" t="e">
        <f ca="1">([0]!P_1_5.2.4.17 [0]!PU)</f>
        <v>#REF!</v>
      </c>
      <c r="D183" s="260" t="e">
        <f ca="1">IF(ISTEXT(([0]!P_1_5.2.4.17 [0]!MT)),0,([0]!P_1_5.2.4.17 [0]!MT))</f>
        <v>#REF!</v>
      </c>
    </row>
    <row r="184" spans="1:4">
      <c r="A184" s="258" t="s">
        <v>186</v>
      </c>
      <c r="B184" s="259" t="e">
        <f ca="1">IF(ISTEXT(([0]!P_1_5.3.1 [0]!Qté)),0,([0]!P_1_5.3.1 [0]!Qté))</f>
        <v>#REF!</v>
      </c>
      <c r="C184" s="260" t="e">
        <f ca="1">([0]!P_1_5.3.1 [0]!PU)</f>
        <v>#REF!</v>
      </c>
      <c r="D184" s="260" t="e">
        <f ca="1">IF(ISTEXT(([0]!P_1_5.3.1 [0]!MT)),0,([0]!P_1_5.3.1 [0]!MT))</f>
        <v>#REF!</v>
      </c>
    </row>
    <row r="185" spans="1:4">
      <c r="A185" s="258" t="s">
        <v>187</v>
      </c>
      <c r="B185" s="259" t="e">
        <f ca="1">IF(ISTEXT(([0]!P_1_5.3.2 [0]!Qté)),0,([0]!P_1_5.3.2 [0]!Qté))</f>
        <v>#REF!</v>
      </c>
      <c r="C185" s="260" t="e">
        <f ca="1">([0]!P_1_5.3.2 [0]!PU)</f>
        <v>#REF!</v>
      </c>
      <c r="D185" s="260" t="e">
        <f ca="1">IF(ISTEXT(([0]!P_1_5.3.2 [0]!MT)),0,([0]!P_1_5.3.2 [0]!MT))</f>
        <v>#REF!</v>
      </c>
    </row>
    <row r="186" spans="1:4">
      <c r="A186" s="258" t="s">
        <v>188</v>
      </c>
      <c r="B186" s="259" t="e">
        <f ca="1">IF(ISTEXT(([0]!P_1_5.3.3 [0]!Qté)),0,([0]!P_1_5.3.3 [0]!Qté))</f>
        <v>#REF!</v>
      </c>
      <c r="C186" s="260" t="e">
        <f ca="1">([0]!P_1_5.3.3 [0]!PU)</f>
        <v>#REF!</v>
      </c>
      <c r="D186" s="260" t="e">
        <f ca="1">IF(ISTEXT(([0]!P_1_5.3.3 [0]!MT)),0,([0]!P_1_5.3.3 [0]!MT))</f>
        <v>#REF!</v>
      </c>
    </row>
    <row r="187" spans="1:4">
      <c r="A187" s="258" t="s">
        <v>189</v>
      </c>
      <c r="B187" s="259" t="e">
        <f ca="1">IF(ISTEXT(([0]!P_1_5.3.4 [0]!Qté)),0,([0]!P_1_5.3.4 [0]!Qté))</f>
        <v>#REF!</v>
      </c>
      <c r="C187" s="260" t="e">
        <f ca="1">([0]!P_1_5.3.4 [0]!PU)</f>
        <v>#REF!</v>
      </c>
      <c r="D187" s="260" t="e">
        <f ca="1">IF(ISTEXT(([0]!P_1_5.3.4 [0]!MT)),0,([0]!P_1_5.3.4 [0]!MT))</f>
        <v>#REF!</v>
      </c>
    </row>
    <row r="188" spans="1:4">
      <c r="A188" s="258" t="s">
        <v>190</v>
      </c>
      <c r="B188" s="259" t="e">
        <f ca="1">IF(ISTEXT(([0]!P_1_5.3.5 [0]!Qté)),0,([0]!P_1_5.3.5 [0]!Qté))</f>
        <v>#REF!</v>
      </c>
      <c r="C188" s="260" t="e">
        <f ca="1">([0]!P_1_5.3.5 [0]!PU)</f>
        <v>#REF!</v>
      </c>
      <c r="D188" s="260" t="e">
        <f ca="1">IF(ISTEXT(([0]!P_1_5.3.5 [0]!MT)),0,([0]!P_1_5.3.5 [0]!MT))</f>
        <v>#REF!</v>
      </c>
    </row>
    <row r="189" spans="1:4">
      <c r="A189" s="258" t="s">
        <v>191</v>
      </c>
      <c r="B189" s="259" t="e">
        <f ca="1">IF(ISTEXT(([0]!P_1_5.3.6 [0]!Qté)),0,([0]!P_1_5.3.6 [0]!Qté))</f>
        <v>#REF!</v>
      </c>
      <c r="C189" s="260" t="e">
        <f ca="1">([0]!P_1_5.3.6 [0]!PU)</f>
        <v>#REF!</v>
      </c>
      <c r="D189" s="260" t="e">
        <f ca="1">IF(ISTEXT(([0]!P_1_5.3.6 [0]!MT)),0,([0]!P_1_5.3.6 [0]!MT))</f>
        <v>#REF!</v>
      </c>
    </row>
    <row r="190" spans="1:4">
      <c r="A190" s="258" t="s">
        <v>192</v>
      </c>
      <c r="B190" s="259" t="e">
        <f ca="1">IF(ISTEXT(([0]!P_1_5.3.7 [0]!Qté)),0,([0]!P_1_5.3.7 [0]!Qté))</f>
        <v>#REF!</v>
      </c>
      <c r="C190" s="260" t="e">
        <f ca="1">([0]!P_1_5.3.7 [0]!PU)</f>
        <v>#REF!</v>
      </c>
      <c r="D190" s="260" t="e">
        <f ca="1">IF(ISTEXT(([0]!P_1_5.3.7 [0]!MT)),0,([0]!P_1_5.3.7 [0]!MT))</f>
        <v>#REF!</v>
      </c>
    </row>
    <row r="191" spans="1:4">
      <c r="A191" s="258" t="s">
        <v>193</v>
      </c>
      <c r="B191" s="259" t="e">
        <f ca="1">IF(ISTEXT(([0]!P_1_5.3.8 [0]!Qté)),0,([0]!P_1_5.3.8 [0]!Qté))</f>
        <v>#REF!</v>
      </c>
      <c r="C191" s="260" t="e">
        <f ca="1">([0]!P_1_5.3.8 [0]!PU)</f>
        <v>#REF!</v>
      </c>
      <c r="D191" s="260" t="e">
        <f ca="1">IF(ISTEXT(([0]!P_1_5.3.8 [0]!MT)),0,([0]!P_1_5.3.8 [0]!MT))</f>
        <v>#REF!</v>
      </c>
    </row>
    <row r="192" spans="1:4">
      <c r="A192" s="258" t="s">
        <v>194</v>
      </c>
      <c r="B192" s="259" t="e">
        <f ca="1">IF(ISTEXT(([0]!P_1_5.3.9 [0]!Qté)),0,([0]!P_1_5.3.9 [0]!Qté))</f>
        <v>#REF!</v>
      </c>
      <c r="C192" s="260" t="e">
        <f ca="1">([0]!P_1_5.3.9 [0]!PU)</f>
        <v>#REF!</v>
      </c>
      <c r="D192" s="260" t="e">
        <f ca="1">IF(ISTEXT(([0]!P_1_5.3.9 [0]!MT)),0,([0]!P_1_5.3.9 [0]!MT))</f>
        <v>#REF!</v>
      </c>
    </row>
    <row r="193" spans="1:4">
      <c r="A193" s="258" t="s">
        <v>195</v>
      </c>
      <c r="B193" s="259" t="e">
        <f ca="1">IF(ISTEXT(([0]!P_1_5.3.10 [0]!Qté)),0,([0]!P_1_5.3.10 [0]!Qté))</f>
        <v>#REF!</v>
      </c>
      <c r="C193" s="260" t="e">
        <f ca="1">([0]!P_1_5.3.10 [0]!PU)</f>
        <v>#REF!</v>
      </c>
      <c r="D193" s="260" t="e">
        <f ca="1">IF(ISTEXT(([0]!P_1_5.3.10 [0]!MT)),0,([0]!P_1_5.3.10 [0]!MT))</f>
        <v>#REF!</v>
      </c>
    </row>
    <row r="194" spans="1:4">
      <c r="A194" s="258" t="s">
        <v>196</v>
      </c>
      <c r="B194" s="259" t="e">
        <f ca="1">IF(ISTEXT(([0]!P_1_5.3.11 [0]!Qté)),0,([0]!P_1_5.3.11 [0]!Qté))</f>
        <v>#REF!</v>
      </c>
      <c r="C194" s="260" t="e">
        <f ca="1">([0]!P_1_5.3.11 [0]!PU)</f>
        <v>#REF!</v>
      </c>
      <c r="D194" s="260" t="e">
        <f ca="1">IF(ISTEXT(([0]!P_1_5.3.11 [0]!MT)),0,([0]!P_1_5.3.11 [0]!MT))</f>
        <v>#REF!</v>
      </c>
    </row>
    <row r="195" spans="1:4">
      <c r="A195" s="258" t="s">
        <v>197</v>
      </c>
      <c r="B195" s="259" t="e">
        <f ca="1">IF(ISTEXT(([0]!P_1_5.3.12 [0]!Qté)),0,([0]!P_1_5.3.12 [0]!Qté))</f>
        <v>#REF!</v>
      </c>
      <c r="C195" s="260" t="e">
        <f ca="1">([0]!P_1_5.3.12 [0]!PU)</f>
        <v>#REF!</v>
      </c>
      <c r="D195" s="260" t="e">
        <f ca="1">IF(ISTEXT(([0]!P_1_5.3.12 [0]!MT)),0,([0]!P_1_5.3.12 [0]!MT))</f>
        <v>#REF!</v>
      </c>
    </row>
    <row r="196" spans="1:4">
      <c r="A196" s="258" t="s">
        <v>198</v>
      </c>
      <c r="B196" s="259" t="e">
        <f ca="1">IF(ISTEXT(([0]!P_1_5.3.13 [0]!Qté)),0,([0]!P_1_5.3.13 [0]!Qté))</f>
        <v>#REF!</v>
      </c>
      <c r="C196" s="260" t="e">
        <f ca="1">([0]!P_1_5.3.13 [0]!PU)</f>
        <v>#REF!</v>
      </c>
      <c r="D196" s="260" t="e">
        <f ca="1">IF(ISTEXT(([0]!P_1_5.3.13 [0]!MT)),0,([0]!P_1_5.3.13 [0]!MT))</f>
        <v>#REF!</v>
      </c>
    </row>
    <row r="197" spans="1:4">
      <c r="A197" s="258" t="s">
        <v>199</v>
      </c>
      <c r="B197" s="259" t="e">
        <f ca="1">IF(ISTEXT(([0]!P_1_5.3.14 [0]!Qté)),0,([0]!P_1_5.3.14 [0]!Qté))</f>
        <v>#REF!</v>
      </c>
      <c r="C197" s="260" t="e">
        <f ca="1">([0]!P_1_5.3.14 [0]!PU)</f>
        <v>#REF!</v>
      </c>
      <c r="D197" s="260" t="e">
        <f ca="1">IF(ISTEXT(([0]!P_1_5.3.14 [0]!MT)),0,([0]!P_1_5.3.14 [0]!MT))</f>
        <v>#REF!</v>
      </c>
    </row>
    <row r="198" spans="1:4">
      <c r="A198" s="258" t="s">
        <v>200</v>
      </c>
      <c r="B198" s="259" t="e">
        <f ca="1">IF(ISTEXT(([0]!P_1_5.3.15 [0]!Qté)),0,([0]!P_1_5.3.15 [0]!Qté))</f>
        <v>#REF!</v>
      </c>
      <c r="C198" s="260" t="e">
        <f ca="1">([0]!P_1_5.3.15 [0]!PU)</f>
        <v>#REF!</v>
      </c>
      <c r="D198" s="260" t="e">
        <f ca="1">IF(ISTEXT(([0]!P_1_5.3.15 [0]!MT)),0,([0]!P_1_5.3.15 [0]!MT))</f>
        <v>#REF!</v>
      </c>
    </row>
    <row r="199" spans="1:4">
      <c r="A199" s="258" t="s">
        <v>201</v>
      </c>
      <c r="B199" s="259" t="e">
        <f ca="1">IF(ISTEXT(([0]!P_1_5.3.16 [0]!Qté)),0,([0]!P_1_5.3.16 [0]!Qté))</f>
        <v>#REF!</v>
      </c>
      <c r="C199" s="260" t="e">
        <f ca="1">([0]!P_1_5.3.16 [0]!PU)</f>
        <v>#REF!</v>
      </c>
      <c r="D199" s="260" t="e">
        <f ca="1">IF(ISTEXT(([0]!P_1_5.3.16 [0]!MT)),0,([0]!P_1_5.3.16 [0]!MT))</f>
        <v>#REF!</v>
      </c>
    </row>
    <row r="200" spans="1:4">
      <c r="A200" s="258" t="s">
        <v>202</v>
      </c>
      <c r="B200" s="259" t="e">
        <f ca="1">IF(ISTEXT(([0]!P_1_5.3.17 [0]!Qté)),0,([0]!P_1_5.3.17 [0]!Qté))</f>
        <v>#REF!</v>
      </c>
      <c r="C200" s="260" t="e">
        <f ca="1">([0]!P_1_5.3.17 [0]!PU)</f>
        <v>#REF!</v>
      </c>
      <c r="D200" s="260" t="e">
        <f ca="1">IF(ISTEXT(([0]!P_1_5.3.17 [0]!MT)),0,([0]!P_1_5.3.17 [0]!MT))</f>
        <v>#REF!</v>
      </c>
    </row>
    <row r="201" spans="1:4">
      <c r="A201" s="258" t="s">
        <v>203</v>
      </c>
      <c r="B201" s="259" t="e">
        <f ca="1">IF(ISTEXT(([0]!P_1_6.1 [0]!Qté)),0,([0]!P_1_6.1 [0]!Qté))</f>
        <v>#REF!</v>
      </c>
      <c r="C201" s="260" t="e">
        <f ca="1">([0]!P_1_6.1 [0]!PU)</f>
        <v>#REF!</v>
      </c>
      <c r="D201" s="260" t="e">
        <f ca="1">IF(ISTEXT(([0]!P_1_6.1 [0]!MT)),0,([0]!P_1_6.1 [0]!MT))</f>
        <v>#REF!</v>
      </c>
    </row>
    <row r="202" spans="1:4">
      <c r="A202" s="258" t="s">
        <v>204</v>
      </c>
      <c r="B202" s="259" t="e">
        <f ca="1">IF(ISTEXT(([0]!P_1_6.2 [0]!Qté)),0,([0]!P_1_6.2 [0]!Qté))</f>
        <v>#REF!</v>
      </c>
      <c r="C202" s="260" t="e">
        <f ca="1">([0]!P_1_6.2 [0]!PU)</f>
        <v>#REF!</v>
      </c>
      <c r="D202" s="260" t="e">
        <f ca="1">IF(ISTEXT(([0]!P_1_6.2 [0]!MT)),0,([0]!P_1_6.2 [0]!MT))</f>
        <v>#REF!</v>
      </c>
    </row>
    <row r="203" spans="1:4">
      <c r="A203" s="258" t="s">
        <v>205</v>
      </c>
      <c r="B203" s="259" t="e">
        <f ca="1">IF(ISTEXT(([0]!P_1_6.3 [0]!Qté)),0,([0]!P_1_6.3 [0]!Qté))</f>
        <v>#REF!</v>
      </c>
      <c r="C203" s="260" t="e">
        <f ca="1">([0]!P_1_6.3 [0]!PU)</f>
        <v>#REF!</v>
      </c>
      <c r="D203" s="260" t="e">
        <f ca="1">IF(ISTEXT(([0]!P_1_6.3 [0]!MT)),0,([0]!P_1_6.3 [0]!MT))</f>
        <v>#REF!</v>
      </c>
    </row>
    <row r="204" spans="1:4">
      <c r="A204" s="258" t="s">
        <v>206</v>
      </c>
      <c r="B204" s="259" t="e">
        <f ca="1">IF(ISTEXT(([0]!P_1_6.4 [0]!Qté)),0,([0]!P_1_6.4 [0]!Qté))</f>
        <v>#REF!</v>
      </c>
      <c r="C204" s="260" t="e">
        <f ca="1">([0]!P_1_6.4 [0]!PU)</f>
        <v>#REF!</v>
      </c>
      <c r="D204" s="260" t="e">
        <f ca="1">IF(ISTEXT(([0]!P_1_6.4 [0]!MT)),0,([0]!P_1_6.4 [0]!MT))</f>
        <v>#REF!</v>
      </c>
    </row>
    <row r="205" spans="1:4">
      <c r="A205" s="258" t="s">
        <v>207</v>
      </c>
      <c r="B205" s="259" t="e">
        <f ca="1">IF(ISTEXT(([0]!P_1_6.5.1 [0]!Qté)),0,([0]!P_1_6.5.1 [0]!Qté))</f>
        <v>#REF!</v>
      </c>
      <c r="C205" s="260" t="e">
        <f ca="1">([0]!P_1_6.5.1 [0]!PU)</f>
        <v>#REF!</v>
      </c>
      <c r="D205" s="260" t="e">
        <f ca="1">IF(ISTEXT(([0]!P_1_6.5.1 [0]!MT)),0,([0]!P_1_6.5.1 [0]!MT))</f>
        <v>#REF!</v>
      </c>
    </row>
    <row r="206" spans="1:4">
      <c r="A206" s="258" t="s">
        <v>208</v>
      </c>
      <c r="B206" s="259" t="e">
        <f ca="1">IF(ISTEXT(([0]!P_1_6.5.2 [0]!Qté)),0,([0]!P_1_6.5.2 [0]!Qté))</f>
        <v>#REF!</v>
      </c>
      <c r="C206" s="260" t="e">
        <f ca="1">([0]!P_1_6.5.2 [0]!PU)</f>
        <v>#REF!</v>
      </c>
      <c r="D206" s="260" t="e">
        <f ca="1">IF(ISTEXT(([0]!P_1_6.5.2 [0]!MT)),0,([0]!P_1_6.5.2 [0]!MT))</f>
        <v>#REF!</v>
      </c>
    </row>
    <row r="207" spans="1:4">
      <c r="A207" s="258" t="s">
        <v>209</v>
      </c>
      <c r="B207" s="259" t="e">
        <f ca="1">IF(ISTEXT(([0]!P_1_6.5.3 [0]!Qté)),0,([0]!P_1_6.5.3 [0]!Qté))</f>
        <v>#REF!</v>
      </c>
      <c r="C207" s="260" t="e">
        <f ca="1">([0]!P_1_6.5.3 [0]!PU)</f>
        <v>#REF!</v>
      </c>
      <c r="D207" s="260" t="e">
        <f ca="1">IF(ISTEXT(([0]!P_1_6.5.3 [0]!MT)),0,([0]!P_1_6.5.3 [0]!MT))</f>
        <v>#REF!</v>
      </c>
    </row>
    <row r="208" spans="1:4">
      <c r="A208" s="258" t="s">
        <v>210</v>
      </c>
      <c r="B208" s="259" t="e">
        <f ca="1">IF(ISTEXT(([0]!P_1_6.6.1 [0]!Qté)),0,([0]!P_1_6.6.1 [0]!Qté))</f>
        <v>#REF!</v>
      </c>
      <c r="C208" s="260" t="e">
        <f ca="1">([0]!P_1_6.6.1 [0]!PU)</f>
        <v>#REF!</v>
      </c>
      <c r="D208" s="260" t="e">
        <f ca="1">IF(ISTEXT(([0]!P_1_6.6.1 [0]!MT)),0,([0]!P_1_6.6.1 [0]!MT))</f>
        <v>#REF!</v>
      </c>
    </row>
    <row r="209" spans="1:4">
      <c r="A209" s="258" t="s">
        <v>211</v>
      </c>
      <c r="B209" s="259" t="e">
        <f ca="1">IF(ISTEXT(([0]!P_1_6.6.2 [0]!Qté)),0,([0]!P_1_6.6.2 [0]!Qté))</f>
        <v>#REF!</v>
      </c>
      <c r="C209" s="260" t="e">
        <f ca="1">([0]!P_1_6.6.2 [0]!PU)</f>
        <v>#REF!</v>
      </c>
      <c r="D209" s="260" t="e">
        <f ca="1">IF(ISTEXT(([0]!P_1_6.6.2 [0]!MT)),0,([0]!P_1_6.6.2 [0]!MT))</f>
        <v>#REF!</v>
      </c>
    </row>
    <row r="210" spans="1:4">
      <c r="A210" s="258" t="s">
        <v>212</v>
      </c>
      <c r="B210" s="259" t="e">
        <f ca="1">IF(ISTEXT(([0]!P_1_6.6.3 [0]!Qté)),0,([0]!P_1_6.6.3 [0]!Qté))</f>
        <v>#REF!</v>
      </c>
      <c r="C210" s="260" t="e">
        <f ca="1">([0]!P_1_6.6.3 [0]!PU)</f>
        <v>#REF!</v>
      </c>
      <c r="D210" s="260" t="e">
        <f ca="1">IF(ISTEXT(([0]!P_1_6.6.3 [0]!MT)),0,([0]!P_1_6.6.3 [0]!MT))</f>
        <v>#REF!</v>
      </c>
    </row>
    <row r="211" spans="1:4">
      <c r="A211" s="258" t="s">
        <v>213</v>
      </c>
      <c r="B211" s="259" t="e">
        <f ca="1">IF(ISTEXT(([0]!P_1_6.7.1 [0]!Qté)),0,([0]!P_1_6.7.1 [0]!Qté))</f>
        <v>#REF!</v>
      </c>
      <c r="C211" s="260" t="e">
        <f ca="1">([0]!P_1_6.7.1 [0]!PU)</f>
        <v>#REF!</v>
      </c>
      <c r="D211" s="260" t="e">
        <f ca="1">IF(ISTEXT(([0]!P_1_6.7.1 [0]!MT)),0,([0]!P_1_6.7.1 [0]!MT))</f>
        <v>#REF!</v>
      </c>
    </row>
    <row r="212" spans="1:4">
      <c r="A212" s="258" t="s">
        <v>214</v>
      </c>
      <c r="B212" s="259" t="e">
        <f ca="1">IF(ISTEXT(([0]!P_1_6.7.2 [0]!Qté)),0,([0]!P_1_6.7.2 [0]!Qté))</f>
        <v>#REF!</v>
      </c>
      <c r="C212" s="260" t="e">
        <f ca="1">([0]!P_1_6.7.2 [0]!PU)</f>
        <v>#REF!</v>
      </c>
      <c r="D212" s="260" t="e">
        <f ca="1">IF(ISTEXT(([0]!P_1_6.7.2 [0]!MT)),0,([0]!P_1_6.7.2 [0]!MT))</f>
        <v>#REF!</v>
      </c>
    </row>
    <row r="213" spans="1:4">
      <c r="A213" s="258" t="s">
        <v>215</v>
      </c>
      <c r="B213" s="259" t="e">
        <f ca="1">IF(ISTEXT(([0]!P_1_6.7.3 [0]!Qté)),0,([0]!P_1_6.7.3 [0]!Qté))</f>
        <v>#REF!</v>
      </c>
      <c r="C213" s="260" t="e">
        <f ca="1">([0]!P_1_6.7.3 [0]!PU)</f>
        <v>#REF!</v>
      </c>
      <c r="D213" s="260" t="e">
        <f ca="1">IF(ISTEXT(([0]!P_1_6.7.3 [0]!MT)),0,([0]!P_1_6.7.3 [0]!MT))</f>
        <v>#REF!</v>
      </c>
    </row>
    <row r="214" spans="1:4">
      <c r="A214" s="258" t="s">
        <v>216</v>
      </c>
      <c r="B214" s="259" t="e">
        <f ca="1">IF(ISTEXT(([0]!P_1_6.8.1 [0]!Qté)),0,([0]!P_1_6.8.1 [0]!Qté))</f>
        <v>#REF!</v>
      </c>
      <c r="C214" s="260" t="e">
        <f ca="1">([0]!P_1_6.8.1 [0]!PU)</f>
        <v>#REF!</v>
      </c>
      <c r="D214" s="260" t="e">
        <f ca="1">IF(ISTEXT(([0]!P_1_6.8.1 [0]!MT)),0,([0]!P_1_6.8.1 [0]!MT))</f>
        <v>#REF!</v>
      </c>
    </row>
    <row r="215" spans="1:4">
      <c r="A215" s="258" t="s">
        <v>217</v>
      </c>
      <c r="B215" s="259" t="e">
        <f ca="1">IF(ISTEXT(([0]!P_1_6.8.2 [0]!Qté)),0,([0]!P_1_6.8.2 [0]!Qté))</f>
        <v>#REF!</v>
      </c>
      <c r="C215" s="260" t="e">
        <f ca="1">([0]!P_1_6.8.2 [0]!PU)</f>
        <v>#REF!</v>
      </c>
      <c r="D215" s="260" t="e">
        <f ca="1">IF(ISTEXT(([0]!P_1_6.8.2 [0]!MT)),0,([0]!P_1_6.8.2 [0]!MT))</f>
        <v>#REF!</v>
      </c>
    </row>
    <row r="216" spans="1:4">
      <c r="A216" s="258" t="s">
        <v>218</v>
      </c>
      <c r="B216" s="259" t="e">
        <f ca="1">IF(ISTEXT(([0]!P_1_6.8.3 [0]!Qté)),0,([0]!P_1_6.8.3 [0]!Qté))</f>
        <v>#REF!</v>
      </c>
      <c r="C216" s="260" t="e">
        <f ca="1">([0]!P_1_6.8.3 [0]!PU)</f>
        <v>#REF!</v>
      </c>
      <c r="D216" s="260" t="e">
        <f ca="1">IF(ISTEXT(([0]!P_1_6.8.3 [0]!MT)),0,([0]!P_1_6.8.3 [0]!MT))</f>
        <v>#REF!</v>
      </c>
    </row>
    <row r="217" spans="1:4">
      <c r="A217" s="258" t="s">
        <v>219</v>
      </c>
      <c r="B217" s="259" t="e">
        <f ca="1">IF(ISTEXT(([0]!P_1_6.9.1 [0]!Qté)),0,([0]!P_1_6.9.1 [0]!Qté))</f>
        <v>#REF!</v>
      </c>
      <c r="C217" s="260" t="e">
        <f ca="1">([0]!P_1_6.9.1 [0]!PU)</f>
        <v>#REF!</v>
      </c>
      <c r="D217" s="260" t="e">
        <f ca="1">IF(ISTEXT(([0]!P_1_6.9.1 [0]!MT)),0,([0]!P_1_6.9.1 [0]!MT))</f>
        <v>#REF!</v>
      </c>
    </row>
    <row r="218" spans="1:4">
      <c r="A218" s="258" t="s">
        <v>220</v>
      </c>
      <c r="B218" s="259" t="e">
        <f ca="1">IF(ISTEXT(([0]!P_1_6.9.2 [0]!Qté)),0,([0]!P_1_6.9.2 [0]!Qté))</f>
        <v>#REF!</v>
      </c>
      <c r="C218" s="260" t="e">
        <f ca="1">([0]!P_1_6.9.2 [0]!PU)</f>
        <v>#REF!</v>
      </c>
      <c r="D218" s="260" t="e">
        <f ca="1">IF(ISTEXT(([0]!P_1_6.9.2 [0]!MT)),0,([0]!P_1_6.9.2 [0]!MT))</f>
        <v>#REF!</v>
      </c>
    </row>
    <row r="219" spans="1:4">
      <c r="A219" s="258" t="s">
        <v>221</v>
      </c>
      <c r="B219" s="259" t="e">
        <f ca="1">IF(ISTEXT(([0]!P_1_6.9.3 [0]!Qté)),0,([0]!P_1_6.9.3 [0]!Qté))</f>
        <v>#REF!</v>
      </c>
      <c r="C219" s="260" t="e">
        <f ca="1">([0]!P_1_6.9.3 [0]!PU)</f>
        <v>#REF!</v>
      </c>
      <c r="D219" s="260" t="e">
        <f ca="1">IF(ISTEXT(([0]!P_1_6.9.3 [0]!MT)),0,([0]!P_1_6.9.3 [0]!MT))</f>
        <v>#REF!</v>
      </c>
    </row>
    <row r="220" spans="1:4">
      <c r="A220" s="258" t="s">
        <v>222</v>
      </c>
      <c r="B220" s="259" t="e">
        <f ca="1">IF(ISTEXT(([0]!P_1_6.10.1 [0]!Qté)),0,([0]!P_1_6.10.1 [0]!Qté))</f>
        <v>#REF!</v>
      </c>
      <c r="C220" s="260" t="e">
        <f ca="1">([0]!P_1_6.10.1 [0]!PU)</f>
        <v>#REF!</v>
      </c>
      <c r="D220" s="260" t="e">
        <f ca="1">IF(ISTEXT(([0]!P_1_6.10.1 [0]!MT)),0,([0]!P_1_6.10.1 [0]!MT))</f>
        <v>#REF!</v>
      </c>
    </row>
    <row r="221" spans="1:4">
      <c r="A221" s="258" t="s">
        <v>223</v>
      </c>
      <c r="B221" s="259" t="e">
        <f ca="1">IF(ISTEXT(([0]!P_1_6.10.2 [0]!Qté)),0,([0]!P_1_6.10.2 [0]!Qté))</f>
        <v>#REF!</v>
      </c>
      <c r="C221" s="260" t="e">
        <f ca="1">([0]!P_1_6.10.2 [0]!PU)</f>
        <v>#REF!</v>
      </c>
      <c r="D221" s="260" t="e">
        <f ca="1">IF(ISTEXT(([0]!P_1_6.10.2 [0]!MT)),0,([0]!P_1_6.10.2 [0]!MT))</f>
        <v>#REF!</v>
      </c>
    </row>
    <row r="222" spans="1:4">
      <c r="A222" s="258" t="s">
        <v>224</v>
      </c>
      <c r="B222" s="259" t="e">
        <f ca="1">IF(ISTEXT(([0]!P_1_6.10.3 [0]!Qté)),0,([0]!P_1_6.10.3 [0]!Qté))</f>
        <v>#REF!</v>
      </c>
      <c r="C222" s="260" t="e">
        <f ca="1">([0]!P_1_6.10.3 [0]!PU)</f>
        <v>#REF!</v>
      </c>
      <c r="D222" s="260" t="e">
        <f ca="1">IF(ISTEXT(([0]!P_1_6.10.3 [0]!MT)),0,([0]!P_1_6.10.3 [0]!MT))</f>
        <v>#REF!</v>
      </c>
    </row>
    <row r="223" spans="1:4">
      <c r="A223" s="258" t="s">
        <v>225</v>
      </c>
      <c r="B223" s="259" t="e">
        <f ca="1">IF(ISTEXT(([0]!P_1_6.11 [0]!Qté)),0,([0]!P_1_6.11 [0]!Qté))</f>
        <v>#REF!</v>
      </c>
      <c r="C223" s="260" t="e">
        <f ca="1">([0]!P_1_6.11 [0]!PU)</f>
        <v>#REF!</v>
      </c>
      <c r="D223" s="260" t="e">
        <f ca="1">IF(ISTEXT(([0]!P_1_6.11 [0]!MT)),0,([0]!P_1_6.11 [0]!MT))</f>
        <v>#REF!</v>
      </c>
    </row>
    <row r="224" spans="1:4">
      <c r="A224" s="258" t="s">
        <v>226</v>
      </c>
      <c r="B224" s="259" t="e">
        <f ca="1">IF(ISTEXT(([0]!P_1_6.12.1 [0]!Qté)),0,([0]!P_1_6.12.1 [0]!Qté))</f>
        <v>#REF!</v>
      </c>
      <c r="C224" s="260" t="e">
        <f ca="1">([0]!P_1_6.12.1 [0]!PU)</f>
        <v>#REF!</v>
      </c>
      <c r="D224" s="260" t="e">
        <f ca="1">IF(ISTEXT(([0]!P_1_6.12.1 [0]!MT)),0,([0]!P_1_6.12.1 [0]!MT))</f>
        <v>#REF!</v>
      </c>
    </row>
    <row r="225" spans="1:4">
      <c r="A225" s="258" t="s">
        <v>227</v>
      </c>
      <c r="B225" s="259" t="e">
        <f ca="1">IF(ISTEXT(([0]!P_1_6.12.2 [0]!Qté)),0,([0]!P_1_6.12.2 [0]!Qté))</f>
        <v>#REF!</v>
      </c>
      <c r="C225" s="260" t="e">
        <f ca="1">([0]!P_1_6.12.2 [0]!PU)</f>
        <v>#REF!</v>
      </c>
      <c r="D225" s="260" t="e">
        <f ca="1">IF(ISTEXT(([0]!P_1_6.12.2 [0]!MT)),0,([0]!P_1_6.12.2 [0]!MT))</f>
        <v>#REF!</v>
      </c>
    </row>
    <row r="226" spans="1:4">
      <c r="A226" s="258" t="s">
        <v>228</v>
      </c>
      <c r="B226" s="259" t="e">
        <f ca="1">IF(ISTEXT(([0]!P_1_6.13 [0]!Qté)),0,([0]!P_1_6.13 [0]!Qté))</f>
        <v>#REF!</v>
      </c>
      <c r="C226" s="260" t="e">
        <f ca="1">([0]!P_1_6.13 [0]!PU)</f>
        <v>#REF!</v>
      </c>
      <c r="D226" s="260" t="e">
        <f ca="1">IF(ISTEXT(([0]!P_1_6.13 [0]!MT)),0,([0]!P_1_6.13 [0]!MT))</f>
        <v>#REF!</v>
      </c>
    </row>
    <row r="227" spans="1:4">
      <c r="A227" s="258" t="s">
        <v>229</v>
      </c>
      <c r="B227" s="259" t="e">
        <f ca="1">IF(ISTEXT(([0]!P_1_6.14 [0]!Qté)),0,([0]!P_1_6.14 [0]!Qté))</f>
        <v>#REF!</v>
      </c>
      <c r="C227" s="260" t="e">
        <f ca="1">([0]!P_1_6.14 [0]!PU)</f>
        <v>#REF!</v>
      </c>
      <c r="D227" s="260" t="e">
        <f ca="1">IF(ISTEXT(([0]!P_1_6.14 [0]!MT)),0,([0]!P_1_6.14 [0]!MT))</f>
        <v>#REF!</v>
      </c>
    </row>
    <row r="228" spans="1:4">
      <c r="A228" s="258" t="s">
        <v>230</v>
      </c>
      <c r="B228" s="259" t="e">
        <f ca="1">IF(ISTEXT(([0]!P_1_6.15 [0]!Qté)),0,([0]!P_1_6.15 [0]!Qté))</f>
        <v>#REF!</v>
      </c>
      <c r="C228" s="260" t="e">
        <f ca="1">([0]!P_1_6.15 [0]!PU)</f>
        <v>#REF!</v>
      </c>
      <c r="D228" s="260" t="e">
        <f ca="1">IF(ISTEXT(([0]!P_1_6.15 [0]!MT)),0,([0]!P_1_6.15 [0]!MT))</f>
        <v>#REF!</v>
      </c>
    </row>
    <row r="229" spans="1:4">
      <c r="A229" s="258" t="s">
        <v>231</v>
      </c>
      <c r="B229" s="259" t="e">
        <f ca="1">IF(ISTEXT(([0]!P_1_6.16 [0]!Qté)),0,([0]!P_1_6.16 [0]!Qté))</f>
        <v>#REF!</v>
      </c>
      <c r="C229" s="260" t="e">
        <f ca="1">([0]!P_1_6.16 [0]!PU)</f>
        <v>#REF!</v>
      </c>
      <c r="D229" s="260" t="e">
        <f ca="1">IF(ISTEXT(([0]!P_1_6.16 [0]!MT)),0,([0]!P_1_6.16 [0]!MT))</f>
        <v>#REF!</v>
      </c>
    </row>
    <row r="230" spans="1:4">
      <c r="A230" s="258" t="s">
        <v>232</v>
      </c>
      <c r="B230" s="259" t="e">
        <f ca="1">IF(ISTEXT(([0]!P_1_6.17.1 [0]!Qté)),0,([0]!P_1_6.17.1 [0]!Qté))</f>
        <v>#REF!</v>
      </c>
      <c r="C230" s="260" t="e">
        <f ca="1">([0]!P_1_6.17.1 [0]!PU)</f>
        <v>#REF!</v>
      </c>
      <c r="D230" s="260" t="e">
        <f ca="1">IF(ISTEXT(([0]!P_1_6.17.1 [0]!MT)),0,([0]!P_1_6.17.1 [0]!MT))</f>
        <v>#REF!</v>
      </c>
    </row>
    <row r="231" spans="1:4">
      <c r="A231" s="258" t="s">
        <v>233</v>
      </c>
      <c r="B231" s="259" t="e">
        <f ca="1">IF(ISTEXT(([0]!P_1_6.17.2 [0]!Qté)),0,([0]!P_1_6.17.2 [0]!Qté))</f>
        <v>#REF!</v>
      </c>
      <c r="C231" s="260" t="e">
        <f ca="1">([0]!P_1_6.17.2 [0]!PU)</f>
        <v>#REF!</v>
      </c>
      <c r="D231" s="260" t="e">
        <f ca="1">IF(ISTEXT(([0]!P_1_6.17.2 [0]!MT)),0,([0]!P_1_6.17.2 [0]!MT))</f>
        <v>#REF!</v>
      </c>
    </row>
    <row r="232" spans="1:4">
      <c r="A232" s="258" t="s">
        <v>234</v>
      </c>
      <c r="B232" s="259" t="e">
        <f ca="1">IF(ISTEXT(([0]!P_1_6.17.3 [0]!Qté)),0,([0]!P_1_6.17.3 [0]!Qté))</f>
        <v>#REF!</v>
      </c>
      <c r="C232" s="260" t="e">
        <f ca="1">([0]!P_1_6.17.3 [0]!PU)</f>
        <v>#REF!</v>
      </c>
      <c r="D232" s="260" t="e">
        <f ca="1">IF(ISTEXT(([0]!P_1_6.17.3 [0]!MT)),0,([0]!P_1_6.17.3 [0]!MT))</f>
        <v>#REF!</v>
      </c>
    </row>
    <row r="233" spans="1:4">
      <c r="A233" s="258" t="s">
        <v>235</v>
      </c>
      <c r="B233" s="259" t="e">
        <f ca="1">IF(ISTEXT(([0]!P_1_6.17.4 [0]!Qté)),0,([0]!P_1_6.17.4 [0]!Qté))</f>
        <v>#REF!</v>
      </c>
      <c r="C233" s="260" t="e">
        <f ca="1">([0]!P_1_6.17.4 [0]!PU)</f>
        <v>#REF!</v>
      </c>
      <c r="D233" s="260" t="e">
        <f ca="1">IF(ISTEXT(([0]!P_1_6.17.4 [0]!MT)),0,([0]!P_1_6.17.4 [0]!MT))</f>
        <v>#REF!</v>
      </c>
    </row>
    <row r="234" spans="1:4">
      <c r="A234" s="258" t="s">
        <v>236</v>
      </c>
      <c r="B234" s="259" t="e">
        <f ca="1">IF(ISTEXT(([0]!P_1_6.17.5 [0]!Qté)),0,([0]!P_1_6.17.5 [0]!Qté))</f>
        <v>#REF!</v>
      </c>
      <c r="C234" s="260" t="e">
        <f ca="1">([0]!P_1_6.17.5 [0]!PU)</f>
        <v>#REF!</v>
      </c>
      <c r="D234" s="260" t="e">
        <f ca="1">IF(ISTEXT(([0]!P_1_6.17.5 [0]!MT)),0,([0]!P_1_6.17.5 [0]!MT))</f>
        <v>#REF!</v>
      </c>
    </row>
    <row r="235" spans="1:4">
      <c r="A235" s="258" t="s">
        <v>237</v>
      </c>
      <c r="B235" s="259" t="e">
        <f ca="1">IF(ISTEXT(([0]!P_1_7.1.1 [0]!Qté)),0,([0]!P_1_7.1.1 [0]!Qté))</f>
        <v>#REF!</v>
      </c>
      <c r="C235" s="260" t="e">
        <f ca="1">([0]!P_1_7.1.1 [0]!PU)</f>
        <v>#REF!</v>
      </c>
      <c r="D235" s="260" t="e">
        <f ca="1">IF(ISTEXT(([0]!P_1_7.1.1 [0]!MT)),0,([0]!P_1_7.1.1 [0]!MT))</f>
        <v>#REF!</v>
      </c>
    </row>
    <row r="236" spans="1:4">
      <c r="A236" s="258" t="s">
        <v>238</v>
      </c>
      <c r="B236" s="259" t="e">
        <f ca="1">IF(ISTEXT(([0]!P_1_7.1.2 [0]!Qté)),0,([0]!P_1_7.1.2 [0]!Qté))</f>
        <v>#REF!</v>
      </c>
      <c r="C236" s="260" t="e">
        <f ca="1">([0]!P_1_7.1.2 [0]!PU)</f>
        <v>#REF!</v>
      </c>
      <c r="D236" s="260" t="e">
        <f ca="1">IF(ISTEXT(([0]!P_1_7.1.2 [0]!MT)),0,([0]!P_1_7.1.2 [0]!MT))</f>
        <v>#REF!</v>
      </c>
    </row>
    <row r="237" spans="1:4">
      <c r="A237" s="258" t="s">
        <v>239</v>
      </c>
      <c r="B237" s="259" t="e">
        <f ca="1">IF(ISTEXT(([0]!P_1_7.1.3 [0]!Qté)),0,([0]!P_1_7.1.3 [0]!Qté))</f>
        <v>#REF!</v>
      </c>
      <c r="C237" s="260" t="e">
        <f ca="1">([0]!P_1_7.1.3 [0]!PU)</f>
        <v>#REF!</v>
      </c>
      <c r="D237" s="260" t="e">
        <f ca="1">IF(ISTEXT(([0]!P_1_7.1.3 [0]!MT)),0,([0]!P_1_7.1.3 [0]!MT))</f>
        <v>#REF!</v>
      </c>
    </row>
    <row r="238" spans="1:4">
      <c r="A238" s="258" t="s">
        <v>240</v>
      </c>
      <c r="B238" s="259" t="e">
        <f ca="1">IF(ISTEXT(([0]!P_1_7.1.4 [0]!Qté)),0,([0]!P_1_7.1.4 [0]!Qté))</f>
        <v>#REF!</v>
      </c>
      <c r="C238" s="260" t="e">
        <f ca="1">([0]!P_1_7.1.4 [0]!PU)</f>
        <v>#REF!</v>
      </c>
      <c r="D238" s="260" t="e">
        <f ca="1">IF(ISTEXT(([0]!P_1_7.1.4 [0]!MT)),0,([0]!P_1_7.1.4 [0]!MT))</f>
        <v>#REF!</v>
      </c>
    </row>
    <row r="239" spans="1:4">
      <c r="A239" s="258" t="s">
        <v>241</v>
      </c>
      <c r="B239" s="259" t="e">
        <f ca="1">IF(ISTEXT(([0]!P_1_7.1.5 [0]!Qté)),0,([0]!P_1_7.1.5 [0]!Qté))</f>
        <v>#REF!</v>
      </c>
      <c r="C239" s="260" t="e">
        <f ca="1">([0]!P_1_7.1.5 [0]!PU)</f>
        <v>#REF!</v>
      </c>
      <c r="D239" s="260" t="e">
        <f ca="1">IF(ISTEXT(([0]!P_1_7.1.5 [0]!MT)),0,([0]!P_1_7.1.5 [0]!MT))</f>
        <v>#REF!</v>
      </c>
    </row>
    <row r="240" spans="1:4">
      <c r="A240" s="258" t="s">
        <v>242</v>
      </c>
      <c r="B240" s="259" t="e">
        <f ca="1">IF(ISTEXT(([0]!P_1_7.1.6 [0]!Qté)),0,([0]!P_1_7.1.6 [0]!Qté))</f>
        <v>#REF!</v>
      </c>
      <c r="C240" s="260" t="e">
        <f ca="1">([0]!P_1_7.1.6 [0]!PU)</f>
        <v>#REF!</v>
      </c>
      <c r="D240" s="260" t="e">
        <f ca="1">IF(ISTEXT(([0]!P_1_7.1.6 [0]!MT)),0,([0]!P_1_7.1.6 [0]!MT))</f>
        <v>#REF!</v>
      </c>
    </row>
    <row r="241" spans="1:4">
      <c r="A241" s="258" t="s">
        <v>243</v>
      </c>
      <c r="B241" s="259" t="e">
        <f ca="1">IF(ISTEXT(([0]!P_1_7.1.7 [0]!Qté)),0,([0]!P_1_7.1.7 [0]!Qté))</f>
        <v>#REF!</v>
      </c>
      <c r="C241" s="260" t="e">
        <f ca="1">([0]!P_1_7.1.7 [0]!PU)</f>
        <v>#REF!</v>
      </c>
      <c r="D241" s="260" t="e">
        <f ca="1">IF(ISTEXT(([0]!P_1_7.1.7 [0]!MT)),0,([0]!P_1_7.1.7 [0]!MT))</f>
        <v>#REF!</v>
      </c>
    </row>
    <row r="242" spans="1:4">
      <c r="A242" s="258" t="s">
        <v>244</v>
      </c>
      <c r="B242" s="259" t="e">
        <f ca="1">IF(ISTEXT(([0]!P_1_7.2.1 [0]!Qté)),0,([0]!P_1_7.2.1 [0]!Qté))</f>
        <v>#REF!</v>
      </c>
      <c r="C242" s="260" t="e">
        <f ca="1">([0]!P_1_7.2.1 [0]!PU)</f>
        <v>#REF!</v>
      </c>
      <c r="D242" s="260" t="e">
        <f ca="1">IF(ISTEXT(([0]!P_1_7.2.1 [0]!MT)),0,([0]!P_1_7.2.1 [0]!MT))</f>
        <v>#REF!</v>
      </c>
    </row>
    <row r="243" spans="1:4">
      <c r="A243" s="258" t="s">
        <v>245</v>
      </c>
      <c r="B243" s="259" t="e">
        <f ca="1">IF(ISTEXT(([0]!P_1_7.2.2 [0]!Qté)),0,([0]!P_1_7.2.2 [0]!Qté))</f>
        <v>#REF!</v>
      </c>
      <c r="C243" s="260" t="e">
        <f ca="1">([0]!P_1_7.2.2 [0]!PU)</f>
        <v>#REF!</v>
      </c>
      <c r="D243" s="260" t="e">
        <f ca="1">IF(ISTEXT(([0]!P_1_7.2.2 [0]!MT)),0,([0]!P_1_7.2.2 [0]!MT))</f>
        <v>#REF!</v>
      </c>
    </row>
    <row r="244" spans="1:4">
      <c r="A244" s="258" t="s">
        <v>246</v>
      </c>
      <c r="B244" s="259" t="e">
        <f ca="1">IF(ISTEXT(([0]!P_1_7.2.3 [0]!Qté)),0,([0]!P_1_7.2.3 [0]!Qté))</f>
        <v>#REF!</v>
      </c>
      <c r="C244" s="260" t="e">
        <f ca="1">([0]!P_1_7.2.3 [0]!PU)</f>
        <v>#REF!</v>
      </c>
      <c r="D244" s="260" t="e">
        <f ca="1">IF(ISTEXT(([0]!P_1_7.2.3 [0]!MT)),0,([0]!P_1_7.2.3 [0]!MT))</f>
        <v>#REF!</v>
      </c>
    </row>
    <row r="245" spans="1:4">
      <c r="A245" s="258" t="s">
        <v>247</v>
      </c>
      <c r="B245" s="259" t="e">
        <f ca="1">IF(ISTEXT(([0]!P_1_8.1 [0]!Qté)),0,([0]!P_1_8.1 [0]!Qté))</f>
        <v>#REF!</v>
      </c>
      <c r="C245" s="260" t="e">
        <f ca="1">([0]!P_1_8.1 [0]!PU)</f>
        <v>#REF!</v>
      </c>
      <c r="D245" s="260" t="e">
        <f ca="1">IF(ISTEXT(([0]!P_1_8.1 [0]!MT)),0,([0]!P_1_8.1 [0]!MT))</f>
        <v>#REF!</v>
      </c>
    </row>
    <row r="246" spans="1:4">
      <c r="A246" s="258" t="s">
        <v>248</v>
      </c>
      <c r="B246" s="259" t="e">
        <f ca="1">IF(ISTEXT(([0]!P_1_8.2.1 [0]!Qté)),0,([0]!P_1_8.2.1 [0]!Qté))</f>
        <v>#REF!</v>
      </c>
      <c r="C246" s="260" t="e">
        <f ca="1">([0]!P_1_8.2.1 [0]!PU)</f>
        <v>#REF!</v>
      </c>
      <c r="D246" s="260" t="e">
        <f ca="1">IF(ISTEXT(([0]!P_1_8.2.1 [0]!MT)),0,([0]!P_1_8.2.1 [0]!MT))</f>
        <v>#REF!</v>
      </c>
    </row>
    <row r="247" spans="1:4">
      <c r="A247" s="258" t="s">
        <v>249</v>
      </c>
      <c r="B247" s="259" t="e">
        <f ca="1">IF(ISTEXT(([0]!P_1_8.2.2 [0]!Qté)),0,([0]!P_1_8.2.2 [0]!Qté))</f>
        <v>#REF!</v>
      </c>
      <c r="C247" s="260" t="e">
        <f ca="1">([0]!P_1_8.2.2 [0]!PU)</f>
        <v>#REF!</v>
      </c>
      <c r="D247" s="260" t="e">
        <f ca="1">IF(ISTEXT(([0]!P_1_8.2.2 [0]!MT)),0,([0]!P_1_8.2.2 [0]!MT))</f>
        <v>#REF!</v>
      </c>
    </row>
    <row r="248" spans="1:4">
      <c r="A248" s="258" t="s">
        <v>250</v>
      </c>
      <c r="B248" s="259" t="e">
        <f ca="1">IF(ISTEXT(([0]!P_1_8.2.3 [0]!Qté)),0,([0]!P_1_8.2.3 [0]!Qté))</f>
        <v>#REF!</v>
      </c>
      <c r="C248" s="260" t="e">
        <f ca="1">([0]!P_1_8.2.3 [0]!PU)</f>
        <v>#REF!</v>
      </c>
      <c r="D248" s="260" t="e">
        <f ca="1">IF(ISTEXT(([0]!P_1_8.2.3 [0]!MT)),0,([0]!P_1_8.2.3 [0]!MT))</f>
        <v>#REF!</v>
      </c>
    </row>
    <row r="249" spans="1:4">
      <c r="A249" s="258" t="s">
        <v>251</v>
      </c>
      <c r="B249" s="259" t="e">
        <f ca="1">IF(ISTEXT(([0]!P_1_8.2.4 [0]!Qté)),0,([0]!P_1_8.2.4 [0]!Qté))</f>
        <v>#REF!</v>
      </c>
      <c r="C249" s="260" t="e">
        <f ca="1">([0]!P_1_8.2.4 [0]!PU)</f>
        <v>#REF!</v>
      </c>
      <c r="D249" s="260" t="e">
        <f ca="1">IF(ISTEXT(([0]!P_1_8.2.4 [0]!MT)),0,([0]!P_1_8.2.4 [0]!MT))</f>
        <v>#REF!</v>
      </c>
    </row>
    <row r="250" spans="1:4">
      <c r="A250" s="258" t="s">
        <v>252</v>
      </c>
      <c r="B250" s="259" t="e">
        <f ca="1">IF(ISTEXT(([0]!P_1_8.2.5 [0]!Qté)),0,([0]!P_1_8.2.5 [0]!Qté))</f>
        <v>#REF!</v>
      </c>
      <c r="C250" s="260" t="e">
        <f ca="1">([0]!P_1_8.2.5 [0]!PU)</f>
        <v>#REF!</v>
      </c>
      <c r="D250" s="260" t="e">
        <f ca="1">IF(ISTEXT(([0]!P_1_8.2.5 [0]!MT)),0,([0]!P_1_8.2.5 [0]!MT))</f>
        <v>#REF!</v>
      </c>
    </row>
    <row r="251" spans="1:4">
      <c r="A251" s="258" t="s">
        <v>253</v>
      </c>
      <c r="B251" s="259" t="e">
        <f ca="1">IF(ISTEXT(([0]!P_1_8.2.6 [0]!Qté)),0,([0]!P_1_8.2.6 [0]!Qté))</f>
        <v>#REF!</v>
      </c>
      <c r="C251" s="260" t="e">
        <f ca="1">([0]!P_1_8.2.6 [0]!PU)</f>
        <v>#REF!</v>
      </c>
      <c r="D251" s="260" t="e">
        <f ca="1">IF(ISTEXT(([0]!P_1_8.2.6 [0]!MT)),0,([0]!P_1_8.2.6 [0]!MT))</f>
        <v>#REF!</v>
      </c>
    </row>
    <row r="252" spans="1:4">
      <c r="A252" s="258" t="s">
        <v>254</v>
      </c>
      <c r="B252" s="259" t="e">
        <f ca="1">IF(ISTEXT(([0]!P_1_8.2.7 [0]!Qté)),0,([0]!P_1_8.2.7 [0]!Qté))</f>
        <v>#REF!</v>
      </c>
      <c r="C252" s="260" t="e">
        <f ca="1">([0]!P_1_8.2.7 [0]!PU)</f>
        <v>#REF!</v>
      </c>
      <c r="D252" s="260" t="e">
        <f ca="1">IF(ISTEXT(([0]!P_1_8.2.7 [0]!MT)),0,([0]!P_1_8.2.7 [0]!MT))</f>
        <v>#REF!</v>
      </c>
    </row>
    <row r="253" spans="1:4">
      <c r="A253" s="258" t="s">
        <v>255</v>
      </c>
      <c r="B253" s="259" t="e">
        <f ca="1">IF(ISTEXT(([0]!P_1_8.3.1 [0]!Qté)),0,([0]!P_1_8.3.1 [0]!Qté))</f>
        <v>#REF!</v>
      </c>
      <c r="C253" s="260" t="e">
        <f ca="1">([0]!P_1_8.3.1 [0]!PU)</f>
        <v>#REF!</v>
      </c>
      <c r="D253" s="260" t="e">
        <f ca="1">IF(ISTEXT(([0]!P_1_8.3.1 [0]!MT)),0,([0]!P_1_8.3.1 [0]!MT))</f>
        <v>#REF!</v>
      </c>
    </row>
    <row r="254" spans="1:4">
      <c r="A254" s="258" t="s">
        <v>256</v>
      </c>
      <c r="B254" s="259" t="e">
        <f ca="1">IF(ISTEXT(([0]!P_1_8.3.2 [0]!Qté)),0,([0]!P_1_8.3.2 [0]!Qté))</f>
        <v>#REF!</v>
      </c>
      <c r="C254" s="260" t="e">
        <f ca="1">([0]!P_1_8.3.2 [0]!PU)</f>
        <v>#REF!</v>
      </c>
      <c r="D254" s="260" t="e">
        <f ca="1">IF(ISTEXT(([0]!P_1_8.3.2 [0]!MT)),0,([0]!P_1_8.3.2 [0]!MT))</f>
        <v>#REF!</v>
      </c>
    </row>
    <row r="255" spans="1:4">
      <c r="A255" s="258" t="s">
        <v>257</v>
      </c>
      <c r="B255" s="259" t="e">
        <f ca="1">IF(ISTEXT(([0]!P_1_8.3.3 [0]!Qté)),0,([0]!P_1_8.3.3 [0]!Qté))</f>
        <v>#REF!</v>
      </c>
      <c r="C255" s="260" t="e">
        <f ca="1">([0]!P_1_8.3.3 [0]!PU)</f>
        <v>#REF!</v>
      </c>
      <c r="D255" s="260" t="e">
        <f ca="1">IF(ISTEXT(([0]!P_1_8.3.3 [0]!MT)),0,([0]!P_1_8.3.3 [0]!MT))</f>
        <v>#REF!</v>
      </c>
    </row>
    <row r="256" spans="1:4">
      <c r="A256" s="258" t="s">
        <v>258</v>
      </c>
      <c r="B256" s="259" t="e">
        <f ca="1">IF(ISTEXT(([0]!P_1_8.3.4 [0]!Qté)),0,([0]!P_1_8.3.4 [0]!Qté))</f>
        <v>#REF!</v>
      </c>
      <c r="C256" s="260" t="e">
        <f ca="1">([0]!P_1_8.3.4 [0]!PU)</f>
        <v>#REF!</v>
      </c>
      <c r="D256" s="260" t="e">
        <f ca="1">IF(ISTEXT(([0]!P_1_8.3.4 [0]!MT)),0,([0]!P_1_8.3.4 [0]!MT))</f>
        <v>#REF!</v>
      </c>
    </row>
    <row r="257" spans="1:4">
      <c r="A257" s="258" t="s">
        <v>259</v>
      </c>
      <c r="B257" s="259" t="e">
        <f ca="1">IF(ISTEXT(([0]!P_1_8.3.5 [0]!Qté)),0,([0]!P_1_8.3.5 [0]!Qté))</f>
        <v>#REF!</v>
      </c>
      <c r="C257" s="260" t="e">
        <f ca="1">([0]!P_1_8.3.5 [0]!PU)</f>
        <v>#REF!</v>
      </c>
      <c r="D257" s="260" t="e">
        <f ca="1">IF(ISTEXT(([0]!P_1_8.3.5 [0]!MT)),0,([0]!P_1_8.3.5 [0]!MT))</f>
        <v>#REF!</v>
      </c>
    </row>
    <row r="258" spans="1:4">
      <c r="A258" s="258" t="s">
        <v>260</v>
      </c>
      <c r="B258" s="259" t="e">
        <f ca="1">IF(ISTEXT(([0]!P_1_8.3.6 [0]!Qté)),0,([0]!P_1_8.3.6 [0]!Qté))</f>
        <v>#REF!</v>
      </c>
      <c r="C258" s="260" t="e">
        <f ca="1">([0]!P_1_8.3.6 [0]!PU)</f>
        <v>#REF!</v>
      </c>
      <c r="D258" s="260" t="e">
        <f ca="1">IF(ISTEXT(([0]!P_1_8.3.6 [0]!MT)),0,([0]!P_1_8.3.6 [0]!MT))</f>
        <v>#REF!</v>
      </c>
    </row>
    <row r="259" spans="1:4">
      <c r="A259" s="258" t="s">
        <v>261</v>
      </c>
      <c r="B259" s="259" t="e">
        <f ca="1">IF(ISTEXT(([0]!P_1_8.3.7 [0]!Qté)),0,([0]!P_1_8.3.7 [0]!Qté))</f>
        <v>#REF!</v>
      </c>
      <c r="C259" s="260" t="e">
        <f ca="1">([0]!P_1_8.3.7 [0]!PU)</f>
        <v>#REF!</v>
      </c>
      <c r="D259" s="260" t="e">
        <f ca="1">IF(ISTEXT(([0]!P_1_8.3.7 [0]!MT)),0,([0]!P_1_8.3.7 [0]!MT))</f>
        <v>#REF!</v>
      </c>
    </row>
    <row r="260" spans="1:4">
      <c r="A260" s="258" t="s">
        <v>262</v>
      </c>
      <c r="B260" s="259" t="e">
        <f ca="1">IF(ISTEXT(([0]!P_1_8.3.8 [0]!Qté)),0,([0]!P_1_8.3.8 [0]!Qté))</f>
        <v>#REF!</v>
      </c>
      <c r="C260" s="260" t="e">
        <f ca="1">([0]!P_1_8.3.8 [0]!PU)</f>
        <v>#REF!</v>
      </c>
      <c r="D260" s="260" t="e">
        <f ca="1">IF(ISTEXT(([0]!P_1_8.3.8 [0]!MT)),0,([0]!P_1_8.3.8 [0]!MT))</f>
        <v>#REF!</v>
      </c>
    </row>
    <row r="261" spans="1:4">
      <c r="A261" s="258" t="s">
        <v>263</v>
      </c>
      <c r="B261" s="259" t="e">
        <f ca="1">IF(ISTEXT(([0]!P_1_8.3.9 [0]!Qté)),0,([0]!P_1_8.3.9 [0]!Qté))</f>
        <v>#REF!</v>
      </c>
      <c r="C261" s="260" t="e">
        <f ca="1">([0]!P_1_8.3.9 [0]!PU)</f>
        <v>#REF!</v>
      </c>
      <c r="D261" s="260" t="e">
        <f ca="1">IF(ISTEXT(([0]!P_1_8.3.9 [0]!MT)),0,([0]!P_1_8.3.9 [0]!MT))</f>
        <v>#REF!</v>
      </c>
    </row>
    <row r="262" spans="1:4">
      <c r="A262" s="258" t="s">
        <v>264</v>
      </c>
      <c r="B262" s="259" t="e">
        <f ca="1">IF(ISTEXT(([0]!P_1_8.3.10 [0]!Qté)),0,([0]!P_1_8.3.10 [0]!Qté))</f>
        <v>#REF!</v>
      </c>
      <c r="C262" s="260" t="e">
        <f ca="1">([0]!P_1_8.3.10 [0]!PU)</f>
        <v>#REF!</v>
      </c>
      <c r="D262" s="260" t="e">
        <f ca="1">IF(ISTEXT(([0]!P_1_8.3.10 [0]!MT)),0,([0]!P_1_8.3.10 [0]!MT))</f>
        <v>#REF!</v>
      </c>
    </row>
    <row r="263" spans="1:4">
      <c r="A263" s="258" t="s">
        <v>265</v>
      </c>
      <c r="B263" s="259" t="e">
        <f ca="1">IF(ISTEXT(([0]!P_1_8.3.11 [0]!Qté)),0,([0]!P_1_8.3.11 [0]!Qté))</f>
        <v>#REF!</v>
      </c>
      <c r="C263" s="260" t="e">
        <f ca="1">([0]!P_1_8.3.11 [0]!PU)</f>
        <v>#REF!</v>
      </c>
      <c r="D263" s="260" t="e">
        <f ca="1">IF(ISTEXT(([0]!P_1_8.3.11 [0]!MT)),0,([0]!P_1_8.3.11 [0]!MT))</f>
        <v>#REF!</v>
      </c>
    </row>
    <row r="264" spans="1:4">
      <c r="A264" s="258" t="s">
        <v>266</v>
      </c>
      <c r="B264" s="259" t="e">
        <f ca="1">IF(ISTEXT(([0]!P_1_8.4.1 [0]!Qté)),0,([0]!P_1_8.4.1 [0]!Qté))</f>
        <v>#REF!</v>
      </c>
      <c r="C264" s="260" t="e">
        <f ca="1">([0]!P_1_8.4.1 [0]!PU)</f>
        <v>#REF!</v>
      </c>
      <c r="D264" s="260" t="e">
        <f ca="1">IF(ISTEXT(([0]!P_1_8.4.1 [0]!MT)),0,([0]!P_1_8.4.1 [0]!MT))</f>
        <v>#REF!</v>
      </c>
    </row>
    <row r="265" spans="1:4">
      <c r="A265" s="258" t="s">
        <v>267</v>
      </c>
      <c r="B265" s="259" t="e">
        <f ca="1">IF(ISTEXT(([0]!P_1_8.4.2 [0]!Qté)),0,([0]!P_1_8.4.2 [0]!Qté))</f>
        <v>#REF!</v>
      </c>
      <c r="C265" s="260" t="e">
        <f ca="1">([0]!P_1_8.4.2 [0]!PU)</f>
        <v>#REF!</v>
      </c>
      <c r="D265" s="260" t="e">
        <f ca="1">IF(ISTEXT(([0]!P_1_8.4.2 [0]!MT)),0,([0]!P_1_8.4.2 [0]!MT))</f>
        <v>#REF!</v>
      </c>
    </row>
    <row r="266" spans="1:4">
      <c r="A266" s="258" t="s">
        <v>268</v>
      </c>
      <c r="B266" s="259" t="e">
        <f ca="1">IF(ISTEXT(([0]!P_1_8.4.3 [0]!Qté)),0,([0]!P_1_8.4.3 [0]!Qté))</f>
        <v>#REF!</v>
      </c>
      <c r="C266" s="260" t="e">
        <f ca="1">([0]!P_1_8.4.3 [0]!PU)</f>
        <v>#REF!</v>
      </c>
      <c r="D266" s="260" t="e">
        <f ca="1">IF(ISTEXT(([0]!P_1_8.4.3 [0]!MT)),0,([0]!P_1_8.4.3 [0]!MT))</f>
        <v>#REF!</v>
      </c>
    </row>
    <row r="267" spans="1:4">
      <c r="A267" s="258" t="s">
        <v>269</v>
      </c>
      <c r="B267" s="259" t="e">
        <f ca="1">IF(ISTEXT(([0]!P_1_8.4.4 [0]!Qté)),0,([0]!P_1_8.4.4 [0]!Qté))</f>
        <v>#REF!</v>
      </c>
      <c r="C267" s="260" t="e">
        <f ca="1">([0]!P_1_8.4.4 [0]!PU)</f>
        <v>#REF!</v>
      </c>
      <c r="D267" s="260" t="e">
        <f ca="1">IF(ISTEXT(([0]!P_1_8.4.4 [0]!MT)),0,([0]!P_1_8.4.4 [0]!MT))</f>
        <v>#REF!</v>
      </c>
    </row>
    <row r="268" spans="1:4">
      <c r="A268" s="258" t="s">
        <v>270</v>
      </c>
      <c r="B268" s="259" t="e">
        <f ca="1">IF(ISTEXT(([0]!P_1_8.4.5 [0]!Qté)),0,([0]!P_1_8.4.5 [0]!Qté))</f>
        <v>#REF!</v>
      </c>
      <c r="C268" s="260" t="e">
        <f ca="1">([0]!P_1_8.4.5 [0]!PU)</f>
        <v>#REF!</v>
      </c>
      <c r="D268" s="260" t="e">
        <f ca="1">IF(ISTEXT(([0]!P_1_8.4.5 [0]!MT)),0,([0]!P_1_8.4.5 [0]!MT))</f>
        <v>#REF!</v>
      </c>
    </row>
    <row r="269" spans="1:4">
      <c r="A269" s="258" t="s">
        <v>271</v>
      </c>
      <c r="B269" s="259" t="e">
        <f ca="1">IF(ISTEXT(([0]!P_1_8.4.6 [0]!Qté)),0,([0]!P_1_8.4.6 [0]!Qté))</f>
        <v>#REF!</v>
      </c>
      <c r="C269" s="260" t="e">
        <f ca="1">([0]!P_1_8.4.6 [0]!PU)</f>
        <v>#REF!</v>
      </c>
      <c r="D269" s="260" t="e">
        <f ca="1">IF(ISTEXT(([0]!P_1_8.4.6 [0]!MT)),0,([0]!P_1_8.4.6 [0]!MT))</f>
        <v>#REF!</v>
      </c>
    </row>
    <row r="270" spans="1:4">
      <c r="A270" s="258" t="s">
        <v>272</v>
      </c>
      <c r="B270" s="259" t="e">
        <f ca="1">IF(ISTEXT(([0]!P_1_8.4.7 [0]!Qté)),0,([0]!P_1_8.4.7 [0]!Qté))</f>
        <v>#REF!</v>
      </c>
      <c r="C270" s="260" t="e">
        <f ca="1">([0]!P_1_8.4.7 [0]!PU)</f>
        <v>#REF!</v>
      </c>
      <c r="D270" s="260" t="e">
        <f ca="1">IF(ISTEXT(([0]!P_1_8.4.7 [0]!MT)),0,([0]!P_1_8.4.7 [0]!MT))</f>
        <v>#REF!</v>
      </c>
    </row>
    <row r="271" spans="1:4">
      <c r="A271" s="258" t="s">
        <v>273</v>
      </c>
      <c r="B271" s="259" t="e">
        <f ca="1">IF(ISTEXT(([0]!P_1_8.4.8 [0]!Qté)),0,([0]!P_1_8.4.8 [0]!Qté))</f>
        <v>#REF!</v>
      </c>
      <c r="C271" s="260" t="e">
        <f ca="1">([0]!P_1_8.4.8 [0]!PU)</f>
        <v>#REF!</v>
      </c>
      <c r="D271" s="260" t="e">
        <f ca="1">IF(ISTEXT(([0]!P_1_8.4.8 [0]!MT)),0,([0]!P_1_8.4.8 [0]!MT))</f>
        <v>#REF!</v>
      </c>
    </row>
    <row r="272" spans="1:4">
      <c r="A272" s="258" t="s">
        <v>274</v>
      </c>
      <c r="B272" s="259" t="e">
        <f ca="1">IF(ISTEXT(([0]!P_1_8.4.9 [0]!Qté)),0,([0]!P_1_8.4.9 [0]!Qté))</f>
        <v>#REF!</v>
      </c>
      <c r="C272" s="260" t="e">
        <f ca="1">([0]!P_1_8.4.9 [0]!PU)</f>
        <v>#REF!</v>
      </c>
      <c r="D272" s="260" t="e">
        <f ca="1">IF(ISTEXT(([0]!P_1_8.4.9 [0]!MT)),0,([0]!P_1_8.4.9 [0]!MT))</f>
        <v>#REF!</v>
      </c>
    </row>
    <row r="273" spans="1:4">
      <c r="A273" s="258" t="s">
        <v>275</v>
      </c>
      <c r="B273" s="259" t="e">
        <f ca="1">IF(ISTEXT(([0]!P_1_8.4.10 [0]!Qté)),0,([0]!P_1_8.4.10 [0]!Qté))</f>
        <v>#REF!</v>
      </c>
      <c r="C273" s="260" t="e">
        <f ca="1">([0]!P_1_8.4.10 [0]!PU)</f>
        <v>#REF!</v>
      </c>
      <c r="D273" s="260" t="e">
        <f ca="1">IF(ISTEXT(([0]!P_1_8.4.10 [0]!MT)),0,([0]!P_1_8.4.10 [0]!MT))</f>
        <v>#REF!</v>
      </c>
    </row>
    <row r="274" spans="1:4">
      <c r="A274" s="258" t="s">
        <v>276</v>
      </c>
      <c r="B274" s="259" t="e">
        <f ca="1">IF(ISTEXT(([0]!P_1_8.4.11 [0]!Qté)),0,([0]!P_1_8.4.11 [0]!Qté))</f>
        <v>#REF!</v>
      </c>
      <c r="C274" s="260" t="e">
        <f ca="1">([0]!P_1_8.4.11 [0]!PU)</f>
        <v>#REF!</v>
      </c>
      <c r="D274" s="260" t="e">
        <f ca="1">IF(ISTEXT(([0]!P_1_8.4.11 [0]!MT)),0,([0]!P_1_8.4.11 [0]!MT))</f>
        <v>#REF!</v>
      </c>
    </row>
    <row r="275" spans="1:4">
      <c r="A275" s="258" t="s">
        <v>277</v>
      </c>
      <c r="B275" s="259" t="e">
        <f ca="1">IF(ISTEXT(([0]!P_1_8.5.1 [0]!Qté)),0,([0]!P_1_8.5.1 [0]!Qté))</f>
        <v>#REF!</v>
      </c>
      <c r="C275" s="260" t="e">
        <f ca="1">([0]!P_1_8.5.1 [0]!PU)</f>
        <v>#REF!</v>
      </c>
      <c r="D275" s="260" t="e">
        <f ca="1">IF(ISTEXT(([0]!P_1_8.5.1 [0]!MT)),0,([0]!P_1_8.5.1 [0]!MT))</f>
        <v>#REF!</v>
      </c>
    </row>
    <row r="276" spans="1:4">
      <c r="A276" s="258" t="s">
        <v>278</v>
      </c>
      <c r="B276" s="259" t="e">
        <f ca="1">IF(ISTEXT(([0]!P_1_8.5.2 [0]!Qté)),0,([0]!P_1_8.5.2 [0]!Qté))</f>
        <v>#REF!</v>
      </c>
      <c r="C276" s="260" t="e">
        <f ca="1">([0]!P_1_8.5.2 [0]!PU)</f>
        <v>#REF!</v>
      </c>
      <c r="D276" s="260" t="e">
        <f ca="1">IF(ISTEXT(([0]!P_1_8.5.2 [0]!MT)),0,([0]!P_1_8.5.2 [0]!MT))</f>
        <v>#REF!</v>
      </c>
    </row>
    <row r="277" spans="1:4">
      <c r="A277" s="258" t="s">
        <v>279</v>
      </c>
      <c r="B277" s="259" t="e">
        <f ca="1">IF(ISTEXT(([0]!P_1_8.5.3 [0]!Qté)),0,([0]!P_1_8.5.3 [0]!Qté))</f>
        <v>#REF!</v>
      </c>
      <c r="C277" s="260" t="e">
        <f ca="1">([0]!P_1_8.5.3 [0]!PU)</f>
        <v>#REF!</v>
      </c>
      <c r="D277" s="260" t="e">
        <f ca="1">IF(ISTEXT(([0]!P_1_8.5.3 [0]!MT)),0,([0]!P_1_8.5.3 [0]!MT))</f>
        <v>#REF!</v>
      </c>
    </row>
    <row r="278" spans="1:4">
      <c r="A278" s="258" t="s">
        <v>280</v>
      </c>
      <c r="B278" s="259" t="e">
        <f ca="1">IF(ISTEXT(([0]!P_1_8.5.4 [0]!Qté)),0,([0]!P_1_8.5.4 [0]!Qté))</f>
        <v>#REF!</v>
      </c>
      <c r="C278" s="260" t="e">
        <f ca="1">([0]!P_1_8.5.4 [0]!PU)</f>
        <v>#REF!</v>
      </c>
      <c r="D278" s="260" t="e">
        <f ca="1">IF(ISTEXT(([0]!P_1_8.5.4 [0]!MT)),0,([0]!P_1_8.5.4 [0]!MT))</f>
        <v>#REF!</v>
      </c>
    </row>
    <row r="279" spans="1:4">
      <c r="A279" s="258" t="s">
        <v>281</v>
      </c>
      <c r="B279" s="259" t="e">
        <f ca="1">IF(ISTEXT(([0]!P_1_8.5.5 [0]!Qté)),0,([0]!P_1_8.5.5 [0]!Qté))</f>
        <v>#REF!</v>
      </c>
      <c r="C279" s="260" t="e">
        <f ca="1">([0]!P_1_8.5.5 [0]!PU)</f>
        <v>#REF!</v>
      </c>
      <c r="D279" s="260" t="e">
        <f ca="1">IF(ISTEXT(([0]!P_1_8.5.5 [0]!MT)),0,([0]!P_1_8.5.5 [0]!MT))</f>
        <v>#REF!</v>
      </c>
    </row>
    <row r="280" spans="1:4">
      <c r="A280" s="258" t="s">
        <v>282</v>
      </c>
      <c r="B280" s="259" t="e">
        <f ca="1">IF(ISTEXT(([0]!P_1_8.5.6 [0]!Qté)),0,([0]!P_1_8.5.6 [0]!Qté))</f>
        <v>#REF!</v>
      </c>
      <c r="C280" s="260" t="e">
        <f ca="1">([0]!P_1_8.5.6 [0]!PU)</f>
        <v>#REF!</v>
      </c>
      <c r="D280" s="260" t="e">
        <f ca="1">IF(ISTEXT(([0]!P_1_8.5.6 [0]!MT)),0,([0]!P_1_8.5.6 [0]!MT))</f>
        <v>#REF!</v>
      </c>
    </row>
    <row r="281" spans="1:4">
      <c r="A281" s="258" t="s">
        <v>283</v>
      </c>
      <c r="B281" s="259" t="e">
        <f ca="1">IF(ISTEXT(([0]!P_1_8.5.7 [0]!Qté)),0,([0]!P_1_8.5.7 [0]!Qté))</f>
        <v>#REF!</v>
      </c>
      <c r="C281" s="260" t="e">
        <f ca="1">([0]!P_1_8.5.7 [0]!PU)</f>
        <v>#REF!</v>
      </c>
      <c r="D281" s="260" t="e">
        <f ca="1">IF(ISTEXT(([0]!P_1_8.5.7 [0]!MT)),0,([0]!P_1_8.5.7 [0]!MT))</f>
        <v>#REF!</v>
      </c>
    </row>
    <row r="282" spans="1:4">
      <c r="A282" s="258" t="s">
        <v>284</v>
      </c>
      <c r="B282" s="259" t="e">
        <f ca="1">IF(ISTEXT(([0]!P_1_8.5.8 [0]!Qté)),0,([0]!P_1_8.5.8 [0]!Qté))</f>
        <v>#REF!</v>
      </c>
      <c r="C282" s="260" t="e">
        <f ca="1">([0]!P_1_8.5.8 [0]!PU)</f>
        <v>#REF!</v>
      </c>
      <c r="D282" s="260" t="e">
        <f ca="1">IF(ISTEXT(([0]!P_1_8.5.8 [0]!MT)),0,([0]!P_1_8.5.8 [0]!MT))</f>
        <v>#REF!</v>
      </c>
    </row>
    <row r="283" spans="1:4">
      <c r="A283" s="258" t="s">
        <v>285</v>
      </c>
      <c r="B283" s="259" t="e">
        <f ca="1">IF(ISTEXT(([0]!P_1_8.5.9 [0]!Qté)),0,([0]!P_1_8.5.9 [0]!Qté))</f>
        <v>#REF!</v>
      </c>
      <c r="C283" s="260" t="e">
        <f ca="1">([0]!P_1_8.5.9 [0]!PU)</f>
        <v>#REF!</v>
      </c>
      <c r="D283" s="260" t="e">
        <f ca="1">IF(ISTEXT(([0]!P_1_8.5.9 [0]!MT)),0,([0]!P_1_8.5.9 [0]!MT))</f>
        <v>#REF!</v>
      </c>
    </row>
    <row r="284" spans="1:4">
      <c r="A284" s="258" t="s">
        <v>286</v>
      </c>
      <c r="B284" s="259" t="e">
        <f ca="1">IF(ISTEXT(([0]!P_1_8.5.10 [0]!Qté)),0,([0]!P_1_8.5.10 [0]!Qté))</f>
        <v>#REF!</v>
      </c>
      <c r="C284" s="260" t="e">
        <f ca="1">([0]!P_1_8.5.10 [0]!PU)</f>
        <v>#REF!</v>
      </c>
      <c r="D284" s="260" t="e">
        <f ca="1">IF(ISTEXT(([0]!P_1_8.5.10 [0]!MT)),0,([0]!P_1_8.5.10 [0]!MT))</f>
        <v>#REF!</v>
      </c>
    </row>
    <row r="285" spans="1:4">
      <c r="A285" s="258" t="s">
        <v>287</v>
      </c>
      <c r="B285" s="259" t="e">
        <f ca="1">IF(ISTEXT(([0]!P_1_8.5.11 [0]!Qté)),0,([0]!P_1_8.5.11 [0]!Qté))</f>
        <v>#REF!</v>
      </c>
      <c r="C285" s="260" t="e">
        <f ca="1">([0]!P_1_8.5.11 [0]!PU)</f>
        <v>#REF!</v>
      </c>
      <c r="D285" s="260" t="e">
        <f ca="1">IF(ISTEXT(([0]!P_1_8.5.11 [0]!MT)),0,([0]!P_1_8.5.11 [0]!MT))</f>
        <v>#REF!</v>
      </c>
    </row>
    <row r="286" spans="1:4">
      <c r="A286" s="258" t="s">
        <v>288</v>
      </c>
      <c r="B286" s="259" t="e">
        <f ca="1">IF(ISTEXT(([0]!P_1_8.6.1 [0]!Qté)),0,([0]!P_1_8.6.1 [0]!Qté))</f>
        <v>#REF!</v>
      </c>
      <c r="C286" s="260" t="e">
        <f ca="1">([0]!P_1_8.6.1 [0]!PU)</f>
        <v>#REF!</v>
      </c>
      <c r="D286" s="260" t="e">
        <f ca="1">IF(ISTEXT(([0]!P_1_8.6.1 [0]!MT)),0,([0]!P_1_8.6.1 [0]!MT))</f>
        <v>#REF!</v>
      </c>
    </row>
    <row r="287" spans="1:4">
      <c r="A287" s="258" t="s">
        <v>289</v>
      </c>
      <c r="B287" s="259" t="e">
        <f ca="1">IF(ISTEXT(([0]!P_1_8.6.2 [0]!Qté)),0,([0]!P_1_8.6.2 [0]!Qté))</f>
        <v>#REF!</v>
      </c>
      <c r="C287" s="260" t="e">
        <f ca="1">([0]!P_1_8.6.2 [0]!PU)</f>
        <v>#REF!</v>
      </c>
      <c r="D287" s="260" t="e">
        <f ca="1">IF(ISTEXT(([0]!P_1_8.6.2 [0]!MT)),0,([0]!P_1_8.6.2 [0]!MT))</f>
        <v>#REF!</v>
      </c>
    </row>
    <row r="288" spans="1:4">
      <c r="A288" s="258" t="s">
        <v>290</v>
      </c>
      <c r="B288" s="259" t="e">
        <f ca="1">IF(ISTEXT(([0]!P_1_8.6.3 [0]!Qté)),0,([0]!P_1_8.6.3 [0]!Qté))</f>
        <v>#REF!</v>
      </c>
      <c r="C288" s="260" t="e">
        <f ca="1">([0]!P_1_8.6.3 [0]!PU)</f>
        <v>#REF!</v>
      </c>
      <c r="D288" s="260" t="e">
        <f ca="1">IF(ISTEXT(([0]!P_1_8.6.3 [0]!MT)),0,([0]!P_1_8.6.3 [0]!MT))</f>
        <v>#REF!</v>
      </c>
    </row>
    <row r="289" spans="1:4">
      <c r="A289" s="258" t="s">
        <v>291</v>
      </c>
      <c r="B289" s="259" t="e">
        <f ca="1">IF(ISTEXT(([0]!P_1_8.6.4 [0]!Qté)),0,([0]!P_1_8.6.4 [0]!Qté))</f>
        <v>#REF!</v>
      </c>
      <c r="C289" s="260" t="e">
        <f ca="1">([0]!P_1_8.6.4 [0]!PU)</f>
        <v>#REF!</v>
      </c>
      <c r="D289" s="260" t="e">
        <f ca="1">IF(ISTEXT(([0]!P_1_8.6.4 [0]!MT)),0,([0]!P_1_8.6.4 [0]!MT))</f>
        <v>#REF!</v>
      </c>
    </row>
    <row r="290" spans="1:4">
      <c r="A290" s="258" t="s">
        <v>292</v>
      </c>
      <c r="B290" s="259" t="e">
        <f ca="1">IF(ISTEXT(([0]!P_1_8.6.5 [0]!Qté)),0,([0]!P_1_8.6.5 [0]!Qté))</f>
        <v>#REF!</v>
      </c>
      <c r="C290" s="260" t="e">
        <f ca="1">([0]!P_1_8.6.5 [0]!PU)</f>
        <v>#REF!</v>
      </c>
      <c r="D290" s="260" t="e">
        <f ca="1">IF(ISTEXT(([0]!P_1_8.6.5 [0]!MT)),0,([0]!P_1_8.6.5 [0]!MT))</f>
        <v>#REF!</v>
      </c>
    </row>
    <row r="291" spans="1:4">
      <c r="A291" s="258" t="s">
        <v>293</v>
      </c>
      <c r="B291" s="259" t="e">
        <f ca="1">IF(ISTEXT(([0]!P_1_8.6.6 [0]!Qté)),0,([0]!P_1_8.6.6 [0]!Qté))</f>
        <v>#REF!</v>
      </c>
      <c r="C291" s="260" t="e">
        <f ca="1">([0]!P_1_8.6.6 [0]!PU)</f>
        <v>#REF!</v>
      </c>
      <c r="D291" s="260" t="e">
        <f ca="1">IF(ISTEXT(([0]!P_1_8.6.6 [0]!MT)),0,([0]!P_1_8.6.6 [0]!MT))</f>
        <v>#REF!</v>
      </c>
    </row>
    <row r="292" spans="1:4">
      <c r="A292" s="258" t="s">
        <v>294</v>
      </c>
      <c r="B292" s="259" t="e">
        <f ca="1">IF(ISTEXT(([0]!P_1_8.6.7 [0]!Qté)),0,([0]!P_1_8.6.7 [0]!Qté))</f>
        <v>#REF!</v>
      </c>
      <c r="C292" s="260" t="e">
        <f ca="1">([0]!P_1_8.6.7 [0]!PU)</f>
        <v>#REF!</v>
      </c>
      <c r="D292" s="260" t="e">
        <f ca="1">IF(ISTEXT(([0]!P_1_8.6.7 [0]!MT)),0,([0]!P_1_8.6.7 [0]!MT))</f>
        <v>#REF!</v>
      </c>
    </row>
    <row r="293" spans="1:4">
      <c r="A293" s="258" t="s">
        <v>295</v>
      </c>
      <c r="B293" s="259" t="e">
        <f ca="1">IF(ISTEXT(([0]!P_1_8.6.8 [0]!Qté)),0,([0]!P_1_8.6.8 [0]!Qté))</f>
        <v>#REF!</v>
      </c>
      <c r="C293" s="260" t="e">
        <f ca="1">([0]!P_1_8.6.8 [0]!PU)</f>
        <v>#REF!</v>
      </c>
      <c r="D293" s="260" t="e">
        <f ca="1">IF(ISTEXT(([0]!P_1_8.6.8 [0]!MT)),0,([0]!P_1_8.6.8 [0]!MT))</f>
        <v>#REF!</v>
      </c>
    </row>
    <row r="294" spans="1:4">
      <c r="A294" s="258" t="s">
        <v>296</v>
      </c>
      <c r="B294" s="259" t="e">
        <f ca="1">IF(ISTEXT(([0]!P_1_8.6.10 [0]!Qté)),0,([0]!P_1_8.6.10 [0]!Qté))</f>
        <v>#REF!</v>
      </c>
      <c r="C294" s="260" t="e">
        <f ca="1">([0]!P_1_8.6.10 [0]!PU)</f>
        <v>#REF!</v>
      </c>
      <c r="D294" s="260" t="e">
        <f ca="1">IF(ISTEXT(([0]!P_1_8.6.10 [0]!MT)),0,([0]!P_1_8.6.10 [0]!MT))</f>
        <v>#REF!</v>
      </c>
    </row>
    <row r="295" spans="1:4">
      <c r="A295" s="258" t="s">
        <v>297</v>
      </c>
      <c r="B295" s="259" t="e">
        <f ca="1">IF(ISTEXT(([0]!P_1_8.6.11 [0]!Qté)),0,([0]!P_1_8.6.11 [0]!Qté))</f>
        <v>#REF!</v>
      </c>
      <c r="C295" s="260" t="e">
        <f ca="1">([0]!P_1_8.6.11 [0]!PU)</f>
        <v>#REF!</v>
      </c>
      <c r="D295" s="260" t="e">
        <f ca="1">IF(ISTEXT(([0]!P_1_8.6.11 [0]!MT)),0,([0]!P_1_8.6.11 [0]!MT))</f>
        <v>#REF!</v>
      </c>
    </row>
    <row r="296" spans="1:4">
      <c r="A296" s="258" t="s">
        <v>298</v>
      </c>
      <c r="B296" s="259" t="e">
        <f ca="1">IF(ISTEXT(([0]!P_1_87.1 [0]!Qté)),0,([0]!P_1_87.1 [0]!Qté))</f>
        <v>#REF!</v>
      </c>
      <c r="C296" s="260" t="e">
        <f ca="1">([0]!P_1_87.1 [0]!PU)</f>
        <v>#REF!</v>
      </c>
      <c r="D296" s="260" t="e">
        <f ca="1">IF(ISTEXT(([0]!P_1_87.1 [0]!MT)),0,([0]!P_1_87.1 [0]!MT))</f>
        <v>#REF!</v>
      </c>
    </row>
    <row r="297" spans="1:4">
      <c r="A297" s="258" t="s">
        <v>299</v>
      </c>
      <c r="B297" s="259" t="e">
        <f ca="1">IF(ISTEXT(([0]!P_1_8.7.2 [0]!Qté)),0,([0]!P_1_8.7.2 [0]!Qté))</f>
        <v>#REF!</v>
      </c>
      <c r="C297" s="260" t="e">
        <f ca="1">([0]!P_1_8.7.2 [0]!PU)</f>
        <v>#REF!</v>
      </c>
      <c r="D297" s="260" t="e">
        <f ca="1">IF(ISTEXT(([0]!P_1_8.7.2 [0]!MT)),0,([0]!P_1_8.7.2 [0]!MT))</f>
        <v>#REF!</v>
      </c>
    </row>
    <row r="298" spans="1:4">
      <c r="A298" s="258" t="s">
        <v>300</v>
      </c>
      <c r="B298" s="259" t="e">
        <f ca="1">IF(ISTEXT(([0]!P_1_8.8.1 [0]!Qté)),0,([0]!P_1_8.8.1 [0]!Qté))</f>
        <v>#REF!</v>
      </c>
      <c r="C298" s="260" t="e">
        <f ca="1">([0]!P_1_8.8.1 [0]!PU)</f>
        <v>#REF!</v>
      </c>
      <c r="D298" s="260" t="e">
        <f ca="1">IF(ISTEXT(([0]!P_1_8.8.1 [0]!MT)),0,([0]!P_1_8.8.1 [0]!MT))</f>
        <v>#REF!</v>
      </c>
    </row>
    <row r="299" spans="1:4">
      <c r="A299" s="258" t="s">
        <v>301</v>
      </c>
      <c r="B299" s="259" t="e">
        <f ca="1">IF(ISTEXT(([0]!P_1_8.8.2 [0]!Qté)),0,([0]!P_1_8.8.2 [0]!Qté))</f>
        <v>#REF!</v>
      </c>
      <c r="C299" s="260" t="e">
        <f ca="1">([0]!P_1_8.8.2 [0]!PU)</f>
        <v>#REF!</v>
      </c>
      <c r="D299" s="260" t="e">
        <f ca="1">IF(ISTEXT(([0]!P_1_8.8.2 [0]!MT)),0,([0]!P_1_8.8.2 [0]!MT))</f>
        <v>#REF!</v>
      </c>
    </row>
    <row r="300" spans="1:4">
      <c r="A300" s="258" t="s">
        <v>302</v>
      </c>
      <c r="B300" s="259" t="e">
        <f ca="1">IF(ISTEXT(([0]!P_1_8.8.3 [0]!Qté)),0,([0]!P_1_8.8.3 [0]!Qté))</f>
        <v>#REF!</v>
      </c>
      <c r="C300" s="260" t="e">
        <f ca="1">([0]!P_1_8.8.3 [0]!PU)</f>
        <v>#REF!</v>
      </c>
      <c r="D300" s="260" t="e">
        <f ca="1">IF(ISTEXT(([0]!P_1_8.8.3 [0]!MT)),0,([0]!P_1_8.8.3 [0]!MT))</f>
        <v>#REF!</v>
      </c>
    </row>
    <row r="301" spans="1:4">
      <c r="A301" s="258" t="s">
        <v>303</v>
      </c>
      <c r="B301" s="259" t="e">
        <f ca="1">IF(ISTEXT(([0]!P_1_8.8.4 [0]!Qté)),0,([0]!P_1_8.8.4 [0]!Qté))</f>
        <v>#REF!</v>
      </c>
      <c r="C301" s="260" t="e">
        <f ca="1">([0]!P_1_8.8.4 [0]!PU)</f>
        <v>#REF!</v>
      </c>
      <c r="D301" s="260" t="e">
        <f ca="1">IF(ISTEXT(([0]!P_1_8.8.4 [0]!MT)),0,([0]!P_1_8.8.4 [0]!MT))</f>
        <v>#REF!</v>
      </c>
    </row>
    <row r="302" spans="1:4">
      <c r="A302" s="258" t="s">
        <v>304</v>
      </c>
      <c r="B302" s="259" t="e">
        <f ca="1">IF(ISTEXT(([0]!P_1_8.8.5 [0]!Qté)),0,([0]!P_1_8.8.5 [0]!Qté))</f>
        <v>#REF!</v>
      </c>
      <c r="C302" s="260" t="e">
        <f ca="1">([0]!P_1_8.8.5 [0]!PU)</f>
        <v>#REF!</v>
      </c>
      <c r="D302" s="260" t="e">
        <f ca="1">IF(ISTEXT(([0]!P_1_8.8.5 [0]!MT)),0,([0]!P_1_8.8.5 [0]!MT))</f>
        <v>#REF!</v>
      </c>
    </row>
    <row r="303" spans="1:4">
      <c r="A303" s="258" t="s">
        <v>305</v>
      </c>
      <c r="B303" s="259" t="e">
        <f ca="1">IF(ISTEXT(([0]!P_1_8.8.6 [0]!Qté)),0,([0]!P_1_8.8.6 [0]!Qté))</f>
        <v>#REF!</v>
      </c>
      <c r="C303" s="260" t="e">
        <f ca="1">([0]!P_1_8.8.6 [0]!PU)</f>
        <v>#REF!</v>
      </c>
      <c r="D303" s="260" t="e">
        <f ca="1">IF(ISTEXT(([0]!P_1_8.8.6 [0]!MT)),0,([0]!P_1_8.8.6 [0]!MT))</f>
        <v>#REF!</v>
      </c>
    </row>
    <row r="304" spans="1:4">
      <c r="A304" s="258" t="s">
        <v>306</v>
      </c>
      <c r="B304" s="259" t="e">
        <f ca="1">IF(ISTEXT(([0]!P_1_8.8.7 [0]!Qté)),0,([0]!P_1_8.8.7 [0]!Qté))</f>
        <v>#REF!</v>
      </c>
      <c r="C304" s="260" t="e">
        <f ca="1">([0]!P_1_8.8.7 [0]!PU)</f>
        <v>#REF!</v>
      </c>
      <c r="D304" s="260" t="e">
        <f ca="1">IF(ISTEXT(([0]!P_1_8.8.7 [0]!MT)),0,([0]!P_1_8.8.7 [0]!MT))</f>
        <v>#REF!</v>
      </c>
    </row>
    <row r="305" spans="1:4">
      <c r="A305" s="258" t="s">
        <v>307</v>
      </c>
      <c r="B305" s="259" t="e">
        <f ca="1">IF(ISTEXT(([0]!P_1_8.9.1 [0]!Qté)),0,([0]!P_1_8.9.1 [0]!Qté))</f>
        <v>#REF!</v>
      </c>
      <c r="C305" s="260" t="e">
        <f ca="1">([0]!P_1_8.9.1 [0]!PU)</f>
        <v>#REF!</v>
      </c>
      <c r="D305" s="260" t="e">
        <f ca="1">IF(ISTEXT(([0]!P_1_8.9.1 [0]!MT)),0,([0]!P_1_8.9.1 [0]!MT))</f>
        <v>#REF!</v>
      </c>
    </row>
    <row r="306" spans="1:4">
      <c r="A306" s="258" t="s">
        <v>308</v>
      </c>
      <c r="B306" s="259" t="e">
        <f ca="1">IF(ISTEXT(([0]!P_1_8.9.2 [0]!Qté)),0,([0]!P_1_8.9.2 [0]!Qté))</f>
        <v>#REF!</v>
      </c>
      <c r="C306" s="260" t="e">
        <f ca="1">([0]!P_1_8.9.2 [0]!PU)</f>
        <v>#REF!</v>
      </c>
      <c r="D306" s="260" t="e">
        <f ca="1">IF(ISTEXT(([0]!P_1_8.9.2 [0]!MT)),0,([0]!P_1_8.9.2 [0]!MT))</f>
        <v>#REF!</v>
      </c>
    </row>
    <row r="307" spans="1:4">
      <c r="A307" s="258" t="s">
        <v>309</v>
      </c>
      <c r="B307" s="259" t="e">
        <f ca="1">IF(ISTEXT(([0]!P_1_8.9.3 [0]!Qté)),0,([0]!P_1_8.9.3 [0]!Qté))</f>
        <v>#REF!</v>
      </c>
      <c r="C307" s="260" t="e">
        <f ca="1">([0]!P_1_8.9.3 [0]!PU)</f>
        <v>#REF!</v>
      </c>
      <c r="D307" s="260" t="e">
        <f ca="1">IF(ISTEXT(([0]!P_1_8.9.3 [0]!MT)),0,([0]!P_1_8.9.3 [0]!MT))</f>
        <v>#REF!</v>
      </c>
    </row>
    <row r="308" spans="1:4">
      <c r="A308" s="258" t="s">
        <v>310</v>
      </c>
      <c r="B308" s="259" t="e">
        <f ca="1">IF(ISTEXT(([0]!P_1_8.9.4 [0]!Qté)),0,([0]!P_1_8.9.4 [0]!Qté))</f>
        <v>#REF!</v>
      </c>
      <c r="C308" s="260" t="e">
        <f ca="1">([0]!P_1_8.9.4 [0]!PU)</f>
        <v>#REF!</v>
      </c>
      <c r="D308" s="260" t="e">
        <f ca="1">IF(ISTEXT(([0]!P_1_8.9.4 [0]!MT)),0,([0]!P_1_8.9.4 [0]!MT))</f>
        <v>#REF!</v>
      </c>
    </row>
    <row r="309" spans="1:4">
      <c r="A309" s="258" t="s">
        <v>311</v>
      </c>
      <c r="B309" s="259" t="e">
        <f ca="1">IF(ISTEXT(([0]!P_1_8.9.5 [0]!Qté)),0,([0]!P_1_8.9.5 [0]!Qté))</f>
        <v>#REF!</v>
      </c>
      <c r="C309" s="260" t="e">
        <f ca="1">([0]!P_1_8.9.5 [0]!PU)</f>
        <v>#REF!</v>
      </c>
      <c r="D309" s="260" t="e">
        <f ca="1">IF(ISTEXT(([0]!P_1_8.9.5 [0]!MT)),0,([0]!P_1_8.9.5 [0]!MT))</f>
        <v>#REF!</v>
      </c>
    </row>
    <row r="310" spans="1:4">
      <c r="A310" s="258" t="s">
        <v>312</v>
      </c>
      <c r="B310" s="259" t="e">
        <f ca="1">IF(ISTEXT(([0]!P_1_8.9.6 [0]!Qté)),0,([0]!P_1_8.9.6 [0]!Qté))</f>
        <v>#REF!</v>
      </c>
      <c r="C310" s="260" t="e">
        <f ca="1">([0]!P_1_8.9.6 [0]!PU)</f>
        <v>#REF!</v>
      </c>
      <c r="D310" s="260" t="e">
        <f ca="1">IF(ISTEXT(([0]!P_1_8.9.6 [0]!MT)),0,([0]!P_1_8.9.6 [0]!MT))</f>
        <v>#REF!</v>
      </c>
    </row>
    <row r="311" spans="1:4">
      <c r="A311" s="258" t="s">
        <v>313</v>
      </c>
      <c r="B311" s="259" t="e">
        <f ca="1">IF(ISTEXT(([0]!P_1_8.9.7 [0]!Qté)),0,([0]!P_1_8.9.7 [0]!Qté))</f>
        <v>#REF!</v>
      </c>
      <c r="C311" s="260" t="e">
        <f ca="1">([0]!P_1_8.9.7 [0]!PU)</f>
        <v>#REF!</v>
      </c>
      <c r="D311" s="260" t="e">
        <f ca="1">IF(ISTEXT(([0]!P_1_8.9.7 [0]!MT)),0,([0]!P_1_8.9.7 [0]!MT))</f>
        <v>#REF!</v>
      </c>
    </row>
    <row r="312" spans="1:4">
      <c r="A312" s="258" t="s">
        <v>314</v>
      </c>
      <c r="B312" s="259" t="e">
        <f ca="1">IF(ISTEXT(([0]!P_1_8.9.8 [0]!Qté)),0,([0]!P_1_8.9.8 [0]!Qté))</f>
        <v>#REF!</v>
      </c>
      <c r="C312" s="260" t="e">
        <f ca="1">([0]!P_1_8.9.8 [0]!PU)</f>
        <v>#REF!</v>
      </c>
      <c r="D312" s="260" t="e">
        <f ca="1">IF(ISTEXT(([0]!P_1_8.9.8 [0]!MT)),0,([0]!P_1_8.9.8 [0]!MT))</f>
        <v>#REF!</v>
      </c>
    </row>
    <row r="313" spans="1:4">
      <c r="A313" s="258" t="s">
        <v>315</v>
      </c>
      <c r="B313" s="259" t="e">
        <f ca="1">IF(ISTEXT(([0]!P_1_8.9.9 [0]!Qté)),0,([0]!P_1_8.9.9 [0]!Qté))</f>
        <v>#REF!</v>
      </c>
      <c r="C313" s="260" t="e">
        <f ca="1">([0]!P_1_8.9.9 [0]!PU)</f>
        <v>#REF!</v>
      </c>
      <c r="D313" s="260" t="e">
        <f ca="1">IF(ISTEXT(([0]!P_1_8.9.9 [0]!MT)),0,([0]!P_1_8.9.9 [0]!MT))</f>
        <v>#REF!</v>
      </c>
    </row>
    <row r="314" spans="1:4">
      <c r="A314" s="258" t="s">
        <v>316</v>
      </c>
      <c r="B314" s="259" t="e">
        <f ca="1">IF(ISTEXT(([0]!P_1_8.9.10 [0]!Qté)),0,([0]!P_1_8.9.10 [0]!Qté))</f>
        <v>#REF!</v>
      </c>
      <c r="C314" s="260" t="e">
        <f ca="1">([0]!P_1_8.9.10 [0]!PU)</f>
        <v>#REF!</v>
      </c>
      <c r="D314" s="260" t="e">
        <f ca="1">IF(ISTEXT(([0]!P_1_8.9.10 [0]!MT)),0,([0]!P_1_8.9.10 [0]!MT))</f>
        <v>#REF!</v>
      </c>
    </row>
    <row r="315" spans="1:4">
      <c r="A315" s="258" t="s">
        <v>317</v>
      </c>
      <c r="B315" s="259" t="e">
        <f ca="1">IF(ISTEXT(([0]!P_1_8.9.11 [0]!Qté)),0,([0]!P_1_8.9.11 [0]!Qté))</f>
        <v>#REF!</v>
      </c>
      <c r="C315" s="260" t="e">
        <f ca="1">([0]!P_1_8.9.11 [0]!PU)</f>
        <v>#REF!</v>
      </c>
      <c r="D315" s="260" t="e">
        <f ca="1">IF(ISTEXT(([0]!P_1_8.9.11 [0]!MT)),0,([0]!P_1_8.9.11 [0]!MT))</f>
        <v>#REF!</v>
      </c>
    </row>
    <row r="316" spans="1:4">
      <c r="A316" s="258" t="s">
        <v>318</v>
      </c>
      <c r="B316" s="259" t="e">
        <f ca="1">IF(ISTEXT(([0]!P_1_8.9.12 [0]!Qté)),0,([0]!P_1_8.9.12 [0]!Qté))</f>
        <v>#REF!</v>
      </c>
      <c r="C316" s="260" t="e">
        <f ca="1">([0]!P_1_8.9.12 [0]!PU)</f>
        <v>#REF!</v>
      </c>
      <c r="D316" s="260" t="e">
        <f ca="1">IF(ISTEXT(([0]!P_1_8.9.12 [0]!MT)),0,([0]!P_1_8.9.12 [0]!MT))</f>
        <v>#REF!</v>
      </c>
    </row>
    <row r="317" spans="1:4">
      <c r="A317" s="258" t="s">
        <v>319</v>
      </c>
      <c r="B317" s="259" t="e">
        <f ca="1">IF(ISTEXT(([0]!P_1_8.10.1 [0]!Qté)),0,([0]!P_1_8.10.1 [0]!Qté))</f>
        <v>#REF!</v>
      </c>
      <c r="C317" s="260" t="e">
        <f ca="1">([0]!P_1_8.10.1 [0]!PU)</f>
        <v>#REF!</v>
      </c>
      <c r="D317" s="260" t="e">
        <f ca="1">IF(ISTEXT(([0]!P_1_8.10.1 [0]!MT)),0,([0]!P_1_8.10.1 [0]!MT))</f>
        <v>#REF!</v>
      </c>
    </row>
    <row r="318" spans="1:4">
      <c r="A318" s="258" t="s">
        <v>320</v>
      </c>
      <c r="B318" s="259" t="e">
        <f ca="1">IF(ISTEXT(([0]!P_1_8.10.2 [0]!Qté)),0,([0]!P_1_8.10.2 [0]!Qté))</f>
        <v>#REF!</v>
      </c>
      <c r="C318" s="260" t="e">
        <f ca="1">([0]!P_1_8.10.2 [0]!PU)</f>
        <v>#REF!</v>
      </c>
      <c r="D318" s="260" t="e">
        <f ca="1">IF(ISTEXT(([0]!P_1_8.10.2 [0]!MT)),0,([0]!P_1_8.10.2 [0]!MT))</f>
        <v>#REF!</v>
      </c>
    </row>
    <row r="319" spans="1:4">
      <c r="A319" s="258" t="s">
        <v>321</v>
      </c>
      <c r="B319" s="259" t="e">
        <f ca="1">IF(ISTEXT(([0]!P_1_8.10.3 [0]!Qté)),0,([0]!P_1_8.10.3 [0]!Qté))</f>
        <v>#REF!</v>
      </c>
      <c r="C319" s="260" t="e">
        <f ca="1">([0]!P_1_8.10.3 [0]!PU)</f>
        <v>#REF!</v>
      </c>
      <c r="D319" s="260" t="e">
        <f ca="1">IF(ISTEXT(([0]!P_1_8.10.3 [0]!MT)),0,([0]!P_1_8.10.3 [0]!MT))</f>
        <v>#REF!</v>
      </c>
    </row>
    <row r="320" spans="1:4">
      <c r="A320" s="258" t="s">
        <v>322</v>
      </c>
      <c r="B320" s="259" t="e">
        <f ca="1">IF(ISTEXT(([0]!P_1_8.10.4 [0]!Qté)),0,([0]!P_1_8.10.4 [0]!Qté))</f>
        <v>#REF!</v>
      </c>
      <c r="C320" s="260" t="e">
        <f ca="1">([0]!P_1_8.10.4 [0]!PU)</f>
        <v>#REF!</v>
      </c>
      <c r="D320" s="260" t="e">
        <f ca="1">IF(ISTEXT(([0]!P_1_8.10.4 [0]!MT)),0,([0]!P_1_8.10.4 [0]!MT))</f>
        <v>#REF!</v>
      </c>
    </row>
    <row r="321" spans="1:4">
      <c r="A321" s="258" t="s">
        <v>323</v>
      </c>
      <c r="B321" s="259" t="e">
        <f ca="1">IF(ISTEXT(([0]!P_1_8.10.5 [0]!Qté)),0,([0]!P_1_8.10.5 [0]!Qté))</f>
        <v>#REF!</v>
      </c>
      <c r="C321" s="260" t="e">
        <f ca="1">([0]!P_1_8.10.5 [0]!PU)</f>
        <v>#REF!</v>
      </c>
      <c r="D321" s="260" t="e">
        <f ca="1">IF(ISTEXT(([0]!P_1_8.10.5 [0]!MT)),0,([0]!P_1_8.10.5 [0]!MT))</f>
        <v>#REF!</v>
      </c>
    </row>
    <row r="322" spans="1:4">
      <c r="A322" s="258" t="s">
        <v>324</v>
      </c>
      <c r="B322" s="259" t="e">
        <f ca="1">IF(ISTEXT(([0]!P_1_8.10.6 [0]!Qté)),0,([0]!P_1_8.10.6 [0]!Qté))</f>
        <v>#REF!</v>
      </c>
      <c r="C322" s="260" t="e">
        <f ca="1">([0]!P_1_8.10.6 [0]!PU)</f>
        <v>#REF!</v>
      </c>
      <c r="D322" s="260" t="e">
        <f ca="1">IF(ISTEXT(([0]!P_1_8.10.6 [0]!MT)),0,([0]!P_1_8.10.6 [0]!MT))</f>
        <v>#REF!</v>
      </c>
    </row>
    <row r="323" spans="1:4">
      <c r="A323" s="258" t="s">
        <v>325</v>
      </c>
      <c r="B323" s="259" t="e">
        <f ca="1">IF(ISTEXT(([0]!P_1_8.10.7 [0]!Qté)),0,([0]!P_1_8.10.7 [0]!Qté))</f>
        <v>#REF!</v>
      </c>
      <c r="C323" s="260" t="e">
        <f ca="1">([0]!P_1_8.10.7 [0]!PU)</f>
        <v>#REF!</v>
      </c>
      <c r="D323" s="260" t="e">
        <f ca="1">IF(ISTEXT(([0]!P_1_8.10.7 [0]!MT)),0,([0]!P_1_8.10.7 [0]!MT))</f>
        <v>#REF!</v>
      </c>
    </row>
    <row r="324" spans="1:4">
      <c r="A324" s="258" t="s">
        <v>326</v>
      </c>
      <c r="B324" s="259" t="e">
        <f ca="1">IF(ISTEXT(([0]!P_1_8.10.8 [0]!Qté)),0,([0]!P_1_8.10.8 [0]!Qté))</f>
        <v>#REF!</v>
      </c>
      <c r="C324" s="260" t="e">
        <f ca="1">([0]!P_1_8.10.8 [0]!PU)</f>
        <v>#REF!</v>
      </c>
      <c r="D324" s="260" t="e">
        <f ca="1">IF(ISTEXT(([0]!P_1_8.10.8 [0]!MT)),0,([0]!P_1_8.10.8 [0]!MT))</f>
        <v>#REF!</v>
      </c>
    </row>
    <row r="325" spans="1:4">
      <c r="A325" s="258" t="s">
        <v>327</v>
      </c>
      <c r="B325" s="259" t="e">
        <f ca="1">IF(ISTEXT(([0]!P_1_8.10.9 [0]!Qté)),0,([0]!P_1_8.10.9 [0]!Qté))</f>
        <v>#REF!</v>
      </c>
      <c r="C325" s="260" t="e">
        <f ca="1">([0]!P_1_8.10.9 [0]!PU)</f>
        <v>#REF!</v>
      </c>
      <c r="D325" s="260" t="e">
        <f ca="1">IF(ISTEXT(([0]!P_1_8.10.9 [0]!MT)),0,([0]!P_1_8.10.9 [0]!MT))</f>
        <v>#REF!</v>
      </c>
    </row>
    <row r="326" spans="1:4">
      <c r="A326" s="258" t="s">
        <v>328</v>
      </c>
      <c r="B326" s="259" t="e">
        <f ca="1">IF(ISTEXT(([0]!P_1_8.10.10 [0]!Qté)),0,([0]!P_1_8.10.10 [0]!Qté))</f>
        <v>#REF!</v>
      </c>
      <c r="C326" s="260" t="e">
        <f ca="1">([0]!P_1_8.10.10 [0]!PU)</f>
        <v>#REF!</v>
      </c>
      <c r="D326" s="260" t="e">
        <f ca="1">IF(ISTEXT(([0]!P_1_8.10.10 [0]!MT)),0,([0]!P_1_8.10.10 [0]!MT))</f>
        <v>#REF!</v>
      </c>
    </row>
    <row r="327" spans="1:4">
      <c r="A327" s="258" t="s">
        <v>329</v>
      </c>
      <c r="B327" s="259" t="e">
        <f ca="1">IF(ISTEXT(([0]!P_1_8.10.11 [0]!Qté)),0,([0]!P_1_8.10.11 [0]!Qté))</f>
        <v>#REF!</v>
      </c>
      <c r="C327" s="260" t="e">
        <f ca="1">([0]!P_1_8.10.11 [0]!PU)</f>
        <v>#REF!</v>
      </c>
      <c r="D327" s="260" t="e">
        <f ca="1">IF(ISTEXT(([0]!P_1_8.10.11 [0]!MT)),0,([0]!P_1_8.10.11 [0]!MT))</f>
        <v>#REF!</v>
      </c>
    </row>
    <row r="328" spans="1:4">
      <c r="A328" s="258" t="s">
        <v>330</v>
      </c>
      <c r="B328" s="259" t="e">
        <f ca="1">IF(ISTEXT(([0]!P_1_8.10.12 [0]!Qté)),0,([0]!P_1_8.10.12 [0]!Qté))</f>
        <v>#REF!</v>
      </c>
      <c r="C328" s="260" t="e">
        <f ca="1">([0]!P_1_8.10.12 [0]!PU)</f>
        <v>#REF!</v>
      </c>
      <c r="D328" s="260" t="e">
        <f ca="1">IF(ISTEXT(([0]!P_1_8.10.12 [0]!MT)),0,([0]!P_1_8.10.12 [0]!MT))</f>
        <v>#REF!</v>
      </c>
    </row>
    <row r="329" spans="1:4">
      <c r="A329" s="258" t="s">
        <v>331</v>
      </c>
      <c r="B329" s="259" t="e">
        <f ca="1">IF(ISTEXT(([0]!P_1_8.11.1 [0]!Qté)),0,([0]!P_1_8.11.1 [0]!Qté))</f>
        <v>#REF!</v>
      </c>
      <c r="C329" s="260" t="e">
        <f ca="1">([0]!P_1_8.11.1 [0]!PU)</f>
        <v>#REF!</v>
      </c>
      <c r="D329" s="260" t="e">
        <f ca="1">IF(ISTEXT(([0]!P_1_8.11.1 [0]!MT)),0,([0]!P_1_8.11.1 [0]!MT))</f>
        <v>#REF!</v>
      </c>
    </row>
    <row r="330" spans="1:4">
      <c r="A330" s="258" t="s">
        <v>332</v>
      </c>
      <c r="B330" s="259" t="e">
        <f ca="1">IF(ISTEXT(([0]!P_1_8.11.2 [0]!Qté)),0,([0]!P_1_8.11.2 [0]!Qté))</f>
        <v>#REF!</v>
      </c>
      <c r="C330" s="260" t="e">
        <f ca="1">([0]!P_1_8.11.2 [0]!PU)</f>
        <v>#REF!</v>
      </c>
      <c r="D330" s="260" t="e">
        <f ca="1">IF(ISTEXT(([0]!P_1_8.11.2 [0]!MT)),0,([0]!P_1_8.11.2 [0]!MT))</f>
        <v>#REF!</v>
      </c>
    </row>
    <row r="331" spans="1:4">
      <c r="A331" s="258" t="s">
        <v>333</v>
      </c>
      <c r="B331" s="259" t="e">
        <f ca="1">IF(ISTEXT(([0]!P_1_8.11.3 [0]!Qté)),0,([0]!P_1_8.11.3 [0]!Qté))</f>
        <v>#REF!</v>
      </c>
      <c r="C331" s="260" t="e">
        <f ca="1">([0]!P_1_8.11.3 [0]!PU)</f>
        <v>#REF!</v>
      </c>
      <c r="D331" s="260" t="e">
        <f ca="1">IF(ISTEXT(([0]!P_1_8.11.3 [0]!MT)),0,([0]!P_1_8.11.3 [0]!MT))</f>
        <v>#REF!</v>
      </c>
    </row>
    <row r="332" spans="1:4">
      <c r="A332" s="258" t="s">
        <v>334</v>
      </c>
      <c r="B332" s="259" t="e">
        <f ca="1">IF(ISTEXT(([0]!P_1_8.11.4 [0]!Qté)),0,([0]!P_1_8.11.4 [0]!Qté))</f>
        <v>#REF!</v>
      </c>
      <c r="C332" s="260" t="e">
        <f ca="1">([0]!P_1_8.11.4 [0]!PU)</f>
        <v>#REF!</v>
      </c>
      <c r="D332" s="260" t="e">
        <f ca="1">IF(ISTEXT(([0]!P_1_8.11.4 [0]!MT)),0,([0]!P_1_8.11.4 [0]!MT))</f>
        <v>#REF!</v>
      </c>
    </row>
    <row r="333" spans="1:4">
      <c r="A333" s="258" t="s">
        <v>335</v>
      </c>
      <c r="B333" s="259" t="e">
        <f ca="1">IF(ISTEXT(([0]!P_1_8.11.5 [0]!Qté)),0,([0]!P_1_8.11.5 [0]!Qté))</f>
        <v>#REF!</v>
      </c>
      <c r="C333" s="260" t="e">
        <f ca="1">([0]!P_1_8.11.5 [0]!PU)</f>
        <v>#REF!</v>
      </c>
      <c r="D333" s="260" t="e">
        <f ca="1">IF(ISTEXT(([0]!P_1_8.11.5 [0]!MT)),0,([0]!P_1_8.11.5 [0]!MT))</f>
        <v>#REF!</v>
      </c>
    </row>
    <row r="334" spans="1:4">
      <c r="A334" s="258" t="s">
        <v>336</v>
      </c>
      <c r="B334" s="259" t="e">
        <f ca="1">IF(ISTEXT(([0]!P_1_8.11.6 [0]!Qté)),0,([0]!P_1_8.11.6 [0]!Qté))</f>
        <v>#REF!</v>
      </c>
      <c r="C334" s="260" t="e">
        <f ca="1">([0]!P_1_8.11.6 [0]!PU)</f>
        <v>#REF!</v>
      </c>
      <c r="D334" s="260" t="e">
        <f ca="1">IF(ISTEXT(([0]!P_1_8.11.6 [0]!MT)),0,([0]!P_1_8.11.6 [0]!MT))</f>
        <v>#REF!</v>
      </c>
    </row>
    <row r="335" spans="1:4">
      <c r="A335" s="258" t="s">
        <v>337</v>
      </c>
      <c r="B335" s="259" t="e">
        <f ca="1">IF(ISTEXT(([0]!P_1_8.11.7 [0]!Qté)),0,([0]!P_1_8.11.7 [0]!Qté))</f>
        <v>#REF!</v>
      </c>
      <c r="C335" s="260" t="e">
        <f ca="1">([0]!P_1_8.11.7 [0]!PU)</f>
        <v>#REF!</v>
      </c>
      <c r="D335" s="260" t="e">
        <f ca="1">IF(ISTEXT(([0]!P_1_8.11.7 [0]!MT)),0,([0]!P_1_8.11.7 [0]!MT))</f>
        <v>#REF!</v>
      </c>
    </row>
    <row r="336" spans="1:4">
      <c r="A336" s="258" t="s">
        <v>338</v>
      </c>
      <c r="B336" s="259" t="e">
        <f ca="1">IF(ISTEXT(([0]!P_1_8.11.8 [0]!Qté)),0,([0]!P_1_8.11.8 [0]!Qté))</f>
        <v>#REF!</v>
      </c>
      <c r="C336" s="260" t="e">
        <f ca="1">([0]!P_1_8.11.8 [0]!PU)</f>
        <v>#REF!</v>
      </c>
      <c r="D336" s="260" t="e">
        <f ca="1">IF(ISTEXT(([0]!P_1_8.11.8 [0]!MT)),0,([0]!P_1_8.11.8 [0]!MT))</f>
        <v>#REF!</v>
      </c>
    </row>
    <row r="337" spans="1:4">
      <c r="A337" s="258" t="s">
        <v>339</v>
      </c>
      <c r="B337" s="259" t="e">
        <f ca="1">IF(ISTEXT(([0]!P_1_8.11.9 [0]!Qté)),0,([0]!P_1_8.11.9 [0]!Qté))</f>
        <v>#REF!</v>
      </c>
      <c r="C337" s="260" t="e">
        <f ca="1">([0]!P_1_8.11.9 [0]!PU)</f>
        <v>#REF!</v>
      </c>
      <c r="D337" s="260" t="e">
        <f ca="1">IF(ISTEXT(([0]!P_1_8.11.9 [0]!MT)),0,([0]!P_1_8.11.9 [0]!MT))</f>
        <v>#REF!</v>
      </c>
    </row>
    <row r="338" spans="1:4">
      <c r="A338" s="258" t="s">
        <v>340</v>
      </c>
      <c r="B338" s="259" t="e">
        <f ca="1">IF(ISTEXT(([0]!P_1_8.11.10 [0]!Qté)),0,([0]!P_1_8.11.10 [0]!Qté))</f>
        <v>#REF!</v>
      </c>
      <c r="C338" s="260" t="e">
        <f ca="1">([0]!P_1_8.11.10 [0]!PU)</f>
        <v>#REF!</v>
      </c>
      <c r="D338" s="260" t="e">
        <f ca="1">IF(ISTEXT(([0]!P_1_8.11.10 [0]!MT)),0,([0]!P_1_8.11.10 [0]!MT))</f>
        <v>#REF!</v>
      </c>
    </row>
    <row r="339" spans="1:4">
      <c r="A339" s="258" t="s">
        <v>341</v>
      </c>
      <c r="B339" s="259" t="e">
        <f ca="1">IF(ISTEXT(([0]!P_1_8.11.11 [0]!Qté)),0,([0]!P_1_8.11.11 [0]!Qté))</f>
        <v>#REF!</v>
      </c>
      <c r="C339" s="260" t="e">
        <f ca="1">([0]!P_1_8.11.11 [0]!PU)</f>
        <v>#REF!</v>
      </c>
      <c r="D339" s="260" t="e">
        <f ca="1">IF(ISTEXT(([0]!P_1_8.11.11 [0]!MT)),0,([0]!P_1_8.11.11 [0]!MT))</f>
        <v>#REF!</v>
      </c>
    </row>
    <row r="340" spans="1:4">
      <c r="A340" s="258" t="s">
        <v>342</v>
      </c>
      <c r="B340" s="259" t="e">
        <f ca="1">IF(ISTEXT(([0]!P_1_8.11.12 [0]!Qté)),0,([0]!P_1_8.11.12 [0]!Qté))</f>
        <v>#REF!</v>
      </c>
      <c r="C340" s="260" t="e">
        <f ca="1">([0]!P_1_8.11.12 [0]!PU)</f>
        <v>#REF!</v>
      </c>
      <c r="D340" s="260" t="e">
        <f ca="1">IF(ISTEXT(([0]!P_1_8.11.12 [0]!MT)),0,([0]!P_1_8.11.12 [0]!MT))</f>
        <v>#REF!</v>
      </c>
    </row>
    <row r="341" spans="1:4">
      <c r="A341" s="258" t="s">
        <v>343</v>
      </c>
      <c r="B341" s="259" t="e">
        <f ca="1">IF(ISTEXT(([0]!P_1_8.12.1 [0]!Qté)),0,([0]!P_1_8.12.1 [0]!Qté))</f>
        <v>#REF!</v>
      </c>
      <c r="C341" s="260" t="e">
        <f ca="1">([0]!P_1_8.12.1 [0]!PU)</f>
        <v>#REF!</v>
      </c>
      <c r="D341" s="260" t="e">
        <f ca="1">IF(ISTEXT(([0]!P_1_8.12.1 [0]!MT)),0,([0]!P_1_8.12.1 [0]!MT))</f>
        <v>#REF!</v>
      </c>
    </row>
    <row r="342" spans="1:4">
      <c r="A342" s="258" t="s">
        <v>344</v>
      </c>
      <c r="B342" s="259" t="e">
        <f ca="1">IF(ISTEXT(([0]!P_1_8.12.2 [0]!Qté)),0,([0]!P_1_8.12.2 [0]!Qté))</f>
        <v>#REF!</v>
      </c>
      <c r="C342" s="260" t="e">
        <f ca="1">([0]!P_1_8.12.2 [0]!PU)</f>
        <v>#REF!</v>
      </c>
      <c r="D342" s="260" t="e">
        <f ca="1">IF(ISTEXT(([0]!P_1_8.12.2 [0]!MT)),0,([0]!P_1_8.12.2 [0]!MT))</f>
        <v>#REF!</v>
      </c>
    </row>
    <row r="343" spans="1:4">
      <c r="A343" s="258" t="s">
        <v>345</v>
      </c>
      <c r="B343" s="259" t="e">
        <f ca="1">IF(ISTEXT(([0]!P_1_8.12.3 [0]!Qté)),0,([0]!P_1_8.12.3 [0]!Qté))</f>
        <v>#REF!</v>
      </c>
      <c r="C343" s="260" t="e">
        <f ca="1">([0]!P_1_8.12.3 [0]!PU)</f>
        <v>#REF!</v>
      </c>
      <c r="D343" s="260" t="e">
        <f ca="1">IF(ISTEXT(([0]!P_1_8.12.3 [0]!MT)),0,([0]!P_1_8.12.3 [0]!MT))</f>
        <v>#REF!</v>
      </c>
    </row>
    <row r="344" spans="1:4">
      <c r="A344" s="258" t="s">
        <v>346</v>
      </c>
      <c r="B344" s="259" t="e">
        <f ca="1">IF(ISTEXT(([0]!P_1_8.12.4 [0]!Qté)),0,([0]!P_1_8.12.4 [0]!Qté))</f>
        <v>#REF!</v>
      </c>
      <c r="C344" s="260" t="e">
        <f ca="1">([0]!P_1_8.12.4 [0]!PU)</f>
        <v>#REF!</v>
      </c>
      <c r="D344" s="260" t="e">
        <f ca="1">IF(ISTEXT(([0]!P_1_8.12.4 [0]!MT)),0,([0]!P_1_8.12.4 [0]!MT))</f>
        <v>#REF!</v>
      </c>
    </row>
    <row r="345" spans="1:4">
      <c r="A345" s="258" t="s">
        <v>347</v>
      </c>
      <c r="B345" s="259" t="e">
        <f ca="1">IF(ISTEXT(([0]!P_1_8.13.1 [0]!Qté)),0,([0]!P_1_8.13.1 [0]!Qté))</f>
        <v>#REF!</v>
      </c>
      <c r="C345" s="260" t="e">
        <f ca="1">([0]!P_1_8.13.1 [0]!PU)</f>
        <v>#REF!</v>
      </c>
      <c r="D345" s="260" t="e">
        <f ca="1">IF(ISTEXT(([0]!P_1_8.13.1 [0]!MT)),0,([0]!P_1_8.13.1 [0]!MT))</f>
        <v>#REF!</v>
      </c>
    </row>
    <row r="346" spans="1:4">
      <c r="A346" s="258" t="s">
        <v>348</v>
      </c>
      <c r="B346" s="259" t="e">
        <f ca="1">IF(ISTEXT(([0]!P_1_8.13.2 [0]!Qté)),0,([0]!P_1_8.13.2 [0]!Qté))</f>
        <v>#REF!</v>
      </c>
      <c r="C346" s="260" t="e">
        <f ca="1">([0]!P_1_8.13.2 [0]!PU)</f>
        <v>#REF!</v>
      </c>
      <c r="D346" s="260" t="e">
        <f ca="1">IF(ISTEXT(([0]!P_1_8.13.2 [0]!MT)),0,([0]!P_1_8.13.2 [0]!MT))</f>
        <v>#REF!</v>
      </c>
    </row>
    <row r="347" spans="1:4">
      <c r="A347" s="258" t="s">
        <v>349</v>
      </c>
      <c r="B347" s="259" t="e">
        <f ca="1">IF(ISTEXT(([0]!P_1_8.13.3 [0]!Qté)),0,([0]!P_1_8.13.3 [0]!Qté))</f>
        <v>#REF!</v>
      </c>
      <c r="C347" s="260" t="e">
        <f ca="1">([0]!P_1_8.13.3 [0]!PU)</f>
        <v>#REF!</v>
      </c>
      <c r="D347" s="260" t="e">
        <f ca="1">IF(ISTEXT(([0]!P_1_8.13.3 [0]!MT)),0,([0]!P_1_8.13.3 [0]!MT))</f>
        <v>#REF!</v>
      </c>
    </row>
    <row r="348" spans="1:4">
      <c r="A348" s="258" t="s">
        <v>350</v>
      </c>
      <c r="B348" s="259" t="e">
        <f ca="1">IF(ISTEXT(([0]!P_1_8.13.4 [0]!Qté)),0,([0]!P_1_8.13.4 [0]!Qté))</f>
        <v>#REF!</v>
      </c>
      <c r="C348" s="260" t="e">
        <f ca="1">([0]!P_1_8.13.4 [0]!PU)</f>
        <v>#REF!</v>
      </c>
      <c r="D348" s="260" t="e">
        <f ca="1">IF(ISTEXT(([0]!P_1_8.13.4 [0]!MT)),0,([0]!P_1_8.13.4 [0]!MT))</f>
        <v>#REF!</v>
      </c>
    </row>
    <row r="349" spans="1:4">
      <c r="A349" s="258" t="s">
        <v>351</v>
      </c>
      <c r="B349" s="259" t="e">
        <f ca="1">IF(ISTEXT(([0]!P_1_8.14.1 [0]!Qté)),0,([0]!P_1_8.14.1 [0]!Qté))</f>
        <v>#REF!</v>
      </c>
      <c r="C349" s="260" t="e">
        <f ca="1">([0]!P_1_8.14.1 [0]!PU)</f>
        <v>#REF!</v>
      </c>
      <c r="D349" s="260" t="e">
        <f ca="1">IF(ISTEXT(([0]!P_1_8.14.1 [0]!MT)),0,([0]!P_1_8.14.1 [0]!MT))</f>
        <v>#REF!</v>
      </c>
    </row>
    <row r="350" spans="1:4">
      <c r="A350" s="258" t="s">
        <v>352</v>
      </c>
      <c r="B350" s="259" t="e">
        <f ca="1">IF(ISTEXT(([0]!P_1_8.14.2 [0]!Qté)),0,([0]!P_1_8.14.2 [0]!Qté))</f>
        <v>#REF!</v>
      </c>
      <c r="C350" s="260" t="e">
        <f ca="1">([0]!P_1_8.14.2 [0]!PU)</f>
        <v>#REF!</v>
      </c>
      <c r="D350" s="260" t="e">
        <f ca="1">IF(ISTEXT(([0]!P_1_8.14.2 [0]!MT)),0,([0]!P_1_8.14.2 [0]!MT))</f>
        <v>#REF!</v>
      </c>
    </row>
    <row r="351" spans="1:4">
      <c r="A351" s="258" t="s">
        <v>353</v>
      </c>
      <c r="B351" s="259" t="e">
        <f ca="1">IF(ISTEXT(([0]!P_1_8.14.3 [0]!Qté)),0,([0]!P_1_8.14.3 [0]!Qté))</f>
        <v>#REF!</v>
      </c>
      <c r="C351" s="260" t="e">
        <f ca="1">([0]!P_1_8.14.3 [0]!PU)</f>
        <v>#REF!</v>
      </c>
      <c r="D351" s="260" t="e">
        <f ca="1">IF(ISTEXT(([0]!P_1_8.14.3 [0]!MT)),0,([0]!P_1_8.14.3 [0]!MT))</f>
        <v>#REF!</v>
      </c>
    </row>
    <row r="352" spans="1:4">
      <c r="A352" s="258" t="s">
        <v>354</v>
      </c>
      <c r="B352" s="259" t="e">
        <f ca="1">IF(ISTEXT(([0]!P_1_8.14.4 [0]!Qté)),0,([0]!P_1_8.14.4 [0]!Qté))</f>
        <v>#REF!</v>
      </c>
      <c r="C352" s="260" t="e">
        <f ca="1">([0]!P_1_8.14.4 [0]!PU)</f>
        <v>#REF!</v>
      </c>
      <c r="D352" s="260" t="e">
        <f ca="1">IF(ISTEXT(([0]!P_1_8.14.4 [0]!MT)),0,([0]!P_1_8.14.4 [0]!MT))</f>
        <v>#REF!</v>
      </c>
    </row>
    <row r="353" spans="1:4">
      <c r="A353" s="258" t="s">
        <v>355</v>
      </c>
      <c r="B353" s="259" t="e">
        <f ca="1">IF(ISTEXT(([0]!P_1_8.15.1 [0]!Qté)),0,([0]!P_1_8.15.1 [0]!Qté))</f>
        <v>#REF!</v>
      </c>
      <c r="C353" s="260" t="e">
        <f ca="1">([0]!P_1_8.15.1 [0]!PU)</f>
        <v>#REF!</v>
      </c>
      <c r="D353" s="260" t="e">
        <f ca="1">IF(ISTEXT(([0]!P_1_8.15.1 [0]!MT)),0,([0]!P_1_8.15.1 [0]!MT))</f>
        <v>#REF!</v>
      </c>
    </row>
    <row r="354" spans="1:4">
      <c r="A354" s="258" t="s">
        <v>356</v>
      </c>
      <c r="B354" s="259" t="e">
        <f ca="1">IF(ISTEXT(([0]!P_1_8.15.2 [0]!Qté)),0,([0]!P_1_8.15.2 [0]!Qté))</f>
        <v>#REF!</v>
      </c>
      <c r="C354" s="260" t="e">
        <f ca="1">([0]!P_1_8.15.2 [0]!PU)</f>
        <v>#REF!</v>
      </c>
      <c r="D354" s="260" t="e">
        <f ca="1">IF(ISTEXT(([0]!P_1_8.15.2 [0]!MT)),0,([0]!P_1_8.15.2 [0]!MT))</f>
        <v>#REF!</v>
      </c>
    </row>
    <row r="355" spans="1:4">
      <c r="A355" s="258" t="s">
        <v>357</v>
      </c>
      <c r="B355" s="259" t="e">
        <f ca="1">IF(ISTEXT(([0]!P_1_8.15.3 [0]!Qté)),0,([0]!P_1_8.15.3 [0]!Qté))</f>
        <v>#REF!</v>
      </c>
      <c r="C355" s="260" t="e">
        <f ca="1">([0]!P_1_8.15.3 [0]!PU)</f>
        <v>#REF!</v>
      </c>
      <c r="D355" s="260" t="e">
        <f ca="1">IF(ISTEXT(([0]!P_1_8.15.3 [0]!MT)),0,([0]!P_1_8.15.3 [0]!MT))</f>
        <v>#REF!</v>
      </c>
    </row>
    <row r="356" spans="1:4">
      <c r="A356" s="258" t="s">
        <v>358</v>
      </c>
      <c r="B356" s="259" t="e">
        <f ca="1">IF(ISTEXT(([0]!P_1_8.15.4 [0]!Qté)),0,([0]!P_1_8.15.4 [0]!Qté))</f>
        <v>#REF!</v>
      </c>
      <c r="C356" s="260" t="e">
        <f ca="1">([0]!P_1_8.15.4 [0]!PU)</f>
        <v>#REF!</v>
      </c>
      <c r="D356" s="260" t="e">
        <f ca="1">IF(ISTEXT(([0]!P_1_8.15.4 [0]!MT)),0,([0]!P_1_8.15.4 [0]!MT))</f>
        <v>#REF!</v>
      </c>
    </row>
    <row r="357" spans="1:4">
      <c r="A357" s="258" t="s">
        <v>359</v>
      </c>
      <c r="B357" s="259" t="e">
        <f ca="1">IF(ISTEXT(([0]!P_1_8.15.5 [0]!Qté)),0,([0]!P_1_8.15.5 [0]!Qté))</f>
        <v>#REF!</v>
      </c>
      <c r="C357" s="260" t="e">
        <f ca="1">([0]!P_1_8.15.5 [0]!PU)</f>
        <v>#REF!</v>
      </c>
      <c r="D357" s="260" t="e">
        <f ca="1">IF(ISTEXT(([0]!P_1_8.15.5 [0]!MT)),0,([0]!P_1_8.15.5 [0]!MT))</f>
        <v>#REF!</v>
      </c>
    </row>
    <row r="358" spans="1:4">
      <c r="A358" s="258" t="s">
        <v>360</v>
      </c>
      <c r="B358" s="259" t="e">
        <f ca="1">IF(ISTEXT(([0]!P_1_8.15.6 [0]!Qté)),0,([0]!P_1_8.15.6 [0]!Qté))</f>
        <v>#REF!</v>
      </c>
      <c r="C358" s="260" t="e">
        <f ca="1">([0]!P_1_8.15.6 [0]!PU)</f>
        <v>#REF!</v>
      </c>
      <c r="D358" s="260" t="e">
        <f ca="1">IF(ISTEXT(([0]!P_1_8.15.6 [0]!MT)),0,([0]!P_1_8.15.6 [0]!MT))</f>
        <v>#REF!</v>
      </c>
    </row>
    <row r="359" spans="1:4">
      <c r="A359" s="258" t="s">
        <v>361</v>
      </c>
      <c r="B359" s="259" t="e">
        <f ca="1">IF(ISTEXT(([0]!P_1_8.15.7 [0]!Qté)),0,([0]!P_1_8.15.7 [0]!Qté))</f>
        <v>#REF!</v>
      </c>
      <c r="C359" s="260" t="e">
        <f ca="1">([0]!P_1_8.15.7 [0]!PU)</f>
        <v>#REF!</v>
      </c>
      <c r="D359" s="260" t="e">
        <f ca="1">IF(ISTEXT(([0]!P_1_8.15.7 [0]!MT)),0,([0]!P_1_8.15.7 [0]!MT))</f>
        <v>#REF!</v>
      </c>
    </row>
    <row r="360" spans="1:4">
      <c r="A360" s="258" t="s">
        <v>362</v>
      </c>
      <c r="B360" s="259" t="e">
        <f ca="1">IF(ISTEXT(([0]!P_1_8.16.1 [0]!Qté)),0,([0]!P_1_8.16.1 [0]!Qté))</f>
        <v>#REF!</v>
      </c>
      <c r="C360" s="260" t="e">
        <f ca="1">([0]!P_1_8.16.1 [0]!PU)</f>
        <v>#REF!</v>
      </c>
      <c r="D360" s="260" t="e">
        <f ca="1">IF(ISTEXT(([0]!P_1_8.16.1 [0]!MT)),0,([0]!P_1_8.16.1 [0]!MT))</f>
        <v>#REF!</v>
      </c>
    </row>
    <row r="361" spans="1:4">
      <c r="A361" s="258" t="s">
        <v>363</v>
      </c>
      <c r="B361" s="259" t="e">
        <f ca="1">IF(ISTEXT(([0]!P_1_8.16.2 [0]!Qté)),0,([0]!P_1_8.16.2 [0]!Qté))</f>
        <v>#REF!</v>
      </c>
      <c r="C361" s="260" t="e">
        <f ca="1">([0]!P_1_8.16.2 [0]!PU)</f>
        <v>#REF!</v>
      </c>
      <c r="D361" s="260" t="e">
        <f ca="1">IF(ISTEXT(([0]!P_1_8.16.2 [0]!MT)),0,([0]!P_1_8.16.2 [0]!MT))</f>
        <v>#REF!</v>
      </c>
    </row>
    <row r="362" spans="1:4">
      <c r="A362" s="258" t="s">
        <v>364</v>
      </c>
      <c r="B362" s="259" t="e">
        <f ca="1">IF(ISTEXT(([0]!P_1_8.16.3 [0]!Qté)),0,([0]!P_1_8.16.3 [0]!Qté))</f>
        <v>#REF!</v>
      </c>
      <c r="C362" s="260" t="e">
        <f ca="1">([0]!P_1_8.16.3 [0]!PU)</f>
        <v>#REF!</v>
      </c>
      <c r="D362" s="260" t="e">
        <f ca="1">IF(ISTEXT(([0]!P_1_8.16.3 [0]!MT)),0,([0]!P_1_8.16.3 [0]!MT))</f>
        <v>#REF!</v>
      </c>
    </row>
    <row r="363" spans="1:4">
      <c r="A363" s="258" t="s">
        <v>365</v>
      </c>
      <c r="B363" s="259" t="e">
        <f ca="1">IF(ISTEXT(([0]!P_1_8.16.4 [0]!Qté)),0,([0]!P_1_8.16.4 [0]!Qté))</f>
        <v>#REF!</v>
      </c>
      <c r="C363" s="260" t="e">
        <f ca="1">([0]!P_1_8.16.4 [0]!PU)</f>
        <v>#REF!</v>
      </c>
      <c r="D363" s="260" t="e">
        <f ca="1">IF(ISTEXT(([0]!P_1_8.16.4 [0]!MT)),0,([0]!P_1_8.16.4 [0]!MT))</f>
        <v>#REF!</v>
      </c>
    </row>
    <row r="364" spans="1:4">
      <c r="A364" s="258" t="s">
        <v>366</v>
      </c>
      <c r="B364" s="259" t="e">
        <f ca="1">IF(ISTEXT(([0]!P_1_8.17.1 [0]!Qté)),0,([0]!P_1_8.17.1 [0]!Qté))</f>
        <v>#REF!</v>
      </c>
      <c r="C364" s="260" t="e">
        <f ca="1">([0]!P_1_8.17.1 [0]!PU)</f>
        <v>#REF!</v>
      </c>
      <c r="D364" s="260" t="e">
        <f ca="1">IF(ISTEXT(([0]!P_1_8.17.1 [0]!MT)),0,([0]!P_1_8.17.1 [0]!MT))</f>
        <v>#REF!</v>
      </c>
    </row>
    <row r="365" spans="1:4">
      <c r="A365" s="258" t="s">
        <v>367</v>
      </c>
      <c r="B365" s="259" t="e">
        <f ca="1">IF(ISTEXT(([0]!P_1_8.17.2 [0]!Qté)),0,([0]!P_1_8.17.2 [0]!Qté))</f>
        <v>#REF!</v>
      </c>
      <c r="C365" s="260" t="e">
        <f ca="1">([0]!P_1_8.17.2 [0]!PU)</f>
        <v>#REF!</v>
      </c>
      <c r="D365" s="260" t="e">
        <f ca="1">IF(ISTEXT(([0]!P_1_8.17.2 [0]!MT)),0,([0]!P_1_8.17.2 [0]!MT))</f>
        <v>#REF!</v>
      </c>
    </row>
    <row r="366" spans="1:4">
      <c r="A366" s="258" t="s">
        <v>368</v>
      </c>
      <c r="B366" s="259" t="e">
        <f ca="1">IF(ISTEXT(([0]!P_1_8.17.3 [0]!Qté)),0,([0]!P_1_8.17.3 [0]!Qté))</f>
        <v>#REF!</v>
      </c>
      <c r="C366" s="260" t="e">
        <f ca="1">([0]!P_1_8.17.3 [0]!PU)</f>
        <v>#REF!</v>
      </c>
      <c r="D366" s="260" t="e">
        <f ca="1">IF(ISTEXT(([0]!P_1_8.17.3 [0]!MT)),0,([0]!P_1_8.17.3 [0]!MT))</f>
        <v>#REF!</v>
      </c>
    </row>
    <row r="367" spans="1:4">
      <c r="A367" s="258" t="s">
        <v>369</v>
      </c>
      <c r="B367" s="259" t="e">
        <f ca="1">IF(ISTEXT(([0]!P_1_8.17.4 [0]!Qté)),0,([0]!P_1_8.17.4 [0]!Qté))</f>
        <v>#REF!</v>
      </c>
      <c r="C367" s="260" t="e">
        <f ca="1">([0]!P_1_8.17.4 [0]!PU)</f>
        <v>#REF!</v>
      </c>
      <c r="D367" s="260" t="e">
        <f ca="1">IF(ISTEXT(([0]!P_1_8.17.4 [0]!MT)),0,([0]!P_1_8.17.4 [0]!MT))</f>
        <v>#REF!</v>
      </c>
    </row>
    <row r="368" spans="1:4">
      <c r="A368" s="258" t="s">
        <v>370</v>
      </c>
      <c r="B368" s="259" t="e">
        <f ca="1">IF(ISTEXT(([0]!P_1_8.17.5 [0]!Qté)),0,([0]!P_1_8.17.5 [0]!Qté))</f>
        <v>#REF!</v>
      </c>
      <c r="C368" s="260" t="e">
        <f ca="1">([0]!P_1_8.17.5 [0]!PU)</f>
        <v>#REF!</v>
      </c>
      <c r="D368" s="260" t="e">
        <f ca="1">IF(ISTEXT(([0]!P_1_8.17.5 [0]!MT)),0,([0]!P_1_8.17.5 [0]!MT))</f>
        <v>#REF!</v>
      </c>
    </row>
    <row r="369" spans="1:4">
      <c r="A369" s="258" t="s">
        <v>371</v>
      </c>
      <c r="B369" s="259" t="e">
        <f ca="1">IF(ISTEXT(([0]!P_1_8.17.6 [0]!Qté)),0,([0]!P_1_8.17.6 [0]!Qté))</f>
        <v>#REF!</v>
      </c>
      <c r="C369" s="260" t="e">
        <f ca="1">([0]!P_1_8.17.6 [0]!PU)</f>
        <v>#REF!</v>
      </c>
      <c r="D369" s="260" t="e">
        <f ca="1">IF(ISTEXT(([0]!P_1_8.17.6 [0]!MT)),0,([0]!P_1_8.17.6 [0]!MT))</f>
        <v>#REF!</v>
      </c>
    </row>
    <row r="370" spans="1:4">
      <c r="A370" s="258" t="s">
        <v>372</v>
      </c>
      <c r="B370" s="259" t="e">
        <f ca="1">IF(ISTEXT(([0]!P_1_8.17.7 [0]!Qté)),0,([0]!P_1_8.17.7 [0]!Qté))</f>
        <v>#REF!</v>
      </c>
      <c r="C370" s="260" t="e">
        <f ca="1">([0]!P_1_8.17.7 [0]!PU)</f>
        <v>#REF!</v>
      </c>
      <c r="D370" s="260" t="e">
        <f ca="1">IF(ISTEXT(([0]!P_1_8.17.7 [0]!MT)),0,([0]!P_1_8.17.7 [0]!MT))</f>
        <v>#REF!</v>
      </c>
    </row>
    <row r="371" spans="1:4">
      <c r="A371" s="258" t="s">
        <v>373</v>
      </c>
      <c r="B371" s="259" t="e">
        <f ca="1">IF(ISTEXT(([0]!P_1_8.17.8 [0]!Qté)),0,([0]!P_1_8.17.8 [0]!Qté))</f>
        <v>#REF!</v>
      </c>
      <c r="C371" s="260" t="e">
        <f ca="1">([0]!P_1_8.17.8 [0]!PU)</f>
        <v>#REF!</v>
      </c>
      <c r="D371" s="260" t="e">
        <f ca="1">IF(ISTEXT(([0]!P_1_8.17.8 [0]!MT)),0,([0]!P_1_8.17.8 [0]!MT))</f>
        <v>#REF!</v>
      </c>
    </row>
    <row r="372" spans="1:4">
      <c r="A372" s="258" t="s">
        <v>374</v>
      </c>
      <c r="B372" s="259" t="e">
        <f ca="1">IF(ISTEXT(([0]!P_1_8.17.9 [0]!Qté)),0,([0]!P_1_8.17.9 [0]!Qté))</f>
        <v>#REF!</v>
      </c>
      <c r="C372" s="260" t="e">
        <f ca="1">([0]!P_1_8.17.9 [0]!PU)</f>
        <v>#REF!</v>
      </c>
      <c r="D372" s="260" t="e">
        <f ca="1">IF(ISTEXT(([0]!P_1_8.17.9 [0]!MT)),0,([0]!P_1_8.17.9 [0]!MT))</f>
        <v>#REF!</v>
      </c>
    </row>
    <row r="373" spans="1:4">
      <c r="A373" s="258" t="s">
        <v>375</v>
      </c>
      <c r="B373" s="259" t="e">
        <f ca="1">IF(ISTEXT(([0]!P_1_8.17.10 [0]!Qté)),0,([0]!P_1_8.17.10 [0]!Qté))</f>
        <v>#REF!</v>
      </c>
      <c r="C373" s="260" t="e">
        <f ca="1">([0]!P_1_8.17.10 [0]!PU)</f>
        <v>#REF!</v>
      </c>
      <c r="D373" s="260" t="e">
        <f ca="1">IF(ISTEXT(([0]!P_1_8.17.10 [0]!MT)),0,([0]!P_1_8.17.10 [0]!MT))</f>
        <v>#REF!</v>
      </c>
    </row>
    <row r="374" spans="1:4">
      <c r="A374" s="258" t="s">
        <v>376</v>
      </c>
      <c r="B374" s="259" t="e">
        <f ca="1">IF(ISTEXT(([0]!P_1_8.18.1 [0]!Qté)),0,([0]!P_1_8.18.1 [0]!Qté))</f>
        <v>#REF!</v>
      </c>
      <c r="C374" s="260" t="e">
        <f ca="1">([0]!P_1_8.18.1 [0]!PU)</f>
        <v>#REF!</v>
      </c>
      <c r="D374" s="260" t="e">
        <f ca="1">IF(ISTEXT(([0]!P_1_8.18.1 [0]!MT)),0,([0]!P_1_8.18.1 [0]!MT))</f>
        <v>#REF!</v>
      </c>
    </row>
    <row r="375" spans="1:4">
      <c r="A375" s="258" t="s">
        <v>377</v>
      </c>
      <c r="B375" s="259" t="e">
        <f ca="1">IF(ISTEXT(([0]!P_1_8.18.2 [0]!Qté)),0,([0]!P_1_8.18.2 [0]!Qté))</f>
        <v>#REF!</v>
      </c>
      <c r="C375" s="260" t="e">
        <f ca="1">([0]!P_1_8.18.2 [0]!PU)</f>
        <v>#REF!</v>
      </c>
      <c r="D375" s="260" t="e">
        <f ca="1">IF(ISTEXT(([0]!P_1_8.18.2 [0]!MT)),0,([0]!P_1_8.18.2 [0]!MT))</f>
        <v>#REF!</v>
      </c>
    </row>
    <row r="376" spans="1:4">
      <c r="A376" s="258" t="s">
        <v>378</v>
      </c>
      <c r="B376" s="259" t="e">
        <f ca="1">IF(ISTEXT(([0]!P_1_8.18.3 [0]!Qté)),0,([0]!P_1_8.18.3 [0]!Qté))</f>
        <v>#REF!</v>
      </c>
      <c r="C376" s="260" t="e">
        <f ca="1">([0]!P_1_8.18.3 [0]!PU)</f>
        <v>#REF!</v>
      </c>
      <c r="D376" s="260" t="e">
        <f ca="1">IF(ISTEXT(([0]!P_1_8.18.3 [0]!MT)),0,([0]!P_1_8.18.3 [0]!MT))</f>
        <v>#REF!</v>
      </c>
    </row>
    <row r="377" spans="1:4">
      <c r="A377" s="258" t="s">
        <v>379</v>
      </c>
      <c r="B377" s="259" t="e">
        <f ca="1">IF(ISTEXT(([0]!P_1_8.18.4 [0]!Qté)),0,([0]!P_1_8.18.4 [0]!Qté))</f>
        <v>#REF!</v>
      </c>
      <c r="C377" s="260" t="e">
        <f ca="1">([0]!P_1_8.18.4 [0]!PU)</f>
        <v>#REF!</v>
      </c>
      <c r="D377" s="260" t="e">
        <f ca="1">IF(ISTEXT(([0]!P_1_8.18.4 [0]!MT)),0,([0]!P_1_8.18.4 [0]!MT))</f>
        <v>#REF!</v>
      </c>
    </row>
    <row r="378" spans="1:4">
      <c r="A378" s="258" t="s">
        <v>380</v>
      </c>
      <c r="B378" s="259" t="e">
        <f ca="1">IF(ISTEXT(([0]!P_1_8.18.5 [0]!Qté)),0,([0]!P_1_8.18.5 [0]!Qté))</f>
        <v>#REF!</v>
      </c>
      <c r="C378" s="260" t="e">
        <f ca="1">([0]!P_1_8.18.5 [0]!PU)</f>
        <v>#REF!</v>
      </c>
      <c r="D378" s="260" t="e">
        <f ca="1">IF(ISTEXT(([0]!P_1_8.18.5 [0]!MT)),0,([0]!P_1_8.18.5 [0]!MT))</f>
        <v>#REF!</v>
      </c>
    </row>
    <row r="379" spans="1:4">
      <c r="A379" s="258" t="s">
        <v>381</v>
      </c>
      <c r="B379" s="259" t="e">
        <f ca="1">IF(ISTEXT(([0]!P_1_8.18.6 [0]!Qté)),0,([0]!P_1_8.18.6 [0]!Qté))</f>
        <v>#REF!</v>
      </c>
      <c r="C379" s="260" t="e">
        <f ca="1">([0]!P_1_8.18.6 [0]!PU)</f>
        <v>#REF!</v>
      </c>
      <c r="D379" s="260" t="e">
        <f ca="1">IF(ISTEXT(([0]!P_1_8.18.6 [0]!MT)),0,([0]!P_1_8.18.6 [0]!MT))</f>
        <v>#REF!</v>
      </c>
    </row>
    <row r="380" spans="1:4">
      <c r="A380" s="258" t="s">
        <v>382</v>
      </c>
      <c r="B380" s="259" t="e">
        <f ca="1">IF(ISTEXT(([0]!P_1_8.18.7 [0]!Qté)),0,([0]!P_1_8.18.7 [0]!Qté))</f>
        <v>#REF!</v>
      </c>
      <c r="C380" s="260" t="e">
        <f ca="1">([0]!P_1_8.18.7 [0]!PU)</f>
        <v>#REF!</v>
      </c>
      <c r="D380" s="260" t="e">
        <f ca="1">IF(ISTEXT(([0]!P_1_8.18.7 [0]!MT)),0,([0]!P_1_8.18.7 [0]!MT))</f>
        <v>#REF!</v>
      </c>
    </row>
    <row r="381" spans="1:4">
      <c r="A381" s="258" t="s">
        <v>383</v>
      </c>
      <c r="B381" s="259" t="e">
        <f ca="1">IF(ISTEXT(([0]!P_1_8.18.8 [0]!Qté)),0,([0]!P_1_8.18.8 [0]!Qté))</f>
        <v>#REF!</v>
      </c>
      <c r="C381" s="260" t="e">
        <f ca="1">([0]!P_1_8.18.8 [0]!PU)</f>
        <v>#REF!</v>
      </c>
      <c r="D381" s="260" t="e">
        <f ca="1">IF(ISTEXT(([0]!P_1_8.18.8 [0]!MT)),0,([0]!P_1_8.18.8 [0]!MT))</f>
        <v>#REF!</v>
      </c>
    </row>
    <row r="382" spans="1:4">
      <c r="A382" s="258" t="s">
        <v>384</v>
      </c>
      <c r="B382" s="259" t="e">
        <f ca="1">IF(ISTEXT(([0]!P_1_8.18.9 [0]!Qté)),0,([0]!P_1_8.18.9 [0]!Qté))</f>
        <v>#REF!</v>
      </c>
      <c r="C382" s="260" t="e">
        <f ca="1">([0]!P_1_8.18.9 [0]!PU)</f>
        <v>#REF!</v>
      </c>
      <c r="D382" s="260" t="e">
        <f ca="1">IF(ISTEXT(([0]!P_1_8.18.9 [0]!MT)),0,([0]!P_1_8.18.9 [0]!MT))</f>
        <v>#REF!</v>
      </c>
    </row>
    <row r="383" spans="1:4">
      <c r="A383" s="258" t="s">
        <v>385</v>
      </c>
      <c r="B383" s="259" t="e">
        <f ca="1">IF(ISTEXT(([0]!P_1_8.18.10 [0]!Qté)),0,([0]!P_1_8.18.10 [0]!Qté))</f>
        <v>#REF!</v>
      </c>
      <c r="C383" s="260" t="e">
        <f ca="1">([0]!P_1_8.18.10 [0]!PU)</f>
        <v>#REF!</v>
      </c>
      <c r="D383" s="260" t="e">
        <f ca="1">IF(ISTEXT(([0]!P_1_8.18.10 [0]!MT)),0,([0]!P_1_8.18.10 [0]!MT))</f>
        <v>#REF!</v>
      </c>
    </row>
    <row r="384" spans="1:4">
      <c r="A384" s="258" t="s">
        <v>386</v>
      </c>
      <c r="B384" s="259" t="e">
        <f ca="1">IF(ISTEXT(([0]!P_1_8.19.1 [0]!Qté)),0,([0]!P_1_8.19.1 [0]!Qté))</f>
        <v>#REF!</v>
      </c>
      <c r="C384" s="260" t="e">
        <f ca="1">([0]!P_1_8.19.1 [0]!PU)</f>
        <v>#REF!</v>
      </c>
      <c r="D384" s="260" t="e">
        <f ca="1">IF(ISTEXT(([0]!P_1_8.19.1 [0]!MT)),0,([0]!P_1_8.19.1 [0]!MT))</f>
        <v>#REF!</v>
      </c>
    </row>
    <row r="385" spans="1:4">
      <c r="A385" s="258" t="s">
        <v>387</v>
      </c>
      <c r="B385" s="259" t="e">
        <f ca="1">IF(ISTEXT(([0]!P_1_8.19.2 [0]!Qté)),0,([0]!P_1_8.19.2 [0]!Qté))</f>
        <v>#REF!</v>
      </c>
      <c r="C385" s="260" t="e">
        <f ca="1">([0]!P_1_8.19.2 [0]!PU)</f>
        <v>#REF!</v>
      </c>
      <c r="D385" s="260" t="e">
        <f ca="1">IF(ISTEXT(([0]!P_1_8.19.2 [0]!MT)),0,([0]!P_1_8.19.2 [0]!MT))</f>
        <v>#REF!</v>
      </c>
    </row>
    <row r="386" spans="1:4">
      <c r="A386" s="258" t="s">
        <v>388</v>
      </c>
      <c r="B386" s="259" t="e">
        <f ca="1">IF(ISTEXT(([0]!P_1_8.19.3 [0]!Qté)),0,([0]!P_1_8.19.3 [0]!Qté))</f>
        <v>#REF!</v>
      </c>
      <c r="C386" s="260" t="e">
        <f ca="1">([0]!P_1_8.19.3 [0]!PU)</f>
        <v>#REF!</v>
      </c>
      <c r="D386" s="260" t="e">
        <f ca="1">IF(ISTEXT(([0]!P_1_8.19.3 [0]!MT)),0,([0]!P_1_8.19.3 [0]!MT))</f>
        <v>#REF!</v>
      </c>
    </row>
    <row r="387" spans="1:4">
      <c r="A387" s="258" t="s">
        <v>389</v>
      </c>
      <c r="B387" s="259" t="e">
        <f ca="1">IF(ISTEXT(([0]!P_1_8.19.4 [0]!Qté)),0,([0]!P_1_8.19.4 [0]!Qté))</f>
        <v>#REF!</v>
      </c>
      <c r="C387" s="260" t="e">
        <f ca="1">([0]!P_1_8.19.4 [0]!PU)</f>
        <v>#REF!</v>
      </c>
      <c r="D387" s="260" t="e">
        <f ca="1">IF(ISTEXT(([0]!P_1_8.19.4 [0]!MT)),0,([0]!P_1_8.19.4 [0]!MT))</f>
        <v>#REF!</v>
      </c>
    </row>
    <row r="388" spans="1:4">
      <c r="A388" s="258" t="s">
        <v>390</v>
      </c>
      <c r="B388" s="259" t="e">
        <f ca="1">IF(ISTEXT(([0]!P_1_8.19.5 [0]!Qté)),0,([0]!P_1_8.19.5 [0]!Qté))</f>
        <v>#REF!</v>
      </c>
      <c r="C388" s="260" t="e">
        <f ca="1">([0]!P_1_8.19.5 [0]!PU)</f>
        <v>#REF!</v>
      </c>
      <c r="D388" s="260" t="e">
        <f ca="1">IF(ISTEXT(([0]!P_1_8.19.5 [0]!MT)),0,([0]!P_1_8.19.5 [0]!MT))</f>
        <v>#REF!</v>
      </c>
    </row>
    <row r="389" spans="1:4">
      <c r="A389" s="258" t="s">
        <v>391</v>
      </c>
      <c r="B389" s="259" t="e">
        <f ca="1">IF(ISTEXT(([0]!P_1_8.19.6 [0]!Qté)),0,([0]!P_1_8.19.6 [0]!Qté))</f>
        <v>#REF!</v>
      </c>
      <c r="C389" s="260" t="e">
        <f ca="1">([0]!P_1_8.19.6 [0]!PU)</f>
        <v>#REF!</v>
      </c>
      <c r="D389" s="260" t="e">
        <f ca="1">IF(ISTEXT(([0]!P_1_8.19.6 [0]!MT)),0,([0]!P_1_8.19.6 [0]!MT))</f>
        <v>#REF!</v>
      </c>
    </row>
    <row r="390" spans="1:4">
      <c r="A390" s="258" t="s">
        <v>392</v>
      </c>
      <c r="B390" s="259" t="e">
        <f ca="1">IF(ISTEXT(([0]!P_1_8.20.1 [0]!Qté)),0,([0]!P_1_8.20.1 [0]!Qté))</f>
        <v>#REF!</v>
      </c>
      <c r="C390" s="260" t="e">
        <f ca="1">([0]!P_1_8.20.1 [0]!PU)</f>
        <v>#REF!</v>
      </c>
      <c r="D390" s="260" t="e">
        <f ca="1">IF(ISTEXT(([0]!P_1_8.20.1 [0]!MT)),0,([0]!P_1_8.20.1 [0]!MT))</f>
        <v>#REF!</v>
      </c>
    </row>
    <row r="391" spans="1:4">
      <c r="A391" s="258" t="s">
        <v>393</v>
      </c>
      <c r="B391" s="259" t="e">
        <f ca="1">IF(ISTEXT(([0]!P_1_8.20.2 [0]!Qté)),0,([0]!P_1_8.20.2 [0]!Qté))</f>
        <v>#REF!</v>
      </c>
      <c r="C391" s="260" t="e">
        <f ca="1">([0]!P_1_8.20.2 [0]!PU)</f>
        <v>#REF!</v>
      </c>
      <c r="D391" s="260" t="e">
        <f ca="1">IF(ISTEXT(([0]!P_1_8.20.2 [0]!MT)),0,([0]!P_1_8.20.2 [0]!MT))</f>
        <v>#REF!</v>
      </c>
    </row>
    <row r="392" spans="1:4">
      <c r="A392" s="258" t="s">
        <v>394</v>
      </c>
      <c r="B392" s="259" t="e">
        <f ca="1">IF(ISTEXT(([0]!P_1_8.20.3 [0]!Qté)),0,([0]!P_1_8.20.3 [0]!Qté))</f>
        <v>#REF!</v>
      </c>
      <c r="C392" s="260" t="e">
        <f ca="1">([0]!P_1_8.20.3 [0]!PU)</f>
        <v>#REF!</v>
      </c>
      <c r="D392" s="260" t="e">
        <f ca="1">IF(ISTEXT(([0]!P_1_8.20.3 [0]!MT)),0,([0]!P_1_8.20.3 [0]!MT))</f>
        <v>#REF!</v>
      </c>
    </row>
    <row r="393" spans="1:4">
      <c r="A393" s="258" t="s">
        <v>395</v>
      </c>
      <c r="B393" s="259" t="e">
        <f ca="1">IF(ISTEXT(([0]!P_1_8.20.4 [0]!Qté)),0,([0]!P_1_8.20.4 [0]!Qté))</f>
        <v>#REF!</v>
      </c>
      <c r="C393" s="260" t="e">
        <f ca="1">([0]!P_1_8.20.4 [0]!PU)</f>
        <v>#REF!</v>
      </c>
      <c r="D393" s="260" t="e">
        <f ca="1">IF(ISTEXT(([0]!P_1_8.20.4 [0]!MT)),0,([0]!P_1_8.20.4 [0]!MT))</f>
        <v>#REF!</v>
      </c>
    </row>
    <row r="394" spans="1:4">
      <c r="A394" s="258" t="s">
        <v>396</v>
      </c>
      <c r="B394" s="259" t="e">
        <f ca="1">IF(ISTEXT(([0]!P_1_8.20.5 [0]!Qté)),0,([0]!P_1_8.20.5 [0]!Qté))</f>
        <v>#REF!</v>
      </c>
      <c r="C394" s="260" t="e">
        <f ca="1">([0]!P_1_8.20.5 [0]!PU)</f>
        <v>#REF!</v>
      </c>
      <c r="D394" s="260" t="e">
        <f ca="1">IF(ISTEXT(([0]!P_1_8.20.5 [0]!MT)),0,([0]!P_1_8.20.5 [0]!MT))</f>
        <v>#REF!</v>
      </c>
    </row>
    <row r="395" spans="1:4">
      <c r="A395" s="258" t="s">
        <v>397</v>
      </c>
      <c r="B395" s="259" t="e">
        <f ca="1">IF(ISTEXT(([0]!P_1_8.20.6 [0]!Qté)),0,([0]!P_1_8.20.6 [0]!Qté))</f>
        <v>#REF!</v>
      </c>
      <c r="C395" s="260" t="e">
        <f ca="1">([0]!P_1_8.20.6 [0]!PU)</f>
        <v>#REF!</v>
      </c>
      <c r="D395" s="260" t="e">
        <f ca="1">IF(ISTEXT(([0]!P_1_8.20.6 [0]!MT)),0,([0]!P_1_8.20.6 [0]!MT))</f>
        <v>#REF!</v>
      </c>
    </row>
    <row r="396" spans="1:4">
      <c r="A396" s="258" t="s">
        <v>398</v>
      </c>
      <c r="B396" s="259" t="e">
        <f ca="1">IF(ISTEXT(([0]!P_1_8.21.1 [0]!Qté)),0,([0]!P_1_8.21.1 [0]!Qté))</f>
        <v>#REF!</v>
      </c>
      <c r="C396" s="260" t="e">
        <f ca="1">([0]!P_1_8.21.1 [0]!PU)</f>
        <v>#REF!</v>
      </c>
      <c r="D396" s="260" t="e">
        <f ca="1">IF(ISTEXT(([0]!P_1_8.21.1 [0]!MT)),0,([0]!P_1_8.21.1 [0]!MT))</f>
        <v>#REF!</v>
      </c>
    </row>
    <row r="397" spans="1:4">
      <c r="A397" s="258" t="s">
        <v>399</v>
      </c>
      <c r="B397" s="259" t="e">
        <f ca="1">IF(ISTEXT(([0]!P_1_8.21.2 [0]!Qté)),0,([0]!P_1_8.21.2 [0]!Qté))</f>
        <v>#REF!</v>
      </c>
      <c r="C397" s="260" t="e">
        <f ca="1">([0]!P_1_8.21.2 [0]!PU)</f>
        <v>#REF!</v>
      </c>
      <c r="D397" s="260" t="e">
        <f ca="1">IF(ISTEXT(([0]!P_1_8.21.2 [0]!MT)),0,([0]!P_1_8.21.2 [0]!MT))</f>
        <v>#REF!</v>
      </c>
    </row>
    <row r="398" spans="1:4">
      <c r="A398" s="258" t="s">
        <v>400</v>
      </c>
      <c r="B398" s="259" t="e">
        <f ca="1">IF(ISTEXT(([0]!P_1_8.21.3 [0]!Qté)),0,([0]!P_1_8.21.3 [0]!Qté))</f>
        <v>#REF!</v>
      </c>
      <c r="C398" s="260" t="e">
        <f ca="1">([0]!P_1_8.21.3 [0]!PU)</f>
        <v>#REF!</v>
      </c>
      <c r="D398" s="260" t="e">
        <f ca="1">IF(ISTEXT(([0]!P_1_8.21.3 [0]!MT)),0,([0]!P_1_8.21.3 [0]!MT))</f>
        <v>#REF!</v>
      </c>
    </row>
    <row r="399" spans="1:4">
      <c r="A399" s="258" t="s">
        <v>401</v>
      </c>
      <c r="B399" s="259" t="e">
        <f ca="1">IF(ISTEXT(([0]!P_1_8.21.4 [0]!Qté)),0,([0]!P_1_8.21.4 [0]!Qté))</f>
        <v>#REF!</v>
      </c>
      <c r="C399" s="260" t="e">
        <f ca="1">([0]!P_1_8.21.4 [0]!PU)</f>
        <v>#REF!</v>
      </c>
      <c r="D399" s="260" t="e">
        <f ca="1">IF(ISTEXT(([0]!P_1_8.21.4 [0]!MT)),0,([0]!P_1_8.21.4 [0]!MT))</f>
        <v>#REF!</v>
      </c>
    </row>
    <row r="400" spans="1:4">
      <c r="A400" s="258" t="s">
        <v>402</v>
      </c>
      <c r="B400" s="259" t="e">
        <f ca="1">IF(ISTEXT(([0]!P_1_8.22.1 [0]!Qté)),0,([0]!P_1_8.22.1 [0]!Qté))</f>
        <v>#REF!</v>
      </c>
      <c r="C400" s="260" t="e">
        <f ca="1">([0]!P_1_8.22.1 [0]!PU)</f>
        <v>#REF!</v>
      </c>
      <c r="D400" s="260" t="e">
        <f ca="1">IF(ISTEXT(([0]!P_1_8.22.1 [0]!MT)),0,([0]!P_1_8.22.1 [0]!MT))</f>
        <v>#REF!</v>
      </c>
    </row>
    <row r="401" spans="1:4">
      <c r="A401" s="258" t="s">
        <v>403</v>
      </c>
      <c r="B401" s="259" t="e">
        <f ca="1">IF(ISTEXT(([0]!P_1_8.22.2 [0]!Qté)),0,([0]!P_1_8.22.2 [0]!Qté))</f>
        <v>#REF!</v>
      </c>
      <c r="C401" s="260" t="e">
        <f ca="1">([0]!P_1_8.22.2 [0]!PU)</f>
        <v>#REF!</v>
      </c>
      <c r="D401" s="260" t="e">
        <f ca="1">IF(ISTEXT(([0]!P_1_8.22.2 [0]!MT)),0,([0]!P_1_8.22.2 [0]!MT))</f>
        <v>#REF!</v>
      </c>
    </row>
    <row r="402" spans="1:4">
      <c r="A402" s="258" t="s">
        <v>404</v>
      </c>
      <c r="B402" s="259" t="e">
        <f ca="1">IF(ISTEXT(([0]!P_1_8.22.3 [0]!Qté)),0,([0]!P_1_8.22.3 [0]!Qté))</f>
        <v>#REF!</v>
      </c>
      <c r="C402" s="260" t="e">
        <f ca="1">([0]!P_1_8.22.3 [0]!PU)</f>
        <v>#REF!</v>
      </c>
      <c r="D402" s="260" t="e">
        <f ca="1">IF(ISTEXT(([0]!P_1_8.22.3 [0]!MT)),0,([0]!P_1_8.22.3 [0]!MT))</f>
        <v>#REF!</v>
      </c>
    </row>
    <row r="403" spans="1:4">
      <c r="A403" s="258" t="s">
        <v>405</v>
      </c>
      <c r="B403" s="259" t="e">
        <f ca="1">IF(ISTEXT(([0]!P_1_8.22.4 [0]!Qté)),0,([0]!P_1_8.22.4 [0]!Qté))</f>
        <v>#REF!</v>
      </c>
      <c r="C403" s="260" t="e">
        <f ca="1">([0]!P_1_8.22.4 [0]!PU)</f>
        <v>#REF!</v>
      </c>
      <c r="D403" s="260" t="e">
        <f ca="1">IF(ISTEXT(([0]!P_1_8.22.4 [0]!MT)),0,([0]!P_1_8.22.4 [0]!MT))</f>
        <v>#REF!</v>
      </c>
    </row>
    <row r="404" spans="1:4">
      <c r="A404" s="258" t="s">
        <v>406</v>
      </c>
      <c r="B404" s="259" t="e">
        <f ca="1">IF(ISTEXT(([0]!P_1_8.22.5 [0]!Qté)),0,([0]!P_1_8.22.5 [0]!Qté))</f>
        <v>#REF!</v>
      </c>
      <c r="C404" s="260" t="e">
        <f ca="1">([0]!P_1_8.22.5 [0]!PU)</f>
        <v>#REF!</v>
      </c>
      <c r="D404" s="260" t="e">
        <f ca="1">IF(ISTEXT(([0]!P_1_8.22.5 [0]!MT)),0,([0]!P_1_8.22.5 [0]!MT))</f>
        <v>#REF!</v>
      </c>
    </row>
    <row r="405" spans="1:4">
      <c r="A405" s="258" t="s">
        <v>407</v>
      </c>
      <c r="B405" s="259" t="e">
        <f ca="1">IF(ISTEXT(([0]!P_1_8.23.1 [0]!Qté)),0,([0]!P_1_8.23.1 [0]!Qté))</f>
        <v>#REF!</v>
      </c>
      <c r="C405" s="260" t="e">
        <f ca="1">([0]!P_1_8.23.1 [0]!PU)</f>
        <v>#REF!</v>
      </c>
      <c r="D405" s="260" t="e">
        <f ca="1">IF(ISTEXT(([0]!P_1_8.23.1 [0]!MT)),0,([0]!P_1_8.23.1 [0]!MT))</f>
        <v>#REF!</v>
      </c>
    </row>
    <row r="406" spans="1:4">
      <c r="A406" s="258" t="s">
        <v>408</v>
      </c>
      <c r="B406" s="259" t="e">
        <f ca="1">IF(ISTEXT(([0]!P_1_8.23.2 [0]!Qté)),0,([0]!P_1_8.23.2 [0]!Qté))</f>
        <v>#REF!</v>
      </c>
      <c r="C406" s="260" t="e">
        <f ca="1">([0]!P_1_8.23.2 [0]!PU)</f>
        <v>#REF!</v>
      </c>
      <c r="D406" s="260" t="e">
        <f ca="1">IF(ISTEXT(([0]!P_1_8.23.2 [0]!MT)),0,([0]!P_1_8.23.2 [0]!MT))</f>
        <v>#REF!</v>
      </c>
    </row>
    <row r="407" spans="1:4">
      <c r="A407" s="258" t="s">
        <v>409</v>
      </c>
      <c r="B407" s="259" t="e">
        <f ca="1">IF(ISTEXT(([0]!P_1_8.23.3 [0]!Qté)),0,([0]!P_1_8.23.3 [0]!Qté))</f>
        <v>#REF!</v>
      </c>
      <c r="C407" s="260" t="e">
        <f ca="1">([0]!P_1_8.23.3 [0]!PU)</f>
        <v>#REF!</v>
      </c>
      <c r="D407" s="260" t="e">
        <f ca="1">IF(ISTEXT(([0]!P_1_8.23.3 [0]!MT)),0,([0]!P_1_8.23.3 [0]!MT))</f>
        <v>#REF!</v>
      </c>
    </row>
    <row r="408" spans="1:4">
      <c r="A408" s="258" t="s">
        <v>410</v>
      </c>
      <c r="B408" s="259" t="e">
        <f ca="1">IF(ISTEXT(([0]!P_1_8.23.4 [0]!Qté)),0,([0]!P_1_8.23.4 [0]!Qté))</f>
        <v>#REF!</v>
      </c>
      <c r="C408" s="260" t="e">
        <f ca="1">([0]!P_1_8.23.4 [0]!PU)</f>
        <v>#REF!</v>
      </c>
      <c r="D408" s="260" t="e">
        <f ca="1">IF(ISTEXT(([0]!P_1_8.23.4 [0]!MT)),0,([0]!P_1_8.23.4 [0]!MT))</f>
        <v>#REF!</v>
      </c>
    </row>
    <row r="409" spans="1:4">
      <c r="A409" s="258" t="s">
        <v>411</v>
      </c>
      <c r="B409" s="259" t="e">
        <f ca="1">IF(ISTEXT(([0]!P_1_8.24.1 [0]!Qté)),0,([0]!P_1_8.24.1 [0]!Qté))</f>
        <v>#REF!</v>
      </c>
      <c r="C409" s="260" t="e">
        <f ca="1">([0]!P_1_8.24.1 [0]!PU)</f>
        <v>#REF!</v>
      </c>
      <c r="D409" s="260" t="e">
        <f ca="1">IF(ISTEXT(([0]!P_1_8.24.1 [0]!MT)),0,([0]!P_1_8.24.1 [0]!MT))</f>
        <v>#REF!</v>
      </c>
    </row>
    <row r="410" spans="1:4">
      <c r="A410" s="258" t="s">
        <v>412</v>
      </c>
      <c r="B410" s="259" t="e">
        <f ca="1">IF(ISTEXT(([0]!P_1_8.24.2 [0]!Qté)),0,([0]!P_1_8.24.2 [0]!Qté))</f>
        <v>#REF!</v>
      </c>
      <c r="C410" s="260" t="e">
        <f ca="1">([0]!P_1_8.24.2 [0]!PU)</f>
        <v>#REF!</v>
      </c>
      <c r="D410" s="260" t="e">
        <f ca="1">IF(ISTEXT(([0]!P_1_8.24.2 [0]!MT)),0,([0]!P_1_8.24.2 [0]!MT))</f>
        <v>#REF!</v>
      </c>
    </row>
    <row r="411" spans="1:4">
      <c r="A411" s="258" t="s">
        <v>413</v>
      </c>
      <c r="B411" s="259" t="e">
        <f ca="1">IF(ISTEXT(([0]!P_1_8.24.3 [0]!Qté)),0,([0]!P_1_8.24.3 [0]!Qté))</f>
        <v>#REF!</v>
      </c>
      <c r="C411" s="260" t="e">
        <f ca="1">([0]!P_1_8.24.3 [0]!PU)</f>
        <v>#REF!</v>
      </c>
      <c r="D411" s="260" t="e">
        <f ca="1">IF(ISTEXT(([0]!P_1_8.24.3 [0]!MT)),0,([0]!P_1_8.24.3 [0]!MT))</f>
        <v>#REF!</v>
      </c>
    </row>
    <row r="412" spans="1:4">
      <c r="A412" s="258" t="s">
        <v>414</v>
      </c>
      <c r="B412" s="259" t="e">
        <f ca="1">IF(ISTEXT(([0]!P_1_8.24.4 [0]!Qté)),0,([0]!P_1_8.24.4 [0]!Qté))</f>
        <v>#REF!</v>
      </c>
      <c r="C412" s="260" t="e">
        <f ca="1">([0]!P_1_8.24.4 [0]!PU)</f>
        <v>#REF!</v>
      </c>
      <c r="D412" s="260" t="e">
        <f ca="1">IF(ISTEXT(([0]!P_1_8.24.4 [0]!MT)),0,([0]!P_1_8.24.4 [0]!MT))</f>
        <v>#REF!</v>
      </c>
    </row>
    <row r="413" spans="1:4">
      <c r="A413" s="258" t="s">
        <v>415</v>
      </c>
      <c r="B413" s="259" t="e">
        <f ca="1">IF(ISTEXT(([0]!P_1_8.25.1 [0]!Qté)),0,([0]!P_1_8.25.1 [0]!Qté))</f>
        <v>#REF!</v>
      </c>
      <c r="C413" s="260" t="e">
        <f ca="1">([0]!P_1_8.25.1 [0]!PU)</f>
        <v>#REF!</v>
      </c>
      <c r="D413" s="260" t="e">
        <f ca="1">IF(ISTEXT(([0]!P_1_8.25.1 [0]!MT)),0,([0]!P_1_8.25.1 [0]!MT))</f>
        <v>#REF!</v>
      </c>
    </row>
    <row r="414" spans="1:4">
      <c r="A414" s="258" t="s">
        <v>416</v>
      </c>
      <c r="B414" s="259" t="e">
        <f ca="1">IF(ISTEXT(([0]!P_1_8.25.2 [0]!Qté)),0,([0]!P_1_8.25.2 [0]!Qté))</f>
        <v>#REF!</v>
      </c>
      <c r="C414" s="260" t="e">
        <f ca="1">([0]!P_1_8.25.2 [0]!PU)</f>
        <v>#REF!</v>
      </c>
      <c r="D414" s="260" t="e">
        <f ca="1">IF(ISTEXT(([0]!P_1_8.25.2 [0]!MT)),0,([0]!P_1_8.25.2 [0]!MT))</f>
        <v>#REF!</v>
      </c>
    </row>
    <row r="415" spans="1:4">
      <c r="A415" s="258" t="s">
        <v>417</v>
      </c>
      <c r="B415" s="259" t="e">
        <f ca="1">IF(ISTEXT(([0]!P_1_8.25.3 [0]!Qté)),0,([0]!P_1_8.25.3 [0]!Qté))</f>
        <v>#REF!</v>
      </c>
      <c r="C415" s="260" t="e">
        <f ca="1">([0]!P_1_8.25.3 [0]!PU)</f>
        <v>#REF!</v>
      </c>
      <c r="D415" s="260" t="e">
        <f ca="1">IF(ISTEXT(([0]!P_1_8.25.3 [0]!MT)),0,([0]!P_1_8.25.3 [0]!MT))</f>
        <v>#REF!</v>
      </c>
    </row>
    <row r="416" spans="1:4">
      <c r="A416" s="258" t="s">
        <v>418</v>
      </c>
      <c r="B416" s="259" t="e">
        <f ca="1">IF(ISTEXT(([0]!P_1_8.25.4 [0]!Qté)),0,([0]!P_1_8.25.4 [0]!Qté))</f>
        <v>#REF!</v>
      </c>
      <c r="C416" s="260" t="e">
        <f ca="1">([0]!P_1_8.25.4 [0]!PU)</f>
        <v>#REF!</v>
      </c>
      <c r="D416" s="260" t="e">
        <f ca="1">IF(ISTEXT(([0]!P_1_8.25.4 [0]!MT)),0,([0]!P_1_8.25.4 [0]!MT))</f>
        <v>#REF!</v>
      </c>
    </row>
    <row r="417" spans="1:4">
      <c r="A417" s="258" t="s">
        <v>419</v>
      </c>
      <c r="B417" s="259" t="e">
        <f ca="1">IF(ISTEXT(([0]!P_1_8.26.1 [0]!Qté)),0,([0]!P_1_8.26.1 [0]!Qté))</f>
        <v>#REF!</v>
      </c>
      <c r="C417" s="260" t="e">
        <f ca="1">([0]!P_1_8.26.1 [0]!PU)</f>
        <v>#REF!</v>
      </c>
      <c r="D417" s="260" t="e">
        <f ca="1">IF(ISTEXT(([0]!P_1_8.26.1 [0]!MT)),0,([0]!P_1_8.26.1 [0]!MT))</f>
        <v>#REF!</v>
      </c>
    </row>
    <row r="418" spans="1:4">
      <c r="A418" s="258" t="s">
        <v>420</v>
      </c>
      <c r="B418" s="259" t="e">
        <f ca="1">IF(ISTEXT(([0]!P_1_8.26.2 [0]!Qté)),0,([0]!P_1_8.26.2 [0]!Qté))</f>
        <v>#REF!</v>
      </c>
      <c r="C418" s="260" t="e">
        <f ca="1">([0]!P_1_8.26.2 [0]!PU)</f>
        <v>#REF!</v>
      </c>
      <c r="D418" s="260" t="e">
        <f ca="1">IF(ISTEXT(([0]!P_1_8.26.2 [0]!MT)),0,([0]!P_1_8.26.2 [0]!MT))</f>
        <v>#REF!</v>
      </c>
    </row>
    <row r="419" spans="1:4">
      <c r="A419" s="258" t="s">
        <v>421</v>
      </c>
      <c r="B419" s="259" t="e">
        <f ca="1">IF(ISTEXT(([0]!P_1_8.26.3 [0]!Qté)),0,([0]!P_1_8.26.3 [0]!Qté))</f>
        <v>#REF!</v>
      </c>
      <c r="C419" s="260" t="e">
        <f ca="1">([0]!P_1_8.26.3 [0]!PU)</f>
        <v>#REF!</v>
      </c>
      <c r="D419" s="260" t="e">
        <f ca="1">IF(ISTEXT(([0]!P_1_8.26.3 [0]!MT)),0,([0]!P_1_8.26.3 [0]!MT))</f>
        <v>#REF!</v>
      </c>
    </row>
    <row r="420" spans="1:4">
      <c r="A420" s="258" t="s">
        <v>422</v>
      </c>
      <c r="B420" s="259" t="e">
        <f ca="1">IF(ISTEXT(([0]!P_1_8.26.4 [0]!Qté)),0,([0]!P_1_8.26.4 [0]!Qté))</f>
        <v>#REF!</v>
      </c>
      <c r="C420" s="260" t="e">
        <f ca="1">([0]!P_1_8.26.4 [0]!PU)</f>
        <v>#REF!</v>
      </c>
      <c r="D420" s="260" t="e">
        <f ca="1">IF(ISTEXT(([0]!P_1_8.26.4 [0]!MT)),0,([0]!P_1_8.26.4 [0]!MT))</f>
        <v>#REF!</v>
      </c>
    </row>
    <row r="421" spans="1:4">
      <c r="A421" s="258" t="s">
        <v>423</v>
      </c>
      <c r="B421" s="259" t="e">
        <f ca="1">IF(ISTEXT(([0]!P_1_8.26.5 [0]!Qté)),0,([0]!P_1_8.26.5 [0]!Qté))</f>
        <v>#REF!</v>
      </c>
      <c r="C421" s="260" t="e">
        <f ca="1">([0]!P_1_8.26.5 [0]!PU)</f>
        <v>#REF!</v>
      </c>
      <c r="D421" s="260" t="e">
        <f ca="1">IF(ISTEXT(([0]!P_1_8.26.5 [0]!MT)),0,([0]!P_1_8.26.5 [0]!MT))</f>
        <v>#REF!</v>
      </c>
    </row>
    <row r="422" spans="1:4">
      <c r="A422" s="258" t="s">
        <v>424</v>
      </c>
      <c r="B422" s="259" t="e">
        <f ca="1">IF(ISTEXT(([0]!P_1_8.26.6 [0]!Qté)),0,([0]!P_1_8.26.6 [0]!Qté))</f>
        <v>#REF!</v>
      </c>
      <c r="C422" s="260" t="e">
        <f ca="1">([0]!P_1_8.26.6 [0]!PU)</f>
        <v>#REF!</v>
      </c>
      <c r="D422" s="260" t="e">
        <f ca="1">IF(ISTEXT(([0]!P_1_8.26.6 [0]!MT)),0,([0]!P_1_8.26.6 [0]!MT))</f>
        <v>#REF!</v>
      </c>
    </row>
    <row r="423" spans="1:4">
      <c r="A423" s="258" t="s">
        <v>425</v>
      </c>
      <c r="B423" s="259" t="e">
        <f ca="1">IF(ISTEXT(([0]!P_1_8.27.1 [0]!Qté)),0,([0]!P_1_8.27.1 [0]!Qté))</f>
        <v>#REF!</v>
      </c>
      <c r="C423" s="260" t="e">
        <f ca="1">([0]!P_1_8.27.1 [0]!PU)</f>
        <v>#REF!</v>
      </c>
      <c r="D423" s="260" t="e">
        <f ca="1">IF(ISTEXT(([0]!P_1_8.27.1 [0]!MT)),0,([0]!P_1_8.27.1 [0]!MT))</f>
        <v>#REF!</v>
      </c>
    </row>
    <row r="424" spans="1:4">
      <c r="A424" s="258" t="s">
        <v>426</v>
      </c>
      <c r="B424" s="259" t="e">
        <f ca="1">IF(ISTEXT(([0]!P_1_8.27.2 [0]!Qté)),0,([0]!P_1_8.27.2 [0]!Qté))</f>
        <v>#REF!</v>
      </c>
      <c r="C424" s="260" t="e">
        <f ca="1">([0]!P_1_8.27.2 [0]!PU)</f>
        <v>#REF!</v>
      </c>
      <c r="D424" s="260" t="e">
        <f ca="1">IF(ISTEXT(([0]!P_1_8.27.2 [0]!MT)),0,([0]!P_1_8.27.2 [0]!MT))</f>
        <v>#REF!</v>
      </c>
    </row>
    <row r="425" spans="1:4">
      <c r="A425" s="258" t="s">
        <v>427</v>
      </c>
      <c r="B425" s="259" t="e">
        <f ca="1">IF(ISTEXT(([0]!P_1_8.27.3 [0]!Qté)),0,([0]!P_1_8.27.3 [0]!Qté))</f>
        <v>#REF!</v>
      </c>
      <c r="C425" s="260" t="e">
        <f ca="1">([0]!P_1_8.27.3 [0]!PU)</f>
        <v>#REF!</v>
      </c>
      <c r="D425" s="260" t="e">
        <f ca="1">IF(ISTEXT(([0]!P_1_8.27.3 [0]!MT)),0,([0]!P_1_8.27.3 [0]!MT))</f>
        <v>#REF!</v>
      </c>
    </row>
    <row r="426" spans="1:4">
      <c r="A426" s="258" t="s">
        <v>428</v>
      </c>
      <c r="B426" s="259" t="e">
        <f ca="1">IF(ISTEXT(([0]!P_1_8.27.4 [0]!Qté)),0,([0]!P_1_8.27.4 [0]!Qté))</f>
        <v>#REF!</v>
      </c>
      <c r="C426" s="260" t="e">
        <f ca="1">([0]!P_1_8.27.4 [0]!PU)</f>
        <v>#REF!</v>
      </c>
      <c r="D426" s="260" t="e">
        <f ca="1">IF(ISTEXT(([0]!P_1_8.27.4 [0]!MT)),0,([0]!P_1_8.27.4 [0]!MT))</f>
        <v>#REF!</v>
      </c>
    </row>
    <row r="427" spans="1:4">
      <c r="A427" s="258" t="s">
        <v>429</v>
      </c>
      <c r="B427" s="259" t="e">
        <f ca="1">IF(ISTEXT(([0]!P_1_8.27.5 [0]!Qté)),0,([0]!P_1_8.27.5 [0]!Qté))</f>
        <v>#REF!</v>
      </c>
      <c r="C427" s="260" t="e">
        <f ca="1">([0]!P_1_8.27.5 [0]!PU)</f>
        <v>#REF!</v>
      </c>
      <c r="D427" s="260" t="e">
        <f ca="1">IF(ISTEXT(([0]!P_1_8.27.5 [0]!MT)),0,([0]!P_1_8.27.5 [0]!MT))</f>
        <v>#REF!</v>
      </c>
    </row>
    <row r="428" spans="1:4">
      <c r="A428" s="258" t="s">
        <v>430</v>
      </c>
      <c r="B428" s="259" t="e">
        <f ca="1">IF(ISTEXT(([0]!P_1_8.27.6 [0]!Qté)),0,([0]!P_1_8.27.6 [0]!Qté))</f>
        <v>#REF!</v>
      </c>
      <c r="C428" s="260" t="e">
        <f ca="1">([0]!P_1_8.27.6 [0]!PU)</f>
        <v>#REF!</v>
      </c>
      <c r="D428" s="260" t="e">
        <f ca="1">IF(ISTEXT(([0]!P_1_8.27.6 [0]!MT)),0,([0]!P_1_8.27.6 [0]!MT))</f>
        <v>#REF!</v>
      </c>
    </row>
    <row r="429" spans="1:4">
      <c r="A429" s="258" t="s">
        <v>431</v>
      </c>
      <c r="B429" s="259" t="e">
        <f ca="1">IF(ISTEXT(([0]!P_1_8.27.7 [0]!Qté)),0,([0]!P_1_8.27.7 [0]!Qté))</f>
        <v>#REF!</v>
      </c>
      <c r="C429" s="260" t="e">
        <f ca="1">([0]!P_1_8.27.7 [0]!PU)</f>
        <v>#REF!</v>
      </c>
      <c r="D429" s="260" t="e">
        <f ca="1">IF(ISTEXT(([0]!P_1_8.27.7 [0]!MT)),0,([0]!P_1_8.27.7 [0]!MT))</f>
        <v>#REF!</v>
      </c>
    </row>
    <row r="430" spans="1:4">
      <c r="A430" s="258" t="s">
        <v>432</v>
      </c>
      <c r="B430" s="259" t="e">
        <f ca="1">IF(ISTEXT(([0]!P_1_8.27.8 [0]!Qté)),0,([0]!P_1_8.27.8 [0]!Qté))</f>
        <v>#REF!</v>
      </c>
      <c r="C430" s="260" t="e">
        <f ca="1">([0]!P_1_8.27.8 [0]!PU)</f>
        <v>#REF!</v>
      </c>
      <c r="D430" s="260" t="e">
        <f ca="1">IF(ISTEXT(([0]!P_1_8.27.8 [0]!MT)),0,([0]!P_1_8.27.8 [0]!MT))</f>
        <v>#REF!</v>
      </c>
    </row>
    <row r="431" spans="1:4">
      <c r="A431" s="258" t="s">
        <v>433</v>
      </c>
      <c r="B431" s="259" t="e">
        <f ca="1">IF(ISTEXT(([0]!P_1_8.28.1 [0]!Qté)),0,([0]!P_1_8.28.1 [0]!Qté))</f>
        <v>#REF!</v>
      </c>
      <c r="C431" s="260" t="e">
        <f ca="1">([0]!P_1_8.28.1 [0]!PU)</f>
        <v>#REF!</v>
      </c>
      <c r="D431" s="260" t="e">
        <f ca="1">IF(ISTEXT(([0]!P_1_8.28.1 [0]!MT)),0,([0]!P_1_8.28.1 [0]!MT))</f>
        <v>#REF!</v>
      </c>
    </row>
    <row r="432" spans="1:4">
      <c r="A432" s="258" t="s">
        <v>434</v>
      </c>
      <c r="B432" s="259" t="e">
        <f ca="1">IF(ISTEXT(([0]!P_1_8.28.2 [0]!Qté)),0,([0]!P_1_8.28.2 [0]!Qté))</f>
        <v>#REF!</v>
      </c>
      <c r="C432" s="260" t="e">
        <f ca="1">([0]!P_1_8.28.2 [0]!PU)</f>
        <v>#REF!</v>
      </c>
      <c r="D432" s="260" t="e">
        <f ca="1">IF(ISTEXT(([0]!P_1_8.28.2 [0]!MT)),0,([0]!P_1_8.28.2 [0]!MT))</f>
        <v>#REF!</v>
      </c>
    </row>
    <row r="433" spans="1:4">
      <c r="A433" s="258" t="s">
        <v>435</v>
      </c>
      <c r="B433" s="259" t="e">
        <f ca="1">IF(ISTEXT(([0]!P_1_8.28.3 [0]!Qté)),0,([0]!P_1_8.28.3 [0]!Qté))</f>
        <v>#REF!</v>
      </c>
      <c r="C433" s="260" t="e">
        <f ca="1">([0]!P_1_8.28.3 [0]!PU)</f>
        <v>#REF!</v>
      </c>
      <c r="D433" s="260" t="e">
        <f ca="1">IF(ISTEXT(([0]!P_1_8.28.3 [0]!MT)),0,([0]!P_1_8.28.3 [0]!MT))</f>
        <v>#REF!</v>
      </c>
    </row>
    <row r="434" spans="1:4">
      <c r="A434" s="258" t="s">
        <v>436</v>
      </c>
      <c r="B434" s="259" t="e">
        <f ca="1">IF(ISTEXT(([0]!P_1_8.28.4 [0]!Qté)),0,([0]!P_1_8.28.4 [0]!Qté))</f>
        <v>#REF!</v>
      </c>
      <c r="C434" s="260" t="e">
        <f ca="1">([0]!P_1_8.28.4 [0]!PU)</f>
        <v>#REF!</v>
      </c>
      <c r="D434" s="260" t="e">
        <f ca="1">IF(ISTEXT(([0]!P_1_8.28.4 [0]!MT)),0,([0]!P_1_8.28.4 [0]!MT))</f>
        <v>#REF!</v>
      </c>
    </row>
    <row r="435" spans="1:4">
      <c r="A435" s="258" t="s">
        <v>437</v>
      </c>
      <c r="B435" s="259" t="e">
        <f ca="1">IF(ISTEXT(([0]!P_1_8.28.5 [0]!Qté)),0,([0]!P_1_8.28.5 [0]!Qté))</f>
        <v>#REF!</v>
      </c>
      <c r="C435" s="260" t="e">
        <f ca="1">([0]!P_1_8.28.5 [0]!PU)</f>
        <v>#REF!</v>
      </c>
      <c r="D435" s="260" t="e">
        <f ca="1">IF(ISTEXT(([0]!P_1_8.28.5 [0]!MT)),0,([0]!P_1_8.28.5 [0]!MT))</f>
        <v>#REF!</v>
      </c>
    </row>
    <row r="436" spans="1:4">
      <c r="A436" s="258" t="s">
        <v>438</v>
      </c>
      <c r="B436" s="259" t="e">
        <f ca="1">IF(ISTEXT(([0]!P_1_8.28.6 [0]!Qté)),0,([0]!P_1_8.28.6 [0]!Qté))</f>
        <v>#REF!</v>
      </c>
      <c r="C436" s="260" t="e">
        <f ca="1">([0]!P_1_8.28.6 [0]!PU)</f>
        <v>#REF!</v>
      </c>
      <c r="D436" s="260" t="e">
        <f ca="1">IF(ISTEXT(([0]!P_1_8.28.6 [0]!MT)),0,([0]!P_1_8.28.6 [0]!MT))</f>
        <v>#REF!</v>
      </c>
    </row>
    <row r="437" spans="1:4">
      <c r="A437" s="258" t="s">
        <v>439</v>
      </c>
      <c r="B437" s="259" t="e">
        <f ca="1">IF(ISTEXT(([0]!P_1_8.28.7 [0]!Qté)),0,([0]!P_1_8.28.7 [0]!Qté))</f>
        <v>#REF!</v>
      </c>
      <c r="C437" s="260" t="e">
        <f ca="1">([0]!P_1_8.28.7 [0]!PU)</f>
        <v>#REF!</v>
      </c>
      <c r="D437" s="260" t="e">
        <f ca="1">IF(ISTEXT(([0]!P_1_8.28.7 [0]!MT)),0,([0]!P_1_8.28.7 [0]!MT))</f>
        <v>#REF!</v>
      </c>
    </row>
    <row r="438" spans="1:4">
      <c r="A438" s="258" t="s">
        <v>440</v>
      </c>
      <c r="B438" s="259" t="e">
        <f ca="1">IF(ISTEXT(([0]!P_1_8.28.8 [0]!Qté)),0,([0]!P_1_8.28.8 [0]!Qté))</f>
        <v>#REF!</v>
      </c>
      <c r="C438" s="260" t="e">
        <f ca="1">([0]!P_1_8.28.8 [0]!PU)</f>
        <v>#REF!</v>
      </c>
      <c r="D438" s="260" t="e">
        <f ca="1">IF(ISTEXT(([0]!P_1_8.28.8 [0]!MT)),0,([0]!P_1_8.28.8 [0]!MT))</f>
        <v>#REF!</v>
      </c>
    </row>
    <row r="439" spans="1:4">
      <c r="A439" s="258" t="s">
        <v>441</v>
      </c>
      <c r="B439" s="259" t="e">
        <f ca="1">IF(ISTEXT(([0]!P_1_8.29.1 [0]!Qté)),0,([0]!P_1_8.29.1 [0]!Qté))</f>
        <v>#REF!</v>
      </c>
      <c r="C439" s="260" t="e">
        <f ca="1">([0]!P_1_8.29.1 [0]!PU)</f>
        <v>#REF!</v>
      </c>
      <c r="D439" s="260" t="e">
        <f ca="1">IF(ISTEXT(([0]!P_1_8.29.1 [0]!MT)),0,([0]!P_1_8.29.1 [0]!MT))</f>
        <v>#REF!</v>
      </c>
    </row>
    <row r="440" spans="1:4">
      <c r="A440" s="258" t="s">
        <v>442</v>
      </c>
      <c r="B440" s="259" t="e">
        <f ca="1">IF(ISTEXT(([0]!P_1_8.29.2 [0]!Qté)),0,([0]!P_1_8.29.2 [0]!Qté))</f>
        <v>#REF!</v>
      </c>
      <c r="C440" s="260" t="e">
        <f ca="1">([0]!P_1_8.29.2 [0]!PU)</f>
        <v>#REF!</v>
      </c>
      <c r="D440" s="260" t="e">
        <f ca="1">IF(ISTEXT(([0]!P_1_8.29.2 [0]!MT)),0,([0]!P_1_8.29.2 [0]!MT))</f>
        <v>#REF!</v>
      </c>
    </row>
    <row r="441" spans="1:4">
      <c r="A441" s="258" t="s">
        <v>443</v>
      </c>
      <c r="B441" s="259" t="e">
        <f ca="1">IF(ISTEXT(([0]!P_1_8.29.3 [0]!Qté)),0,([0]!P_1_8.29.3 [0]!Qté))</f>
        <v>#REF!</v>
      </c>
      <c r="C441" s="260" t="e">
        <f ca="1">([0]!P_1_8.29.3 [0]!PU)</f>
        <v>#REF!</v>
      </c>
      <c r="D441" s="260" t="e">
        <f ca="1">IF(ISTEXT(([0]!P_1_8.29.3 [0]!MT)),0,([0]!P_1_8.29.3 [0]!MT))</f>
        <v>#REF!</v>
      </c>
    </row>
    <row r="442" spans="1:4">
      <c r="A442" s="258" t="s">
        <v>444</v>
      </c>
      <c r="B442" s="259" t="e">
        <f ca="1">IF(ISTEXT(([0]!P_1_8.29.4 [0]!Qté)),0,([0]!P_1_8.29.4 [0]!Qté))</f>
        <v>#REF!</v>
      </c>
      <c r="C442" s="260" t="e">
        <f ca="1">([0]!P_1_8.29.4 [0]!PU)</f>
        <v>#REF!</v>
      </c>
      <c r="D442" s="260" t="e">
        <f ca="1">IF(ISTEXT(([0]!P_1_8.29.4 [0]!MT)),0,([0]!P_1_8.29.4 [0]!MT))</f>
        <v>#REF!</v>
      </c>
    </row>
    <row r="443" spans="1:4">
      <c r="A443" s="258" t="s">
        <v>445</v>
      </c>
      <c r="B443" s="259" t="e">
        <f ca="1">IF(ISTEXT(([0]!P_1_8.29.5 [0]!Qté)),0,([0]!P_1_8.29.5 [0]!Qté))</f>
        <v>#REF!</v>
      </c>
      <c r="C443" s="260" t="e">
        <f ca="1">([0]!P_1_8.29.5 [0]!PU)</f>
        <v>#REF!</v>
      </c>
      <c r="D443" s="260" t="e">
        <f ca="1">IF(ISTEXT(([0]!P_1_8.29.5 [0]!MT)),0,([0]!P_1_8.29.5 [0]!MT))</f>
        <v>#REF!</v>
      </c>
    </row>
    <row r="444" spans="1:4">
      <c r="A444" s="258" t="s">
        <v>446</v>
      </c>
      <c r="B444" s="259" t="e">
        <f ca="1">IF(ISTEXT(([0]!P_1_8.29.6 [0]!Qté)),0,([0]!P_1_8.29.6 [0]!Qté))</f>
        <v>#REF!</v>
      </c>
      <c r="C444" s="260" t="e">
        <f ca="1">([0]!P_1_8.29.6 [0]!PU)</f>
        <v>#REF!</v>
      </c>
      <c r="D444" s="260" t="e">
        <f ca="1">IF(ISTEXT(([0]!P_1_8.29.6 [0]!MT)),0,([0]!P_1_8.29.6 [0]!MT))</f>
        <v>#REF!</v>
      </c>
    </row>
    <row r="445" spans="1:4">
      <c r="A445" s="258" t="s">
        <v>447</v>
      </c>
      <c r="B445" s="259" t="e">
        <f ca="1">IF(ISTEXT(([0]!P_1_8.30.1 [0]!Qté)),0,([0]!P_1_8.30.1 [0]!Qté))</f>
        <v>#REF!</v>
      </c>
      <c r="C445" s="260" t="e">
        <f ca="1">([0]!P_1_8.30.1 [0]!PU)</f>
        <v>#REF!</v>
      </c>
      <c r="D445" s="260" t="e">
        <f ca="1">IF(ISTEXT(([0]!P_1_8.30.1 [0]!MT)),0,([0]!P_1_8.30.1 [0]!MT))</f>
        <v>#REF!</v>
      </c>
    </row>
    <row r="446" spans="1:4">
      <c r="A446" s="258" t="s">
        <v>448</v>
      </c>
      <c r="B446" s="259" t="e">
        <f ca="1">IF(ISTEXT(([0]!P_1_8.30.2 [0]!Qté)),0,([0]!P_1_8.30.2 [0]!Qté))</f>
        <v>#REF!</v>
      </c>
      <c r="C446" s="260" t="e">
        <f ca="1">([0]!P_1_8.30.2 [0]!PU)</f>
        <v>#REF!</v>
      </c>
      <c r="D446" s="260" t="e">
        <f ca="1">IF(ISTEXT(([0]!P_1_8.30.2 [0]!MT)),0,([0]!P_1_8.30.2 [0]!MT))</f>
        <v>#REF!</v>
      </c>
    </row>
    <row r="447" spans="1:4">
      <c r="A447" s="258" t="s">
        <v>449</v>
      </c>
      <c r="B447" s="259" t="e">
        <f ca="1">IF(ISTEXT(([0]!P_1_8.30.3 [0]!Qté)),0,([0]!P_1_8.30.3 [0]!Qté))</f>
        <v>#REF!</v>
      </c>
      <c r="C447" s="260" t="e">
        <f ca="1">([0]!P_1_8.30.3 [0]!PU)</f>
        <v>#REF!</v>
      </c>
      <c r="D447" s="260" t="e">
        <f ca="1">IF(ISTEXT(([0]!P_1_8.30.3 [0]!MT)),0,([0]!P_1_8.30.3 [0]!MT))</f>
        <v>#REF!</v>
      </c>
    </row>
    <row r="448" spans="1:4">
      <c r="A448" s="258" t="s">
        <v>450</v>
      </c>
      <c r="B448" s="259" t="e">
        <f ca="1">IF(ISTEXT(([0]!P_1_8.30.4 [0]!Qté)),0,([0]!P_1_8.30.4 [0]!Qté))</f>
        <v>#REF!</v>
      </c>
      <c r="C448" s="260" t="e">
        <f ca="1">([0]!P_1_8.30.4 [0]!PU)</f>
        <v>#REF!</v>
      </c>
      <c r="D448" s="260" t="e">
        <f ca="1">IF(ISTEXT(([0]!P_1_8.30.4 [0]!MT)),0,([0]!P_1_8.30.4 [0]!MT))</f>
        <v>#REF!</v>
      </c>
    </row>
    <row r="449" spans="1:4">
      <c r="A449" s="258" t="s">
        <v>451</v>
      </c>
      <c r="B449" s="259" t="e">
        <f ca="1">IF(ISTEXT(([0]!P_1_8.31.1 [0]!Qté)),0,([0]!P_1_8.31.1 [0]!Qté))</f>
        <v>#REF!</v>
      </c>
      <c r="C449" s="260" t="e">
        <f ca="1">([0]!P_1_8.31.1 [0]!PU)</f>
        <v>#REF!</v>
      </c>
      <c r="D449" s="260" t="e">
        <f ca="1">IF(ISTEXT(([0]!P_1_8.31.1 [0]!MT)),0,([0]!P_1_8.31.1 [0]!MT))</f>
        <v>#REF!</v>
      </c>
    </row>
    <row r="450" spans="1:4">
      <c r="A450" s="258" t="s">
        <v>452</v>
      </c>
      <c r="B450" s="259" t="e">
        <f ca="1">IF(ISTEXT(([0]!P_1_8.31.2 [0]!Qté)),0,([0]!P_1_8.31.2 [0]!Qté))</f>
        <v>#REF!</v>
      </c>
      <c r="C450" s="260" t="e">
        <f ca="1">([0]!P_1_8.31.2 [0]!PU)</f>
        <v>#REF!</v>
      </c>
      <c r="D450" s="260" t="e">
        <f ca="1">IF(ISTEXT(([0]!P_1_8.31.2 [0]!MT)),0,([0]!P_1_8.31.2 [0]!MT))</f>
        <v>#REF!</v>
      </c>
    </row>
    <row r="451" spans="1:4">
      <c r="A451" s="258" t="s">
        <v>453</v>
      </c>
      <c r="B451" s="259" t="e">
        <f ca="1">IF(ISTEXT(([0]!P_1_8.31.3 [0]!Qté)),0,([0]!P_1_8.31.3 [0]!Qté))</f>
        <v>#REF!</v>
      </c>
      <c r="C451" s="260" t="e">
        <f ca="1">([0]!P_1_8.31.3 [0]!PU)</f>
        <v>#REF!</v>
      </c>
      <c r="D451" s="260" t="e">
        <f ca="1">IF(ISTEXT(([0]!P_1_8.31.3 [0]!MT)),0,([0]!P_1_8.31.3 [0]!MT))</f>
        <v>#REF!</v>
      </c>
    </row>
    <row r="452" spans="1:4">
      <c r="A452" s="258" t="s">
        <v>454</v>
      </c>
      <c r="B452" s="259" t="e">
        <f ca="1">IF(ISTEXT(([0]!P_1_8.31.4 [0]!Qté)),0,([0]!P_1_8.31.4 [0]!Qté))</f>
        <v>#REF!</v>
      </c>
      <c r="C452" s="260" t="e">
        <f ca="1">([0]!P_1_8.31.4 [0]!PU)</f>
        <v>#REF!</v>
      </c>
      <c r="D452" s="260" t="e">
        <f ca="1">IF(ISTEXT(([0]!P_1_8.31.4 [0]!MT)),0,([0]!P_1_8.31.4 [0]!MT))</f>
        <v>#REF!</v>
      </c>
    </row>
    <row r="453" spans="1:4">
      <c r="A453" s="258" t="s">
        <v>455</v>
      </c>
      <c r="B453" s="259" t="e">
        <f ca="1">IF(ISTEXT(([0]!P_1_8.31.5 [0]!Qté)),0,([0]!P_1_8.31.5 [0]!Qté))</f>
        <v>#REF!</v>
      </c>
      <c r="C453" s="260" t="e">
        <f ca="1">([0]!P_1_8.31.5 [0]!PU)</f>
        <v>#REF!</v>
      </c>
      <c r="D453" s="260" t="e">
        <f ca="1">IF(ISTEXT(([0]!P_1_8.31.5 [0]!MT)),0,([0]!P_1_8.31.5 [0]!MT))</f>
        <v>#REF!</v>
      </c>
    </row>
    <row r="454" spans="1:4">
      <c r="A454" s="258" t="s">
        <v>456</v>
      </c>
      <c r="B454" s="259" t="e">
        <f ca="1">IF(ISTEXT(([0]!P_1_8.31.6 [0]!Qté)),0,([0]!P_1_8.31.6 [0]!Qté))</f>
        <v>#REF!</v>
      </c>
      <c r="C454" s="260" t="e">
        <f ca="1">([0]!P_1_8.31.6 [0]!PU)</f>
        <v>#REF!</v>
      </c>
      <c r="D454" s="260" t="e">
        <f ca="1">IF(ISTEXT(([0]!P_1_8.31.6 [0]!MT)),0,([0]!P_1_8.31.6 [0]!MT))</f>
        <v>#REF!</v>
      </c>
    </row>
    <row r="455" spans="1:4">
      <c r="A455" s="258" t="s">
        <v>457</v>
      </c>
      <c r="B455" s="259" t="e">
        <f ca="1">IF(ISTEXT(([0]!P_1_8.31.7 [0]!Qté)),0,([0]!P_1_8.31.7 [0]!Qté))</f>
        <v>#REF!</v>
      </c>
      <c r="C455" s="260" t="e">
        <f ca="1">([0]!P_1_8.31.7 [0]!PU)</f>
        <v>#REF!</v>
      </c>
      <c r="D455" s="260" t="e">
        <f ca="1">IF(ISTEXT(([0]!P_1_8.31.7 [0]!MT)),0,([0]!P_1_8.31.7 [0]!MT))</f>
        <v>#REF!</v>
      </c>
    </row>
    <row r="456" spans="1:4">
      <c r="A456" s="258" t="s">
        <v>458</v>
      </c>
      <c r="B456" s="259" t="e">
        <f ca="1">IF(ISTEXT(([0]!P_1_9.1 [0]!Qté)),0,([0]!P_1_9.1 [0]!Qté))</f>
        <v>#REF!</v>
      </c>
      <c r="C456" s="260" t="e">
        <f ca="1">([0]!P_1_9.1 [0]!PU)</f>
        <v>#REF!</v>
      </c>
      <c r="D456" s="260" t="e">
        <f ca="1">IF(ISTEXT(([0]!P_1_9.1 [0]!MT)),0,([0]!P_1_9.1 [0]!MT))</f>
        <v>#REF!</v>
      </c>
    </row>
    <row r="457" spans="1:4">
      <c r="A457" s="258" t="s">
        <v>459</v>
      </c>
      <c r="B457" s="259" t="e">
        <f ca="1">IF(ISTEXT(([0]!P_1_9.2 [0]!Qté)),0,([0]!P_1_9.2 [0]!Qté))</f>
        <v>#REF!</v>
      </c>
      <c r="C457" s="260" t="e">
        <f ca="1">([0]!P_1_9.2 [0]!PU)</f>
        <v>#REF!</v>
      </c>
      <c r="D457" s="260" t="e">
        <f ca="1">IF(ISTEXT(([0]!P_1_9.2 [0]!MT)),0,([0]!P_1_9.2 [0]!MT))</f>
        <v>#REF!</v>
      </c>
    </row>
    <row r="458" spans="1:4">
      <c r="A458" s="258" t="s">
        <v>460</v>
      </c>
      <c r="B458" s="259" t="e">
        <f ca="1">IF(ISTEXT(([0]!P_1_9.3.1 [0]!Qté)),0,([0]!P_1_9.3.1 [0]!Qté))</f>
        <v>#REF!</v>
      </c>
      <c r="C458" s="260" t="e">
        <f ca="1">([0]!P_1_9.3.1 [0]!PU)</f>
        <v>#REF!</v>
      </c>
      <c r="D458" s="260" t="e">
        <f ca="1">IF(ISTEXT(([0]!P_1_9.3.1 [0]!MT)),0,([0]!P_1_9.3.1 [0]!MT))</f>
        <v>#REF!</v>
      </c>
    </row>
    <row r="459" spans="1:4">
      <c r="A459" s="258" t="s">
        <v>461</v>
      </c>
      <c r="B459" s="259" t="e">
        <f ca="1">IF(ISTEXT(([0]!P_1_9.3.2 [0]!Qté)),0,([0]!P_1_9.3.2 [0]!Qté))</f>
        <v>#REF!</v>
      </c>
      <c r="C459" s="260" t="e">
        <f ca="1">([0]!P_1_9.3.2 [0]!PU)</f>
        <v>#REF!</v>
      </c>
      <c r="D459" s="260" t="e">
        <f ca="1">IF(ISTEXT(([0]!P_1_9.3.2 [0]!MT)),0,([0]!P_1_9.3.2 [0]!MT))</f>
        <v>#REF!</v>
      </c>
    </row>
    <row r="460" spans="1:4">
      <c r="A460" s="258" t="s">
        <v>462</v>
      </c>
      <c r="B460" s="259" t="e">
        <f ca="1">IF(ISTEXT(([0]!P_1_9.3.3 [0]!Qté)),0,([0]!P_1_9.3.3 [0]!Qté))</f>
        <v>#REF!</v>
      </c>
      <c r="C460" s="260" t="e">
        <f ca="1">([0]!P_1_9.3.3 [0]!PU)</f>
        <v>#REF!</v>
      </c>
      <c r="D460" s="260" t="e">
        <f ca="1">IF(ISTEXT(([0]!P_1_9.3.3 [0]!MT)),0,([0]!P_1_9.3.3 [0]!MT))</f>
        <v>#REF!</v>
      </c>
    </row>
    <row r="461" spans="1:4">
      <c r="A461" s="258" t="s">
        <v>463</v>
      </c>
      <c r="B461" s="259" t="e">
        <f ca="1">IF(ISTEXT(([0]!P_1_9.3.4 [0]!Qté)),0,([0]!P_1_9.3.4 [0]!Qté))</f>
        <v>#REF!</v>
      </c>
      <c r="C461" s="260" t="e">
        <f ca="1">([0]!P_1_9.3.4 [0]!PU)</f>
        <v>#REF!</v>
      </c>
      <c r="D461" s="260" t="e">
        <f ca="1">IF(ISTEXT(([0]!P_1_9.3.4 [0]!MT)),0,([0]!P_1_9.3.4 [0]!MT))</f>
        <v>#REF!</v>
      </c>
    </row>
    <row r="462" spans="1:4">
      <c r="A462" s="258" t="s">
        <v>464</v>
      </c>
      <c r="B462" s="259" t="e">
        <f ca="1">IF(ISTEXT(([0]!P_1_9.4.1 [0]!Qté)),0,([0]!P_1_9.4.1 [0]!Qté))</f>
        <v>#REF!</v>
      </c>
      <c r="C462" s="260" t="e">
        <f ca="1">([0]!P_1_9.4.1 [0]!PU)</f>
        <v>#REF!</v>
      </c>
      <c r="D462" s="260" t="e">
        <f ca="1">IF(ISTEXT(([0]!P_1_9.4.1 [0]!MT)),0,([0]!P_1_9.4.1 [0]!MT))</f>
        <v>#REF!</v>
      </c>
    </row>
    <row r="463" spans="1:4">
      <c r="A463" s="258" t="s">
        <v>465</v>
      </c>
      <c r="B463" s="259" t="e">
        <f ca="1">IF(ISTEXT(([0]!P_1_9.4.2 [0]!Qté)),0,([0]!P_1_9.4.2 [0]!Qté))</f>
        <v>#REF!</v>
      </c>
      <c r="C463" s="260" t="e">
        <f ca="1">([0]!P_1_9.4.2 [0]!PU)</f>
        <v>#REF!</v>
      </c>
      <c r="D463" s="260" t="e">
        <f ca="1">IF(ISTEXT(([0]!P_1_9.4.2 [0]!MT)),0,([0]!P_1_9.4.2 [0]!MT))</f>
        <v>#REF!</v>
      </c>
    </row>
    <row r="464" spans="1:4">
      <c r="A464" s="258" t="s">
        <v>466</v>
      </c>
      <c r="B464" s="259" t="e">
        <f ca="1">IF(ISTEXT(([0]!P_1_9.4.3 [0]!Qté)),0,([0]!P_1_9.4.3 [0]!Qté))</f>
        <v>#REF!</v>
      </c>
      <c r="C464" s="260" t="e">
        <f ca="1">([0]!P_1_9.4.3 [0]!PU)</f>
        <v>#REF!</v>
      </c>
      <c r="D464" s="260" t="e">
        <f ca="1">IF(ISTEXT(([0]!P_1_9.4.3 [0]!MT)),0,([0]!P_1_9.4.3 [0]!MT))</f>
        <v>#REF!</v>
      </c>
    </row>
    <row r="465" spans="1:4">
      <c r="A465" s="258" t="s">
        <v>467</v>
      </c>
      <c r="B465" s="259" t="e">
        <f ca="1">IF(ISTEXT(([0]!P_1_9.4.4 [0]!Qté)),0,([0]!P_1_9.4.4 [0]!Qté))</f>
        <v>#REF!</v>
      </c>
      <c r="C465" s="260" t="e">
        <f ca="1">([0]!P_1_9.4.4 [0]!PU)</f>
        <v>#REF!</v>
      </c>
      <c r="D465" s="260" t="e">
        <f ca="1">IF(ISTEXT(([0]!P_1_9.4.4 [0]!MT)),0,([0]!P_1_9.4.4 [0]!MT))</f>
        <v>#REF!</v>
      </c>
    </row>
    <row r="466" spans="1:4">
      <c r="A466" s="258" t="s">
        <v>468</v>
      </c>
      <c r="B466" s="259" t="e">
        <f ca="1">IF(ISTEXT(([0]!P_1_9.5.1 [0]!Qté)),0,([0]!P_1_9.5.1 [0]!Qté))</f>
        <v>#REF!</v>
      </c>
      <c r="C466" s="260" t="e">
        <f ca="1">([0]!P_1_9.5.1 [0]!PU)</f>
        <v>#REF!</v>
      </c>
      <c r="D466" s="260" t="e">
        <f ca="1">IF(ISTEXT(([0]!P_1_9.5.1 [0]!MT)),0,([0]!P_1_9.5.1 [0]!MT))</f>
        <v>#REF!</v>
      </c>
    </row>
    <row r="467" spans="1:4">
      <c r="A467" s="258" t="s">
        <v>469</v>
      </c>
      <c r="B467" s="259" t="e">
        <f ca="1">IF(ISTEXT(([0]!P_1_9.5.2 [0]!Qté)),0,([0]!P_1_9.5.2 [0]!Qté))</f>
        <v>#REF!</v>
      </c>
      <c r="C467" s="260" t="e">
        <f ca="1">([0]!P_1_9.5.2 [0]!PU)</f>
        <v>#REF!</v>
      </c>
      <c r="D467" s="260" t="e">
        <f ca="1">IF(ISTEXT(([0]!P_1_9.5.2 [0]!MT)),0,([0]!P_1_9.5.2 [0]!MT))</f>
        <v>#REF!</v>
      </c>
    </row>
    <row r="468" spans="1:4">
      <c r="A468" s="258" t="s">
        <v>470</v>
      </c>
      <c r="B468" s="259" t="e">
        <f ca="1">IF(ISTEXT(([0]!P_1_9.5.3 [0]!Qté)),0,([0]!P_1_9.5.3 [0]!Qté))</f>
        <v>#REF!</v>
      </c>
      <c r="C468" s="260" t="e">
        <f ca="1">([0]!P_1_9.5.3 [0]!PU)</f>
        <v>#REF!</v>
      </c>
      <c r="D468" s="260" t="e">
        <f ca="1">IF(ISTEXT(([0]!P_1_9.5.3 [0]!MT)),0,([0]!P_1_9.5.3 [0]!MT))</f>
        <v>#REF!</v>
      </c>
    </row>
    <row r="469" spans="1:4">
      <c r="A469" s="258" t="s">
        <v>471</v>
      </c>
      <c r="B469" s="259" t="e">
        <f ca="1">IF(ISTEXT(([0]!P_1_9.5.4 [0]!Qté)),0,([0]!P_1_9.5.4 [0]!Qté))</f>
        <v>#REF!</v>
      </c>
      <c r="C469" s="260" t="e">
        <f ca="1">([0]!P_1_9.5.4 [0]!PU)</f>
        <v>#REF!</v>
      </c>
      <c r="D469" s="260" t="e">
        <f ca="1">IF(ISTEXT(([0]!P_1_9.5.4 [0]!MT)),0,([0]!P_1_9.5.4 [0]!MT))</f>
        <v>#REF!</v>
      </c>
    </row>
    <row r="470" spans="1:4">
      <c r="A470" s="258" t="s">
        <v>472</v>
      </c>
      <c r="B470" s="259" t="e">
        <f ca="1">IF(ISTEXT(([0]!P_1_9.5.5 [0]!Qté)),0,([0]!P_1_9.5.5 [0]!Qté))</f>
        <v>#REF!</v>
      </c>
      <c r="C470" s="260" t="e">
        <f ca="1">([0]!P_1_9.5.5 [0]!PU)</f>
        <v>#REF!</v>
      </c>
      <c r="D470" s="260" t="e">
        <f ca="1">IF(ISTEXT(([0]!P_1_9.5.5 [0]!MT)),0,([0]!P_1_9.5.5 [0]!MT))</f>
        <v>#REF!</v>
      </c>
    </row>
    <row r="471" spans="1:4">
      <c r="A471" s="258" t="s">
        <v>473</v>
      </c>
      <c r="B471" s="259" t="e">
        <f ca="1">IF(ISTEXT(([0]!P_1_9.5.6 [0]!Qté)),0,([0]!P_1_9.5.6 [0]!Qté))</f>
        <v>#REF!</v>
      </c>
      <c r="C471" s="260" t="e">
        <f ca="1">([0]!P_1_9.5.6 [0]!PU)</f>
        <v>#REF!</v>
      </c>
      <c r="D471" s="260" t="e">
        <f ca="1">IF(ISTEXT(([0]!P_1_9.5.6 [0]!MT)),0,([0]!P_1_9.5.6 [0]!MT))</f>
        <v>#REF!</v>
      </c>
    </row>
    <row r="472" spans="1:4">
      <c r="A472" s="258" t="s">
        <v>474</v>
      </c>
      <c r="B472" s="259" t="e">
        <f ca="1">IF(ISTEXT(([0]!P_1_9.5.7 [0]!Qté)),0,([0]!P_1_9.5.7 [0]!Qté))</f>
        <v>#REF!</v>
      </c>
      <c r="C472" s="260" t="e">
        <f ca="1">([0]!P_1_9.5.7 [0]!PU)</f>
        <v>#REF!</v>
      </c>
      <c r="D472" s="260" t="e">
        <f ca="1">IF(ISTEXT(([0]!P_1_9.5.7 [0]!MT)),0,([0]!P_1_9.5.7 [0]!MT))</f>
        <v>#REF!</v>
      </c>
    </row>
    <row r="473" spans="1:4">
      <c r="A473" s="258" t="s">
        <v>475</v>
      </c>
      <c r="B473" s="259" t="e">
        <f ca="1">IF(ISTEXT(([0]!P_1_9.5.8 [0]!Qté)),0,([0]!P_1_9.5.8 [0]!Qté))</f>
        <v>#REF!</v>
      </c>
      <c r="C473" s="260" t="e">
        <f ca="1">([0]!P_1_9.5.8 [0]!PU)</f>
        <v>#REF!</v>
      </c>
      <c r="D473" s="260" t="e">
        <f ca="1">IF(ISTEXT(([0]!P_1_9.5.8 [0]!MT)),0,([0]!P_1_9.5.8 [0]!MT))</f>
        <v>#REF!</v>
      </c>
    </row>
    <row r="474" spans="1:4">
      <c r="A474" s="258" t="s">
        <v>476</v>
      </c>
      <c r="B474" s="259" t="e">
        <f ca="1">IF(ISTEXT(([0]!P_1_10.1.1 [0]!Qté)),0,([0]!P_1_10.1.1 [0]!Qté))</f>
        <v>#REF!</v>
      </c>
      <c r="C474" s="260" t="e">
        <f ca="1">([0]!P_1_10.1.1 [0]!PU)</f>
        <v>#REF!</v>
      </c>
      <c r="D474" s="260" t="e">
        <f ca="1">IF(ISTEXT(([0]!P_1_10.1.1 [0]!MT)),0,([0]!P_1_10.1.1 [0]!MT))</f>
        <v>#REF!</v>
      </c>
    </row>
    <row r="475" spans="1:4">
      <c r="A475" s="258" t="s">
        <v>477</v>
      </c>
      <c r="B475" s="259" t="e">
        <f ca="1">IF(ISTEXT(([0]!P_1_10.1.2 [0]!Qté)),0,([0]!P_1_10.1.2 [0]!Qté))</f>
        <v>#REF!</v>
      </c>
      <c r="C475" s="260" t="e">
        <f ca="1">([0]!P_1_10.1.2 [0]!PU)</f>
        <v>#REF!</v>
      </c>
      <c r="D475" s="260" t="e">
        <f ca="1">IF(ISTEXT(([0]!P_1_10.1.2 [0]!MT)),0,([0]!P_1_10.1.2 [0]!MT))</f>
        <v>#REF!</v>
      </c>
    </row>
    <row r="476" spans="1:4">
      <c r="A476" s="258" t="s">
        <v>478</v>
      </c>
      <c r="B476" s="259" t="e">
        <f ca="1">IF(ISTEXT(([0]!P_1_10.1.3 [0]!Qté)),0,([0]!P_1_10.1.3 [0]!Qté))</f>
        <v>#REF!</v>
      </c>
      <c r="C476" s="260" t="e">
        <f ca="1">([0]!P_1_10.1.3 [0]!PU)</f>
        <v>#REF!</v>
      </c>
      <c r="D476" s="260" t="e">
        <f ca="1">IF(ISTEXT(([0]!P_1_10.1.3 [0]!MT)),0,([0]!P_1_10.1.3 [0]!MT))</f>
        <v>#REF!</v>
      </c>
    </row>
    <row r="477" spans="1:4">
      <c r="A477" s="258" t="s">
        <v>479</v>
      </c>
      <c r="B477" s="259" t="e">
        <f ca="1">IF(ISTEXT(([0]!P_1_10.1.4 [0]!Qté)),0,([0]!P_1_10.1.4 [0]!Qté))</f>
        <v>#REF!</v>
      </c>
      <c r="C477" s="260" t="e">
        <f ca="1">([0]!P_1_10.1.4 [0]!PU)</f>
        <v>#REF!</v>
      </c>
      <c r="D477" s="260" t="e">
        <f ca="1">IF(ISTEXT(([0]!P_1_10.1.4 [0]!MT)),0,([0]!P_1_10.1.4 [0]!MT))</f>
        <v>#REF!</v>
      </c>
    </row>
    <row r="478" spans="1:4">
      <c r="A478" s="258" t="s">
        <v>480</v>
      </c>
      <c r="B478" s="259" t="e">
        <f ca="1">IF(ISTEXT(([0]!P_1_10.1.5 [0]!Qté)),0,([0]!P_1_10.1.5 [0]!Qté))</f>
        <v>#REF!</v>
      </c>
      <c r="C478" s="260" t="e">
        <f ca="1">([0]!P_1_10.1.5 [0]!PU)</f>
        <v>#REF!</v>
      </c>
      <c r="D478" s="260" t="e">
        <f ca="1">IF(ISTEXT(([0]!P_1_10.1.5 [0]!MT)),0,([0]!P_1_10.1.5 [0]!MT))</f>
        <v>#REF!</v>
      </c>
    </row>
    <row r="479" spans="1:4">
      <c r="A479" s="258" t="s">
        <v>481</v>
      </c>
      <c r="B479" s="259" t="e">
        <f ca="1">IF(ISTEXT(([0]!P_1_10.1.6 [0]!Qté)),0,([0]!P_1_10.1.6 [0]!Qté))</f>
        <v>#REF!</v>
      </c>
      <c r="C479" s="260" t="e">
        <f ca="1">([0]!P_1_10.1.6 [0]!PU)</f>
        <v>#REF!</v>
      </c>
      <c r="D479" s="260" t="e">
        <f ca="1">IF(ISTEXT(([0]!P_1_10.1.6 [0]!MT)),0,([0]!P_1_10.1.6 [0]!MT))</f>
        <v>#REF!</v>
      </c>
    </row>
    <row r="480" spans="1:4">
      <c r="A480" s="258" t="s">
        <v>482</v>
      </c>
      <c r="B480" s="259" t="e">
        <f ca="1">IF(ISTEXT(([0]!P_1_10.1.7 [0]!Qté)),0,([0]!P_1_10.1.7 [0]!Qté))</f>
        <v>#REF!</v>
      </c>
      <c r="C480" s="260" t="e">
        <f ca="1">([0]!P_1_10.1.7 [0]!PU)</f>
        <v>#REF!</v>
      </c>
      <c r="D480" s="260" t="e">
        <f ca="1">IF(ISTEXT(([0]!P_1_10.1.7 [0]!MT)),0,([0]!P_1_10.1.7 [0]!MT))</f>
        <v>#REF!</v>
      </c>
    </row>
    <row r="481" spans="1:4">
      <c r="A481" s="258" t="s">
        <v>483</v>
      </c>
      <c r="B481" s="259" t="e">
        <f ca="1">IF(ISTEXT(([0]!P_1_10.1.8 [0]!Qté)),0,([0]!P_1_10.1.8 [0]!Qté))</f>
        <v>#REF!</v>
      </c>
      <c r="C481" s="260" t="e">
        <f ca="1">([0]!P_1_10.1.8 [0]!PU)</f>
        <v>#REF!</v>
      </c>
      <c r="D481" s="260" t="e">
        <f ca="1">IF(ISTEXT(([0]!P_1_10.1.8 [0]!MT)),0,([0]!P_1_10.1.8 [0]!MT))</f>
        <v>#REF!</v>
      </c>
    </row>
    <row r="482" spans="1:4">
      <c r="A482" s="258" t="s">
        <v>484</v>
      </c>
      <c r="B482" s="259" t="e">
        <f ca="1">IF(ISTEXT(([0]!P_1_10.1.9 [0]!Qté)),0,([0]!P_1_10.1.9 [0]!Qté))</f>
        <v>#REF!</v>
      </c>
      <c r="C482" s="260" t="e">
        <f ca="1">([0]!P_1_10.1.9 [0]!PU)</f>
        <v>#REF!</v>
      </c>
      <c r="D482" s="260" t="e">
        <f ca="1">IF(ISTEXT(([0]!P_1_10.1.9 [0]!MT)),0,([0]!P_1_10.1.9 [0]!MT))</f>
        <v>#REF!</v>
      </c>
    </row>
    <row r="483" spans="1:4">
      <c r="A483" s="258" t="s">
        <v>485</v>
      </c>
      <c r="B483" s="259" t="e">
        <f ca="1">IF(ISTEXT(([0]!P_1_10.1.10 [0]!Qté)),0,([0]!P_1_10.1.10 [0]!Qté))</f>
        <v>#REF!</v>
      </c>
      <c r="C483" s="260" t="e">
        <f ca="1">([0]!P_1_10.1.10 [0]!PU)</f>
        <v>#REF!</v>
      </c>
      <c r="D483" s="260" t="e">
        <f ca="1">IF(ISTEXT(([0]!P_1_10.1.10 [0]!MT)),0,([0]!P_1_10.1.10 [0]!MT))</f>
        <v>#REF!</v>
      </c>
    </row>
    <row r="484" spans="1:4">
      <c r="A484" s="258" t="s">
        <v>486</v>
      </c>
      <c r="B484" s="259" t="e">
        <f ca="1">IF(ISTEXT(([0]!P_1_10.1.11 [0]!Qté)),0,([0]!P_1_10.1.11 [0]!Qté))</f>
        <v>#REF!</v>
      </c>
      <c r="C484" s="260" t="e">
        <f ca="1">([0]!P_1_10.1.11 [0]!PU)</f>
        <v>#REF!</v>
      </c>
      <c r="D484" s="260" t="e">
        <f ca="1">IF(ISTEXT(([0]!P_1_10.1.11 [0]!MT)),0,([0]!P_1_10.1.11 [0]!MT))</f>
        <v>#REF!</v>
      </c>
    </row>
    <row r="485" spans="1:4">
      <c r="A485" s="258" t="s">
        <v>487</v>
      </c>
      <c r="B485" s="259" t="e">
        <f ca="1">IF(ISTEXT(([0]!P_1_10.2.1 [0]!Qté)),0,([0]!P_1_10.2.1 [0]!Qté))</f>
        <v>#REF!</v>
      </c>
      <c r="C485" s="260" t="e">
        <f ca="1">([0]!P_1_10.2.1 [0]!PU)</f>
        <v>#REF!</v>
      </c>
      <c r="D485" s="260" t="e">
        <f ca="1">IF(ISTEXT(([0]!P_1_10.2.1 [0]!MT)),0,([0]!P_1_10.2.1 [0]!MT))</f>
        <v>#REF!</v>
      </c>
    </row>
    <row r="486" spans="1:4">
      <c r="A486" s="258" t="s">
        <v>488</v>
      </c>
      <c r="B486" s="259" t="e">
        <f ca="1">IF(ISTEXT(([0]!P_1_10.2.2 [0]!Qté)),0,([0]!P_1_10.2.2 [0]!Qté))</f>
        <v>#REF!</v>
      </c>
      <c r="C486" s="260" t="e">
        <f ca="1">([0]!P_1_10.2.2 [0]!PU)</f>
        <v>#REF!</v>
      </c>
      <c r="D486" s="260" t="e">
        <f ca="1">IF(ISTEXT(([0]!P_1_10.2.2 [0]!MT)),0,([0]!P_1_10.2.2 [0]!MT))</f>
        <v>#REF!</v>
      </c>
    </row>
    <row r="487" spans="1:4">
      <c r="A487" s="258" t="s">
        <v>489</v>
      </c>
      <c r="B487" s="259" t="e">
        <f ca="1">IF(ISTEXT(([0]!P_1_10.2.3 [0]!Qté)),0,([0]!P_1_10.2.3 [0]!Qté))</f>
        <v>#REF!</v>
      </c>
      <c r="C487" s="260" t="e">
        <f ca="1">([0]!P_1_10.2.3 [0]!PU)</f>
        <v>#REF!</v>
      </c>
      <c r="D487" s="260" t="e">
        <f ca="1">IF(ISTEXT(([0]!P_1_10.2.3 [0]!MT)),0,([0]!P_1_10.2.3 [0]!MT))</f>
        <v>#REF!</v>
      </c>
    </row>
    <row r="488" spans="1:4">
      <c r="A488" s="258" t="s">
        <v>490</v>
      </c>
      <c r="B488" s="259" t="e">
        <f ca="1">IF(ISTEXT(([0]!P_1_10.2.4.1 [0]!Qté)),0,([0]!P_1_10.2.4.1 [0]!Qté))</f>
        <v>#REF!</v>
      </c>
      <c r="C488" s="260" t="e">
        <f ca="1">([0]!P_1_10.2.4.1 [0]!PU)</f>
        <v>#REF!</v>
      </c>
      <c r="D488" s="260" t="e">
        <f ca="1">IF(ISTEXT(([0]!P_1_10.2.4.1 [0]!MT)),0,([0]!P_1_10.2.4.1 [0]!MT))</f>
        <v>#REF!</v>
      </c>
    </row>
    <row r="489" spans="1:4">
      <c r="A489" s="258" t="s">
        <v>491</v>
      </c>
      <c r="B489" s="259" t="e">
        <f ca="1">IF(ISTEXT(([0]!P_1_10.2.4.2 [0]!Qté)),0,([0]!P_1_10.2.4.2 [0]!Qté))</f>
        <v>#REF!</v>
      </c>
      <c r="C489" s="260" t="e">
        <f ca="1">([0]!P_1_10.2.4.2 [0]!PU)</f>
        <v>#REF!</v>
      </c>
      <c r="D489" s="260" t="e">
        <f ca="1">IF(ISTEXT(([0]!P_1_10.2.4.2 [0]!MT)),0,([0]!P_1_10.2.4.2 [0]!MT))</f>
        <v>#REF!</v>
      </c>
    </row>
    <row r="490" spans="1:4">
      <c r="A490" s="258" t="s">
        <v>492</v>
      </c>
      <c r="B490" s="259" t="e">
        <f ca="1">IF(ISTEXT(([0]!P_1_10.2.4.3 [0]!Qté)),0,([0]!P_1_10.2.4.3 [0]!Qté))</f>
        <v>#REF!</v>
      </c>
      <c r="C490" s="260" t="e">
        <f ca="1">([0]!P_1_10.2.4.3 [0]!PU)</f>
        <v>#REF!</v>
      </c>
      <c r="D490" s="260" t="e">
        <f ca="1">IF(ISTEXT(([0]!P_1_10.2.4.3 [0]!MT)),0,([0]!P_1_10.2.4.3 [0]!MT))</f>
        <v>#REF!</v>
      </c>
    </row>
    <row r="491" spans="1:4">
      <c r="A491" s="258" t="s">
        <v>493</v>
      </c>
      <c r="B491" s="259" t="e">
        <f ca="1">IF(ISTEXT(([0]!P_1_10.2.4.4 [0]!Qté)),0,([0]!P_1_10.2.4.4 [0]!Qté))</f>
        <v>#REF!</v>
      </c>
      <c r="C491" s="260" t="e">
        <f ca="1">([0]!P_1_10.2.4.4 [0]!PU)</f>
        <v>#REF!</v>
      </c>
      <c r="D491" s="260" t="e">
        <f ca="1">IF(ISTEXT(([0]!P_1_10.2.4.4 [0]!MT)),0,([0]!P_1_10.2.4.4 [0]!MT))</f>
        <v>#REF!</v>
      </c>
    </row>
    <row r="492" spans="1:4">
      <c r="A492" s="258" t="s">
        <v>494</v>
      </c>
      <c r="B492" s="259" t="e">
        <f ca="1">IF(ISTEXT(([0]!P_1_10.2.4.5 [0]!Qté)),0,([0]!P_1_10.2.4.5 [0]!Qté))</f>
        <v>#REF!</v>
      </c>
      <c r="C492" s="260" t="e">
        <f ca="1">([0]!P_1_10.2.4.5 [0]!PU)</f>
        <v>#REF!</v>
      </c>
      <c r="D492" s="260" t="e">
        <f ca="1">IF(ISTEXT(([0]!P_1_10.2.4.5 [0]!MT)),0,([0]!P_1_10.2.4.5 [0]!MT))</f>
        <v>#REF!</v>
      </c>
    </row>
    <row r="493" spans="1:4">
      <c r="A493" s="258" t="s">
        <v>495</v>
      </c>
      <c r="B493" s="259" t="e">
        <f ca="1">IF(ISTEXT(([0]!P_1_10.2.4.6 [0]!Qté)),0,([0]!P_1_10.2.4.6 [0]!Qté))</f>
        <v>#REF!</v>
      </c>
      <c r="C493" s="260" t="e">
        <f ca="1">([0]!P_1_10.2.4.6 [0]!PU)</f>
        <v>#REF!</v>
      </c>
      <c r="D493" s="260" t="e">
        <f ca="1">IF(ISTEXT(([0]!P_1_10.2.4.6 [0]!MT)),0,([0]!P_1_10.2.4.6 [0]!MT))</f>
        <v>#REF!</v>
      </c>
    </row>
    <row r="494" spans="1:4">
      <c r="A494" s="258" t="s">
        <v>496</v>
      </c>
      <c r="B494" s="259" t="e">
        <f ca="1">IF(ISTEXT(([0]!P_1_10.2.5.1 [0]!Qté)),0,([0]!P_1_10.2.5.1 [0]!Qté))</f>
        <v>#REF!</v>
      </c>
      <c r="C494" s="260" t="e">
        <f ca="1">([0]!P_1_10.2.5.1 [0]!PU)</f>
        <v>#REF!</v>
      </c>
      <c r="D494" s="260" t="e">
        <f ca="1">IF(ISTEXT(([0]!P_1_10.2.5.1 [0]!MT)),0,([0]!P_1_10.2.5.1 [0]!MT))</f>
        <v>#REF!</v>
      </c>
    </row>
    <row r="495" spans="1:4">
      <c r="A495" s="258" t="s">
        <v>497</v>
      </c>
      <c r="B495" s="259" t="e">
        <f ca="1">IF(ISTEXT(([0]!P_1_10.2.5.2 [0]!Qté)),0,([0]!P_1_10.2.5.2 [0]!Qté))</f>
        <v>#REF!</v>
      </c>
      <c r="C495" s="260" t="e">
        <f ca="1">([0]!P_1_10.2.5.2 [0]!PU)</f>
        <v>#REF!</v>
      </c>
      <c r="D495" s="260" t="e">
        <f ca="1">IF(ISTEXT(([0]!P_1_10.2.5.2 [0]!MT)),0,([0]!P_1_10.2.5.2 [0]!MT))</f>
        <v>#REF!</v>
      </c>
    </row>
    <row r="496" spans="1:4">
      <c r="A496" s="258" t="s">
        <v>498</v>
      </c>
      <c r="B496" s="259" t="e">
        <f ca="1">IF(ISTEXT(([0]!P_1_10.2.5.3 [0]!Qté)),0,([0]!P_1_10.2.5.3 [0]!Qté))</f>
        <v>#REF!</v>
      </c>
      <c r="C496" s="260" t="e">
        <f ca="1">([0]!P_1_10.2.5.3 [0]!PU)</f>
        <v>#REF!</v>
      </c>
      <c r="D496" s="260" t="e">
        <f ca="1">IF(ISTEXT(([0]!P_1_10.2.5.3 [0]!MT)),0,([0]!P_1_10.2.5.3 [0]!MT))</f>
        <v>#REF!</v>
      </c>
    </row>
    <row r="497" spans="1:4">
      <c r="A497" s="258" t="s">
        <v>499</v>
      </c>
      <c r="B497" s="259" t="e">
        <f ca="1">IF(ISTEXT(([0]!P_1_10.2.5.4 [0]!Qté)),0,([0]!P_1_10.2.5.4 [0]!Qté))</f>
        <v>#REF!</v>
      </c>
      <c r="C497" s="260" t="e">
        <f ca="1">([0]!P_1_10.2.5.4 [0]!PU)</f>
        <v>#REF!</v>
      </c>
      <c r="D497" s="260" t="e">
        <f ca="1">IF(ISTEXT(([0]!P_1_10.2.5.4 [0]!MT)),0,([0]!P_1_10.2.5.4 [0]!MT))</f>
        <v>#REF!</v>
      </c>
    </row>
    <row r="498" spans="1:4">
      <c r="A498" s="258" t="s">
        <v>500</v>
      </c>
      <c r="B498" s="259" t="e">
        <f ca="1">IF(ISTEXT(([0]!P_1_10.2.5.5 [0]!Qté)),0,([0]!P_1_10.2.5.5 [0]!Qté))</f>
        <v>#REF!</v>
      </c>
      <c r="C498" s="260" t="e">
        <f ca="1">([0]!P_1_10.2.5.5 [0]!PU)</f>
        <v>#REF!</v>
      </c>
      <c r="D498" s="260" t="e">
        <f ca="1">IF(ISTEXT(([0]!P_1_10.2.5.5 [0]!MT)),0,([0]!P_1_10.2.5.5 [0]!MT))</f>
        <v>#REF!</v>
      </c>
    </row>
    <row r="499" spans="1:4">
      <c r="A499" s="258" t="s">
        <v>501</v>
      </c>
      <c r="B499" s="259" t="e">
        <f ca="1">IF(ISTEXT(([0]!P_1_10.2.5.6 [0]!Qté)),0,([0]!P_1_10.2.5.6 [0]!Qté))</f>
        <v>#REF!</v>
      </c>
      <c r="C499" s="260" t="e">
        <f ca="1">([0]!P_1_10.2.5.6 [0]!PU)</f>
        <v>#REF!</v>
      </c>
      <c r="D499" s="260" t="e">
        <f ca="1">IF(ISTEXT(([0]!P_1_10.2.5.6 [0]!MT)),0,([0]!P_1_10.2.5.6 [0]!MT))</f>
        <v>#REF!</v>
      </c>
    </row>
    <row r="500" spans="1:4">
      <c r="A500" s="258" t="s">
        <v>502</v>
      </c>
      <c r="B500" s="259" t="e">
        <f ca="1">IF(ISTEXT(([0]!P_1_10.2.6.1 [0]!Qté)),0,([0]!P_1_10.2.6.1 [0]!Qté))</f>
        <v>#REF!</v>
      </c>
      <c r="C500" s="260" t="e">
        <f ca="1">([0]!P_1_10.2.6.1 [0]!PU)</f>
        <v>#REF!</v>
      </c>
      <c r="D500" s="260" t="e">
        <f ca="1">IF(ISTEXT(([0]!P_1_10.2.6.1 [0]!MT)),0,([0]!P_1_10.2.6.1 [0]!MT))</f>
        <v>#REF!</v>
      </c>
    </row>
    <row r="501" spans="1:4">
      <c r="A501" s="258" t="s">
        <v>503</v>
      </c>
      <c r="B501" s="259" t="e">
        <f ca="1">IF(ISTEXT(([0]!P_1_10.2.6.2 [0]!Qté)),0,([0]!P_1_10.2.6.2 [0]!Qté))</f>
        <v>#REF!</v>
      </c>
      <c r="C501" s="260" t="e">
        <f ca="1">([0]!P_1_10.2.6.2 [0]!PU)</f>
        <v>#REF!</v>
      </c>
      <c r="D501" s="260" t="e">
        <f ca="1">IF(ISTEXT(([0]!P_1_10.2.6.2 [0]!MT)),0,([0]!P_1_10.2.6.2 [0]!MT))</f>
        <v>#REF!</v>
      </c>
    </row>
    <row r="502" spans="1:4">
      <c r="A502" s="258" t="s">
        <v>504</v>
      </c>
      <c r="B502" s="259" t="e">
        <f ca="1">IF(ISTEXT(([0]!P_1_10.2.6.3 [0]!Qté)),0,([0]!P_1_10.2.6.3 [0]!Qté))</f>
        <v>#REF!</v>
      </c>
      <c r="C502" s="260" t="e">
        <f ca="1">([0]!P_1_10.2.6.3 [0]!PU)</f>
        <v>#REF!</v>
      </c>
      <c r="D502" s="260" t="e">
        <f ca="1">IF(ISTEXT(([0]!P_1_10.2.6.3 [0]!MT)),0,([0]!P_1_10.2.6.3 [0]!MT))</f>
        <v>#REF!</v>
      </c>
    </row>
    <row r="503" spans="1:4">
      <c r="A503" s="258" t="s">
        <v>505</v>
      </c>
      <c r="B503" s="259" t="e">
        <f ca="1">IF(ISTEXT(([0]!P_1_10.2.7.1 [0]!Qté)),0,([0]!P_1_10.2.7.1 [0]!Qté))</f>
        <v>#REF!</v>
      </c>
      <c r="C503" s="260" t="e">
        <f ca="1">([0]!P_1_10.2.7.1 [0]!PU)</f>
        <v>#REF!</v>
      </c>
      <c r="D503" s="260" t="e">
        <f ca="1">IF(ISTEXT(([0]!P_1_10.2.7.1 [0]!MT)),0,([0]!P_1_10.2.7.1 [0]!MT))</f>
        <v>#REF!</v>
      </c>
    </row>
    <row r="504" spans="1:4">
      <c r="A504" s="258" t="s">
        <v>506</v>
      </c>
      <c r="B504" s="259" t="e">
        <f ca="1">IF(ISTEXT(([0]!P_1_10.2.7.2 [0]!Qté)),0,([0]!P_1_10.2.7.2 [0]!Qté))</f>
        <v>#REF!</v>
      </c>
      <c r="C504" s="260" t="e">
        <f ca="1">([0]!P_1_10.2.7.2 [0]!PU)</f>
        <v>#REF!</v>
      </c>
      <c r="D504" s="260" t="e">
        <f ca="1">IF(ISTEXT(([0]!P_1_10.2.7.2 [0]!MT)),0,([0]!P_1_10.2.7.2 [0]!MT))</f>
        <v>#REF!</v>
      </c>
    </row>
    <row r="505" spans="1:4">
      <c r="A505" s="258" t="s">
        <v>507</v>
      </c>
      <c r="B505" s="259" t="e">
        <f ca="1">IF(ISTEXT(([0]!P_1_10.2.7.3 [0]!Qté)),0,([0]!P_1_10.2.7.3 [0]!Qté))</f>
        <v>#REF!</v>
      </c>
      <c r="C505" s="260" t="e">
        <f ca="1">([0]!P_1_10.2.7.3 [0]!PU)</f>
        <v>#REF!</v>
      </c>
      <c r="D505" s="260" t="e">
        <f ca="1">IF(ISTEXT(([0]!P_1_10.2.7.3 [0]!MT)),0,([0]!P_1_10.2.7.3 [0]!MT))</f>
        <v>#REF!</v>
      </c>
    </row>
    <row r="506" spans="1:4">
      <c r="A506" s="258" t="s">
        <v>508</v>
      </c>
      <c r="B506" s="259" t="e">
        <f ca="1">IF(ISTEXT(([0]!P_1_10.2.7.4 [0]!Qté)),0,([0]!P_1_10.2.7.4 [0]!Qté))</f>
        <v>#REF!</v>
      </c>
      <c r="C506" s="260" t="e">
        <f ca="1">([0]!P_1_10.2.7.4 [0]!PU)</f>
        <v>#REF!</v>
      </c>
      <c r="D506" s="260" t="e">
        <f ca="1">IF(ISTEXT(([0]!P_1_10.2.7.4 [0]!MT)),0,([0]!P_1_10.2.7.4 [0]!MT))</f>
        <v>#REF!</v>
      </c>
    </row>
    <row r="507" spans="1:4">
      <c r="A507" s="258" t="s">
        <v>509</v>
      </c>
      <c r="B507" s="259" t="e">
        <f ca="1">IF(ISTEXT(([0]!P_1_10.2.7.5 [0]!Qté)),0,([0]!P_1_10.2.7.5 [0]!Qté))</f>
        <v>#REF!</v>
      </c>
      <c r="C507" s="260" t="e">
        <f ca="1">([0]!P_1_10.2.7.5 [0]!PU)</f>
        <v>#REF!</v>
      </c>
      <c r="D507" s="260" t="e">
        <f ca="1">IF(ISTEXT(([0]!P_1_10.2.7.5 [0]!MT)),0,([0]!P_1_10.2.7.5 [0]!MT))</f>
        <v>#REF!</v>
      </c>
    </row>
    <row r="508" spans="1:4">
      <c r="A508" s="258" t="s">
        <v>510</v>
      </c>
      <c r="B508" s="259" t="e">
        <f ca="1">IF(ISTEXT(([0]!P_1_10.2.7.6 [0]!Qté)),0,([0]!P_1_10.2.7.6 [0]!Qté))</f>
        <v>#REF!</v>
      </c>
      <c r="C508" s="260" t="e">
        <f ca="1">([0]!P_1_10.2.7.6 [0]!PU)</f>
        <v>#REF!</v>
      </c>
      <c r="D508" s="260" t="e">
        <f ca="1">IF(ISTEXT(([0]!P_1_10.2.7.6 [0]!MT)),0,([0]!P_1_10.2.7.6 [0]!MT))</f>
        <v>#REF!</v>
      </c>
    </row>
    <row r="509" spans="1:4">
      <c r="A509" s="258" t="s">
        <v>511</v>
      </c>
      <c r="B509" s="259" t="e">
        <f ca="1">IF(ISTEXT(([0]!P_1_10.2.8.1 [0]!Qté)),0,([0]!P_1_10.2.8.1 [0]!Qté))</f>
        <v>#REF!</v>
      </c>
      <c r="C509" s="260" t="e">
        <f ca="1">([0]!P_1_10.2.8.1 [0]!PU)</f>
        <v>#REF!</v>
      </c>
      <c r="D509" s="260" t="e">
        <f ca="1">IF(ISTEXT(([0]!P_1_10.2.8.1 [0]!MT)),0,([0]!P_1_10.2.8.1 [0]!MT))</f>
        <v>#REF!</v>
      </c>
    </row>
    <row r="510" spans="1:4">
      <c r="A510" s="258" t="s">
        <v>512</v>
      </c>
      <c r="B510" s="259" t="e">
        <f ca="1">IF(ISTEXT(([0]!P_1_10.2.8.2 [0]!Qté)),0,([0]!P_1_10.2.8.2 [0]!Qté))</f>
        <v>#REF!</v>
      </c>
      <c r="C510" s="260" t="e">
        <f ca="1">([0]!P_1_10.2.8.2 [0]!PU)</f>
        <v>#REF!</v>
      </c>
      <c r="D510" s="260" t="e">
        <f ca="1">IF(ISTEXT(([0]!P_1_10.2.8.2 [0]!MT)),0,([0]!P_1_10.2.8.2 [0]!MT))</f>
        <v>#REF!</v>
      </c>
    </row>
    <row r="511" spans="1:4">
      <c r="A511" s="258" t="s">
        <v>513</v>
      </c>
      <c r="B511" s="259" t="e">
        <f ca="1">IF(ISTEXT(([0]!P_1_10.2.8.3 [0]!Qté)),0,([0]!P_1_10.2.8.3 [0]!Qté))</f>
        <v>#REF!</v>
      </c>
      <c r="C511" s="260" t="e">
        <f ca="1">([0]!P_1_10.2.8.3 [0]!PU)</f>
        <v>#REF!</v>
      </c>
      <c r="D511" s="260" t="e">
        <f ca="1">IF(ISTEXT(([0]!P_1_10.2.8.3 [0]!MT)),0,([0]!P_1_10.2.8.3 [0]!MT))</f>
        <v>#REF!</v>
      </c>
    </row>
    <row r="512" spans="1:4">
      <c r="A512" s="258" t="s">
        <v>514</v>
      </c>
      <c r="B512" s="259" t="e">
        <f ca="1">IF(ISTEXT(([0]!P_1_10.2.8.4 [0]!Qté)),0,([0]!P_1_10.2.8.4 [0]!Qté))</f>
        <v>#REF!</v>
      </c>
      <c r="C512" s="260" t="e">
        <f ca="1">([0]!P_1_10.2.8.4 [0]!PU)</f>
        <v>#REF!</v>
      </c>
      <c r="D512" s="260" t="e">
        <f ca="1">IF(ISTEXT(([0]!P_1_10.2.8.4 [0]!MT)),0,([0]!P_1_10.2.8.4 [0]!MT))</f>
        <v>#REF!</v>
      </c>
    </row>
    <row r="513" spans="1:4">
      <c r="A513" s="258" t="s">
        <v>515</v>
      </c>
      <c r="B513" s="259" t="e">
        <f ca="1">IF(ISTEXT(([0]!P_1_10.2.8.5 [0]!Qté)),0,([0]!P_1_10.2.8.5 [0]!Qté))</f>
        <v>#REF!</v>
      </c>
      <c r="C513" s="260" t="e">
        <f ca="1">([0]!P_1_10.2.8.5 [0]!PU)</f>
        <v>#REF!</v>
      </c>
      <c r="D513" s="260" t="e">
        <f ca="1">IF(ISTEXT(([0]!P_1_10.2.8.5 [0]!MT)),0,([0]!P_1_10.2.8.5 [0]!MT))</f>
        <v>#REF!</v>
      </c>
    </row>
    <row r="514" spans="1:4">
      <c r="A514" s="258" t="s">
        <v>516</v>
      </c>
      <c r="B514" s="259" t="e">
        <f ca="1">IF(ISTEXT(([0]!P_1_10.2.8.6 [0]!Qté)),0,([0]!P_1_10.2.8.6 [0]!Qté))</f>
        <v>#REF!</v>
      </c>
      <c r="C514" s="260" t="e">
        <f ca="1">([0]!P_1_10.2.8.6 [0]!PU)</f>
        <v>#REF!</v>
      </c>
      <c r="D514" s="260" t="e">
        <f ca="1">IF(ISTEXT(([0]!P_1_10.2.8.6 [0]!MT)),0,([0]!P_1_10.2.8.6 [0]!MT))</f>
        <v>#REF!</v>
      </c>
    </row>
    <row r="515" spans="1:4">
      <c r="A515" s="258" t="s">
        <v>517</v>
      </c>
      <c r="B515" s="259" t="e">
        <f ca="1">IF(ISTEXT(([0]!P_1_10.2.9.1 [0]!Qté)),0,([0]!P_1_10.2.9.1 [0]!Qté))</f>
        <v>#REF!</v>
      </c>
      <c r="C515" s="260" t="e">
        <f ca="1">([0]!P_1_10.2.9.1 [0]!PU)</f>
        <v>#REF!</v>
      </c>
      <c r="D515" s="260" t="e">
        <f ca="1">IF(ISTEXT(([0]!P_1_10.2.9.1 [0]!MT)),0,([0]!P_1_10.2.9.1 [0]!MT))</f>
        <v>#REF!</v>
      </c>
    </row>
    <row r="516" spans="1:4">
      <c r="A516" s="258" t="s">
        <v>518</v>
      </c>
      <c r="B516" s="259" t="e">
        <f ca="1">IF(ISTEXT(([0]!P_1_10.2.9.2 [0]!Qté)),0,([0]!P_1_10.2.9.2 [0]!Qté))</f>
        <v>#REF!</v>
      </c>
      <c r="C516" s="260" t="e">
        <f ca="1">([0]!P_1_10.2.9.2 [0]!PU)</f>
        <v>#REF!</v>
      </c>
      <c r="D516" s="260" t="e">
        <f ca="1">IF(ISTEXT(([0]!P_1_10.2.9.2 [0]!MT)),0,([0]!P_1_10.2.9.2 [0]!MT))</f>
        <v>#REF!</v>
      </c>
    </row>
    <row r="517" spans="1:4">
      <c r="A517" s="258" t="s">
        <v>519</v>
      </c>
      <c r="B517" s="259" t="e">
        <f ca="1">IF(ISTEXT(([0]!P_1_10.2.10.1 [0]!Qté)),0,([0]!P_1_10.2.10.1 [0]!Qté))</f>
        <v>#REF!</v>
      </c>
      <c r="C517" s="260" t="e">
        <f ca="1">([0]!P_1_10.2.10.1 [0]!PU)</f>
        <v>#REF!</v>
      </c>
      <c r="D517" s="260" t="e">
        <f ca="1">IF(ISTEXT(([0]!P_1_10.2.10.1 [0]!MT)),0,([0]!P_1_10.2.10.1 [0]!MT))</f>
        <v>#REF!</v>
      </c>
    </row>
    <row r="518" spans="1:4">
      <c r="A518" s="258" t="s">
        <v>520</v>
      </c>
      <c r="B518" s="259" t="e">
        <f ca="1">IF(ISTEXT(([0]!P_1_10.2.10.2 [0]!Qté)),0,([0]!P_1_10.2.10.2 [0]!Qté))</f>
        <v>#REF!</v>
      </c>
      <c r="C518" s="260" t="e">
        <f ca="1">([0]!P_1_10.2.10.2 [0]!PU)</f>
        <v>#REF!</v>
      </c>
      <c r="D518" s="260" t="e">
        <f ca="1">IF(ISTEXT(([0]!P_1_10.2.10.2 [0]!MT)),0,([0]!P_1_10.2.10.2 [0]!MT))</f>
        <v>#REF!</v>
      </c>
    </row>
    <row r="519" spans="1:4">
      <c r="A519" s="258" t="s">
        <v>521</v>
      </c>
      <c r="B519" s="259" t="e">
        <f ca="1">IF(ISTEXT(([0]!P_1_10.2.11.1 [0]!Qté)),0,([0]!P_1_10.2.11.1 [0]!Qté))</f>
        <v>#REF!</v>
      </c>
      <c r="C519" s="260" t="e">
        <f ca="1">([0]!P_1_10.2.11.1 [0]!PU)</f>
        <v>#REF!</v>
      </c>
      <c r="D519" s="260" t="e">
        <f ca="1">IF(ISTEXT(([0]!P_1_10.2.11.1 [0]!MT)),0,([0]!P_1_10.2.11.1 [0]!MT))</f>
        <v>#REF!</v>
      </c>
    </row>
    <row r="520" spans="1:4">
      <c r="A520" s="258" t="s">
        <v>522</v>
      </c>
      <c r="B520" s="259" t="e">
        <f ca="1">IF(ISTEXT(([0]!P_1_10.2.11.2 [0]!Qté)),0,([0]!P_1_10.2.11.2 [0]!Qté))</f>
        <v>#REF!</v>
      </c>
      <c r="C520" s="260" t="e">
        <f ca="1">([0]!P_1_10.2.11.2 [0]!PU)</f>
        <v>#REF!</v>
      </c>
      <c r="D520" s="260" t="e">
        <f ca="1">IF(ISTEXT(([0]!P_1_10.2.11.2 [0]!MT)),0,([0]!P_1_10.2.11.2 [0]!MT))</f>
        <v>#REF!</v>
      </c>
    </row>
    <row r="521" spans="1:4">
      <c r="A521" s="258" t="s">
        <v>523</v>
      </c>
      <c r="B521" s="259" t="e">
        <f ca="1">IF(ISTEXT(([0]!P_1_10.2.12.1 [0]!Qté)),0,([0]!P_1_10.2.12.1 [0]!Qté))</f>
        <v>#REF!</v>
      </c>
      <c r="C521" s="260" t="e">
        <f ca="1">([0]!P_1_10.2.12.1 [0]!PU)</f>
        <v>#REF!</v>
      </c>
      <c r="D521" s="260" t="e">
        <f ca="1">IF(ISTEXT(([0]!P_1_10.2.12.1 [0]!MT)),0,([0]!P_1_10.2.12.1 [0]!MT))</f>
        <v>#REF!</v>
      </c>
    </row>
    <row r="522" spans="1:4">
      <c r="A522" s="258" t="s">
        <v>524</v>
      </c>
      <c r="B522" s="259" t="e">
        <f ca="1">IF(ISTEXT(([0]!P_1_10.2.12.2 [0]!Qté)),0,([0]!P_1_10.2.12.2 [0]!Qté))</f>
        <v>#REF!</v>
      </c>
      <c r="C522" s="260" t="e">
        <f ca="1">([0]!P_1_10.2.12.2 [0]!PU)</f>
        <v>#REF!</v>
      </c>
      <c r="D522" s="260" t="e">
        <f ca="1">IF(ISTEXT(([0]!P_1_10.2.12.2 [0]!MT)),0,([0]!P_1_10.2.12.2 [0]!MT))</f>
        <v>#REF!</v>
      </c>
    </row>
    <row r="523" spans="1:4">
      <c r="A523" s="258" t="s">
        <v>525</v>
      </c>
      <c r="B523" s="259" t="e">
        <f ca="1">IF(ISTEXT(([0]!P_1_10.2.13.1.1 [0]!Qté)),0,([0]!P_1_10.2.13.1.1 [0]!Qté))</f>
        <v>#REF!</v>
      </c>
      <c r="C523" s="260" t="e">
        <f ca="1">([0]!P_1_10.2.13.1.1 [0]!PU)</f>
        <v>#REF!</v>
      </c>
      <c r="D523" s="260" t="e">
        <f ca="1">IF(ISTEXT(([0]!P_1_10.2.13.1.1 [0]!MT)),0,([0]!P_1_10.2.13.1.1 [0]!MT))</f>
        <v>#REF!</v>
      </c>
    </row>
    <row r="524" spans="1:4">
      <c r="A524" s="258" t="s">
        <v>526</v>
      </c>
      <c r="B524" s="259" t="e">
        <f ca="1">IF(ISTEXT(([0]!P_1_10.2.13.1.2 [0]!Qté)),0,([0]!P_1_10.2.13.1.2 [0]!Qté))</f>
        <v>#REF!</v>
      </c>
      <c r="C524" s="260" t="e">
        <f ca="1">([0]!P_1_10.2.13.1.2 [0]!PU)</f>
        <v>#REF!</v>
      </c>
      <c r="D524" s="260" t="e">
        <f ca="1">IF(ISTEXT(([0]!P_1_10.2.13.1.2 [0]!MT)),0,([0]!P_1_10.2.13.1.2 [0]!MT))</f>
        <v>#REF!</v>
      </c>
    </row>
    <row r="525" spans="1:4">
      <c r="A525" s="258" t="s">
        <v>527</v>
      </c>
      <c r="B525" s="259" t="e">
        <f ca="1">IF(ISTEXT(([0]!P_1_10.2.13.1.3 [0]!Qté)),0,([0]!P_1_10.2.13.1.3 [0]!Qté))</f>
        <v>#REF!</v>
      </c>
      <c r="C525" s="260" t="e">
        <f ca="1">([0]!P_1_10.2.13.1.3 [0]!PU)</f>
        <v>#REF!</v>
      </c>
      <c r="D525" s="260" t="e">
        <f ca="1">IF(ISTEXT(([0]!P_1_10.2.13.1.3 [0]!MT)),0,([0]!P_1_10.2.13.1.3 [0]!MT))</f>
        <v>#REF!</v>
      </c>
    </row>
    <row r="526" spans="1:4">
      <c r="A526" s="258" t="s">
        <v>528</v>
      </c>
      <c r="B526" s="259" t="e">
        <f ca="1">IF(ISTEXT(([0]!P_1_10.2.13.1.4 [0]!Qté)),0,([0]!P_1_10.2.13.1.4 [0]!Qté))</f>
        <v>#REF!</v>
      </c>
      <c r="C526" s="260" t="e">
        <f ca="1">([0]!P_1_10.2.13.1.4 [0]!PU)</f>
        <v>#REF!</v>
      </c>
      <c r="D526" s="260" t="e">
        <f ca="1">IF(ISTEXT(([0]!P_1_10.2.13.1.4 [0]!MT)),0,([0]!P_1_10.2.13.1.4 [0]!MT))</f>
        <v>#REF!</v>
      </c>
    </row>
    <row r="527" spans="1:4">
      <c r="A527" s="258" t="s">
        <v>529</v>
      </c>
      <c r="B527" s="259" t="e">
        <f ca="1">IF(ISTEXT(([0]!P_1_10.2.13.1.5 [0]!Qté)),0,([0]!P_1_10.2.13.1.5 [0]!Qté))</f>
        <v>#REF!</v>
      </c>
      <c r="C527" s="260" t="e">
        <f ca="1">([0]!P_1_10.2.13.1.5 [0]!PU)</f>
        <v>#REF!</v>
      </c>
      <c r="D527" s="260" t="e">
        <f ca="1">IF(ISTEXT(([0]!P_1_10.2.13.1.5 [0]!MT)),0,([0]!P_1_10.2.13.1.5 [0]!MT))</f>
        <v>#REF!</v>
      </c>
    </row>
    <row r="528" spans="1:4">
      <c r="A528" s="258" t="s">
        <v>530</v>
      </c>
      <c r="B528" s="259" t="e">
        <f ca="1">IF(ISTEXT(([0]!P_1_10.2.13.1.6 [0]!Qté)),0,([0]!P_1_10.2.13.1.6 [0]!Qté))</f>
        <v>#REF!</v>
      </c>
      <c r="C528" s="260" t="e">
        <f ca="1">([0]!P_1_10.2.13.1.6 [0]!PU)</f>
        <v>#REF!</v>
      </c>
      <c r="D528" s="260" t="e">
        <f ca="1">IF(ISTEXT(([0]!P_1_10.2.13.1.6 [0]!MT)),0,([0]!P_1_10.2.13.1.6 [0]!MT))</f>
        <v>#REF!</v>
      </c>
    </row>
    <row r="529" spans="1:4">
      <c r="A529" s="258" t="s">
        <v>531</v>
      </c>
      <c r="B529" s="259" t="e">
        <f ca="1">IF(ISTEXT(([0]!P_1_10.2.13.2.1 [0]!Qté)),0,([0]!P_1_10.2.13.2.1 [0]!Qté))</f>
        <v>#REF!</v>
      </c>
      <c r="C529" s="260" t="e">
        <f ca="1">([0]!P_1_10.2.13.2.1 [0]!PU)</f>
        <v>#REF!</v>
      </c>
      <c r="D529" s="260" t="e">
        <f ca="1">IF(ISTEXT(([0]!P_1_10.2.13.2.1 [0]!MT)),0,([0]!P_1_10.2.13.2.1 [0]!MT))</f>
        <v>#REF!</v>
      </c>
    </row>
    <row r="530" spans="1:4">
      <c r="A530" s="258" t="s">
        <v>532</v>
      </c>
      <c r="B530" s="259" t="e">
        <f ca="1">IF(ISTEXT(([0]!P_1_10.2.13.2.2 [0]!Qté)),0,([0]!P_1_10.2.13.2.2 [0]!Qté))</f>
        <v>#REF!</v>
      </c>
      <c r="C530" s="260" t="e">
        <f ca="1">([0]!P_1_10.2.13.2.2 [0]!PU)</f>
        <v>#REF!</v>
      </c>
      <c r="D530" s="260" t="e">
        <f ca="1">IF(ISTEXT(([0]!P_1_10.2.13.2.2 [0]!MT)),0,([0]!P_1_10.2.13.2.2 [0]!MT))</f>
        <v>#REF!</v>
      </c>
    </row>
    <row r="531" spans="1:4">
      <c r="A531" s="258" t="s">
        <v>533</v>
      </c>
      <c r="B531" s="259" t="e">
        <f ca="1">IF(ISTEXT(([0]!P_1_10.2.13.2.3 [0]!Qté)),0,([0]!P_1_10.2.13.2.3 [0]!Qté))</f>
        <v>#REF!</v>
      </c>
      <c r="C531" s="260" t="e">
        <f ca="1">([0]!P_1_10.2.13.2.3 [0]!PU)</f>
        <v>#REF!</v>
      </c>
      <c r="D531" s="260" t="e">
        <f ca="1">IF(ISTEXT(([0]!P_1_10.2.13.2.3 [0]!MT)),0,([0]!P_1_10.2.13.2.3 [0]!MT))</f>
        <v>#REF!</v>
      </c>
    </row>
    <row r="532" spans="1:4">
      <c r="A532" s="258" t="s">
        <v>534</v>
      </c>
      <c r="B532" s="259" t="e">
        <f ca="1">IF(ISTEXT(([0]!P_1_10.2.13.2.4 [0]!Qté)),0,([0]!P_1_10.2.13.2.4 [0]!Qté))</f>
        <v>#REF!</v>
      </c>
      <c r="C532" s="260" t="e">
        <f ca="1">([0]!P_1_10.2.13.2.4 [0]!PU)</f>
        <v>#REF!</v>
      </c>
      <c r="D532" s="260" t="e">
        <f ca="1">IF(ISTEXT(([0]!P_1_10.2.13.2.4 [0]!MT)),0,([0]!P_1_10.2.13.2.4 [0]!MT))</f>
        <v>#REF!</v>
      </c>
    </row>
    <row r="533" spans="1:4">
      <c r="A533" s="258" t="s">
        <v>535</v>
      </c>
      <c r="B533" s="259" t="e">
        <f ca="1">IF(ISTEXT(([0]!P_1_10.2.13.2.5 [0]!Qté)),0,([0]!P_1_10.2.13.2.5 [0]!Qté))</f>
        <v>#REF!</v>
      </c>
      <c r="C533" s="260" t="e">
        <f ca="1">([0]!P_1_10.2.13.2.5 [0]!PU)</f>
        <v>#REF!</v>
      </c>
      <c r="D533" s="260" t="e">
        <f ca="1">IF(ISTEXT(([0]!P_1_10.2.13.2.5 [0]!MT)),0,([0]!P_1_10.2.13.2.5 [0]!MT))</f>
        <v>#REF!</v>
      </c>
    </row>
    <row r="534" spans="1:4">
      <c r="A534" s="258" t="s">
        <v>536</v>
      </c>
      <c r="B534" s="259" t="e">
        <f ca="1">IF(ISTEXT(([0]!P_1_10.2.13.2.6 [0]!Qté)),0,([0]!P_1_10.2.13.2.6 [0]!Qté))</f>
        <v>#REF!</v>
      </c>
      <c r="C534" s="260" t="e">
        <f ca="1">([0]!P_1_10.2.13.2.6 [0]!PU)</f>
        <v>#REF!</v>
      </c>
      <c r="D534" s="260" t="e">
        <f ca="1">IF(ISTEXT(([0]!P_1_10.2.13.2.6 [0]!MT)),0,([0]!P_1_10.2.13.2.6 [0]!MT))</f>
        <v>#REF!</v>
      </c>
    </row>
    <row r="535" spans="1:4">
      <c r="A535" s="258" t="s">
        <v>537</v>
      </c>
      <c r="B535" s="259" t="e">
        <f ca="1">IF(ISTEXT(([0]!P_1_10.2.13.3.1 [0]!Qté)),0,([0]!P_1_10.2.13.3.1 [0]!Qté))</f>
        <v>#REF!</v>
      </c>
      <c r="C535" s="260" t="e">
        <f ca="1">([0]!P_1_10.2.13.3.1 [0]!PU)</f>
        <v>#REF!</v>
      </c>
      <c r="D535" s="260" t="e">
        <f ca="1">IF(ISTEXT(([0]!P_1_10.2.13.3.1 [0]!MT)),0,([0]!P_1_10.2.13.3.1 [0]!MT))</f>
        <v>#REF!</v>
      </c>
    </row>
    <row r="536" spans="1:4">
      <c r="A536" s="258" t="s">
        <v>538</v>
      </c>
      <c r="B536" s="259" t="e">
        <f ca="1">IF(ISTEXT(([0]!P_1_10.2.13.3.2 [0]!Qté)),0,([0]!P_1_10.2.13.3.2 [0]!Qté))</f>
        <v>#REF!</v>
      </c>
      <c r="C536" s="260" t="e">
        <f ca="1">([0]!P_1_10.2.13.3.2 [0]!PU)</f>
        <v>#REF!</v>
      </c>
      <c r="D536" s="260" t="e">
        <f ca="1">IF(ISTEXT(([0]!P_1_10.2.13.3.2 [0]!MT)),0,([0]!P_1_10.2.13.3.2 [0]!MT))</f>
        <v>#REF!</v>
      </c>
    </row>
    <row r="537" spans="1:4">
      <c r="A537" s="258" t="s">
        <v>539</v>
      </c>
      <c r="B537" s="259" t="e">
        <f ca="1">IF(ISTEXT(([0]!P_1_10.2.13.3.3 [0]!Qté)),0,([0]!P_1_10.2.13.3.3 [0]!Qté))</f>
        <v>#REF!</v>
      </c>
      <c r="C537" s="260" t="e">
        <f ca="1">([0]!P_1_10.2.13.3.3 [0]!PU)</f>
        <v>#REF!</v>
      </c>
      <c r="D537" s="260" t="e">
        <f ca="1">IF(ISTEXT(([0]!P_1_10.2.13.3.3 [0]!MT)),0,([0]!P_1_10.2.13.3.3 [0]!MT))</f>
        <v>#REF!</v>
      </c>
    </row>
    <row r="538" spans="1:4">
      <c r="A538" s="258" t="s">
        <v>540</v>
      </c>
      <c r="B538" s="259" t="e">
        <f ca="1">IF(ISTEXT(([0]!P_1_10.2.13.3.4 [0]!Qté)),0,([0]!P_1_10.2.13.3.4 [0]!Qté))</f>
        <v>#REF!</v>
      </c>
      <c r="C538" s="260" t="e">
        <f ca="1">([0]!P_1_10.2.13.3.4 [0]!PU)</f>
        <v>#REF!</v>
      </c>
      <c r="D538" s="260" t="e">
        <f ca="1">IF(ISTEXT(([0]!P_1_10.2.13.3.4 [0]!MT)),0,([0]!P_1_10.2.13.3.4 [0]!MT))</f>
        <v>#REF!</v>
      </c>
    </row>
    <row r="539" spans="1:4">
      <c r="A539" s="258" t="s">
        <v>541</v>
      </c>
      <c r="B539" s="259" t="e">
        <f ca="1">IF(ISTEXT(([0]!P_1_10.2.13.3.5 [0]!Qté)),0,([0]!P_1_10.2.13.3.5 [0]!Qté))</f>
        <v>#REF!</v>
      </c>
      <c r="C539" s="260" t="e">
        <f ca="1">([0]!P_1_10.2.13.3.5 [0]!PU)</f>
        <v>#REF!</v>
      </c>
      <c r="D539" s="260" t="e">
        <f ca="1">IF(ISTEXT(([0]!P_1_10.2.13.3.5 [0]!MT)),0,([0]!P_1_10.2.13.3.5 [0]!MT))</f>
        <v>#REF!</v>
      </c>
    </row>
    <row r="540" spans="1:4">
      <c r="A540" s="258" t="s">
        <v>542</v>
      </c>
      <c r="B540" s="259" t="e">
        <f ca="1">IF(ISTEXT(([0]!P_1_10.2.13.3.6 [0]!Qté)),0,([0]!P_1_10.2.13.3.6 [0]!Qté))</f>
        <v>#REF!</v>
      </c>
      <c r="C540" s="260" t="e">
        <f ca="1">([0]!P_1_10.2.13.3.6 [0]!PU)</f>
        <v>#REF!</v>
      </c>
      <c r="D540" s="260" t="e">
        <f ca="1">IF(ISTEXT(([0]!P_1_10.2.13.3.6 [0]!MT)),0,([0]!P_1_10.2.13.3.6 [0]!MT))</f>
        <v>#REF!</v>
      </c>
    </row>
    <row r="541" spans="1:4">
      <c r="A541" s="258" t="s">
        <v>543</v>
      </c>
      <c r="B541" s="259" t="e">
        <f ca="1">IF(ISTEXT(([0]!P_1_10.2.13.4.1 [0]!Qté)),0,([0]!P_1_10.2.13.4.1 [0]!Qté))</f>
        <v>#REF!</v>
      </c>
      <c r="C541" s="260" t="e">
        <f ca="1">([0]!P_1_10.2.13.4.1 [0]!PU)</f>
        <v>#REF!</v>
      </c>
      <c r="D541" s="260" t="e">
        <f ca="1">IF(ISTEXT(([0]!P_1_10.2.13.4.1 [0]!MT)),0,([0]!P_1_10.2.13.4.1 [0]!MT))</f>
        <v>#REF!</v>
      </c>
    </row>
    <row r="542" spans="1:4">
      <c r="A542" s="258" t="s">
        <v>544</v>
      </c>
      <c r="B542" s="259" t="e">
        <f ca="1">IF(ISTEXT(([0]!P_1_10.2.13.4.2 [0]!Qté)),0,([0]!P_1_10.2.13.4.2 [0]!Qté))</f>
        <v>#REF!</v>
      </c>
      <c r="C542" s="260" t="e">
        <f ca="1">([0]!P_1_10.2.13.4.2 [0]!PU)</f>
        <v>#REF!</v>
      </c>
      <c r="D542" s="260" t="e">
        <f ca="1">IF(ISTEXT(([0]!P_1_10.2.13.4.2 [0]!MT)),0,([0]!P_1_10.2.13.4.2 [0]!MT))</f>
        <v>#REF!</v>
      </c>
    </row>
    <row r="543" spans="1:4">
      <c r="A543" s="258" t="s">
        <v>545</v>
      </c>
      <c r="B543" s="259" t="e">
        <f ca="1">IF(ISTEXT(([0]!P_1_10.2.13.4.3 [0]!Qté)),0,([0]!P_1_10.2.13.4.3 [0]!Qté))</f>
        <v>#REF!</v>
      </c>
      <c r="C543" s="260" t="e">
        <f ca="1">([0]!P_1_10.2.13.4.3 [0]!PU)</f>
        <v>#REF!</v>
      </c>
      <c r="D543" s="260" t="e">
        <f ca="1">IF(ISTEXT(([0]!P_1_10.2.13.4.3 [0]!MT)),0,([0]!P_1_10.2.13.4.3 [0]!MT))</f>
        <v>#REF!</v>
      </c>
    </row>
    <row r="544" spans="1:4">
      <c r="A544" s="258" t="s">
        <v>546</v>
      </c>
      <c r="B544" s="259" t="e">
        <f ca="1">IF(ISTEXT(([0]!P_1_10.2.13.4.4 [0]!Qté)),0,([0]!P_1_10.2.13.4.4 [0]!Qté))</f>
        <v>#REF!</v>
      </c>
      <c r="C544" s="260" t="e">
        <f ca="1">([0]!P_1_10.2.13.4.4 [0]!PU)</f>
        <v>#REF!</v>
      </c>
      <c r="D544" s="260" t="e">
        <f ca="1">IF(ISTEXT(([0]!P_1_10.2.13.4.4 [0]!MT)),0,([0]!P_1_10.2.13.4.4 [0]!MT))</f>
        <v>#REF!</v>
      </c>
    </row>
    <row r="545" spans="1:4">
      <c r="A545" s="258" t="s">
        <v>547</v>
      </c>
      <c r="B545" s="259" t="e">
        <f ca="1">IF(ISTEXT(([0]!P_1_10.2.13.4.5 [0]!Qté)),0,([0]!P_1_10.2.13.4.5 [0]!Qté))</f>
        <v>#REF!</v>
      </c>
      <c r="C545" s="260" t="e">
        <f ca="1">([0]!P_1_10.2.13.4.5 [0]!PU)</f>
        <v>#REF!</v>
      </c>
      <c r="D545" s="260" t="e">
        <f ca="1">IF(ISTEXT(([0]!P_1_10.2.13.4.5 [0]!MT)),0,([0]!P_1_10.2.13.4.5 [0]!MT))</f>
        <v>#REF!</v>
      </c>
    </row>
    <row r="546" spans="1:4">
      <c r="A546" s="258" t="s">
        <v>548</v>
      </c>
      <c r="B546" s="259" t="e">
        <f ca="1">IF(ISTEXT(([0]!P_1_10.2.14.1.1 [0]!Qté)),0,([0]!P_1_10.2.14.1.1 [0]!Qté))</f>
        <v>#REF!</v>
      </c>
      <c r="C546" s="260" t="e">
        <f ca="1">([0]!P_1_10.2.14.1.1 [0]!PU)</f>
        <v>#REF!</v>
      </c>
      <c r="D546" s="260" t="e">
        <f ca="1">IF(ISTEXT(([0]!P_1_10.2.14.1.1 [0]!MT)),0,([0]!P_1_10.2.14.1.1 [0]!MT))</f>
        <v>#REF!</v>
      </c>
    </row>
    <row r="547" spans="1:4">
      <c r="A547" s="258" t="s">
        <v>549</v>
      </c>
      <c r="B547" s="259" t="e">
        <f ca="1">IF(ISTEXT(([0]!P_1_10.2.14.1.2 [0]!Qté)),0,([0]!P_1_10.2.14.1.2 [0]!Qté))</f>
        <v>#REF!</v>
      </c>
      <c r="C547" s="260" t="e">
        <f ca="1">([0]!P_1_10.2.14.1.2 [0]!PU)</f>
        <v>#REF!</v>
      </c>
      <c r="D547" s="260" t="e">
        <f ca="1">IF(ISTEXT(([0]!P_1_10.2.14.1.2 [0]!MT)),0,([0]!P_1_10.2.14.1.2 [0]!MT))</f>
        <v>#REF!</v>
      </c>
    </row>
    <row r="548" spans="1:4">
      <c r="A548" s="258" t="s">
        <v>550</v>
      </c>
      <c r="B548" s="259" t="e">
        <f ca="1">IF(ISTEXT(([0]!P_1_10.2.14.1.3 [0]!Qté)),0,([0]!P_1_10.2.14.1.3 [0]!Qté))</f>
        <v>#REF!</v>
      </c>
      <c r="C548" s="260" t="e">
        <f ca="1">([0]!P_1_10.2.14.1.3 [0]!PU)</f>
        <v>#REF!</v>
      </c>
      <c r="D548" s="260" t="e">
        <f ca="1">IF(ISTEXT(([0]!P_1_10.2.14.1.3 [0]!MT)),0,([0]!P_1_10.2.14.1.3 [0]!MT))</f>
        <v>#REF!</v>
      </c>
    </row>
    <row r="549" spans="1:4">
      <c r="A549" s="258" t="s">
        <v>551</v>
      </c>
      <c r="B549" s="259" t="e">
        <f ca="1">IF(ISTEXT(([0]!P_1_10.2.14.1.4 [0]!Qté)),0,([0]!P_1_10.2.14.1.4 [0]!Qté))</f>
        <v>#REF!</v>
      </c>
      <c r="C549" s="260" t="e">
        <f ca="1">([0]!P_1_10.2.14.1.4 [0]!PU)</f>
        <v>#REF!</v>
      </c>
      <c r="D549" s="260" t="e">
        <f ca="1">IF(ISTEXT(([0]!P_1_10.2.14.1.4 [0]!MT)),0,([0]!P_1_10.2.14.1.4 [0]!MT))</f>
        <v>#REF!</v>
      </c>
    </row>
    <row r="550" spans="1:4">
      <c r="A550" s="258" t="s">
        <v>552</v>
      </c>
      <c r="B550" s="259" t="e">
        <f ca="1">IF(ISTEXT(([0]!P_1_10.2.14.1.5 [0]!Qté)),0,([0]!P_1_10.2.14.1.5 [0]!Qté))</f>
        <v>#REF!</v>
      </c>
      <c r="C550" s="260" t="e">
        <f ca="1">([0]!P_1_10.2.14.1.5 [0]!PU)</f>
        <v>#REF!</v>
      </c>
      <c r="D550" s="260" t="e">
        <f ca="1">IF(ISTEXT(([0]!P_1_10.2.14.1.5 [0]!MT)),0,([0]!P_1_10.2.14.1.5 [0]!MT))</f>
        <v>#REF!</v>
      </c>
    </row>
    <row r="551" spans="1:4">
      <c r="A551" s="258" t="s">
        <v>553</v>
      </c>
      <c r="B551" s="259" t="e">
        <f ca="1">IF(ISTEXT(([0]!P_1_10.2.14.1.6 [0]!Qté)),0,([0]!P_1_10.2.14.1.6 [0]!Qté))</f>
        <v>#REF!</v>
      </c>
      <c r="C551" s="260" t="e">
        <f ca="1">([0]!P_1_10.2.14.1.6 [0]!PU)</f>
        <v>#REF!</v>
      </c>
      <c r="D551" s="260" t="e">
        <f ca="1">IF(ISTEXT(([0]!P_1_10.2.14.1.6 [0]!MT)),0,([0]!P_1_10.2.14.1.6 [0]!MT))</f>
        <v>#REF!</v>
      </c>
    </row>
    <row r="552" spans="1:4">
      <c r="A552" s="258" t="s">
        <v>554</v>
      </c>
      <c r="B552" s="259" t="e">
        <f ca="1">IF(ISTEXT(([0]!P_1_10.2.14.2.1 [0]!Qté)),0,([0]!P_1_10.2.14.2.1 [0]!Qté))</f>
        <v>#REF!</v>
      </c>
      <c r="C552" s="260" t="e">
        <f ca="1">([0]!P_1_10.2.14.2.1 [0]!PU)</f>
        <v>#REF!</v>
      </c>
      <c r="D552" s="260" t="e">
        <f ca="1">IF(ISTEXT(([0]!P_1_10.2.14.2.1 [0]!MT)),0,([0]!P_1_10.2.14.2.1 [0]!MT))</f>
        <v>#REF!</v>
      </c>
    </row>
    <row r="553" spans="1:4">
      <c r="A553" s="258" t="s">
        <v>555</v>
      </c>
      <c r="B553" s="259" t="e">
        <f ca="1">IF(ISTEXT(([0]!P_1_10.2.14.2.2 [0]!Qté)),0,([0]!P_1_10.2.14.2.2 [0]!Qté))</f>
        <v>#REF!</v>
      </c>
      <c r="C553" s="260" t="e">
        <f ca="1">([0]!P_1_10.2.14.2.2 [0]!PU)</f>
        <v>#REF!</v>
      </c>
      <c r="D553" s="260" t="e">
        <f ca="1">IF(ISTEXT(([0]!P_1_10.2.14.2.2 [0]!MT)),0,([0]!P_1_10.2.14.2.2 [0]!MT))</f>
        <v>#REF!</v>
      </c>
    </row>
    <row r="554" spans="1:4">
      <c r="A554" s="258" t="s">
        <v>556</v>
      </c>
      <c r="B554" s="259" t="e">
        <f ca="1">IF(ISTEXT(([0]!P_1_10.2.14.2.3 [0]!Qté)),0,([0]!P_1_10.2.14.2.3 [0]!Qté))</f>
        <v>#REF!</v>
      </c>
      <c r="C554" s="260" t="e">
        <f ca="1">([0]!P_1_10.2.14.2.3 [0]!PU)</f>
        <v>#REF!</v>
      </c>
      <c r="D554" s="260" t="e">
        <f ca="1">IF(ISTEXT(([0]!P_1_10.2.14.2.3 [0]!MT)),0,([0]!P_1_10.2.14.2.3 [0]!MT))</f>
        <v>#REF!</v>
      </c>
    </row>
    <row r="555" spans="1:4">
      <c r="A555" s="258" t="s">
        <v>557</v>
      </c>
      <c r="B555" s="259" t="e">
        <f ca="1">IF(ISTEXT(([0]!P_1_10.2.14.2.4 [0]!Qté)),0,([0]!P_1_10.2.14.2.4 [0]!Qté))</f>
        <v>#REF!</v>
      </c>
      <c r="C555" s="260" t="e">
        <f ca="1">([0]!P_1_10.2.14.2.4 [0]!PU)</f>
        <v>#REF!</v>
      </c>
      <c r="D555" s="260" t="e">
        <f ca="1">IF(ISTEXT(([0]!P_1_10.2.14.2.4 [0]!MT)),0,([0]!P_1_10.2.14.2.4 [0]!MT))</f>
        <v>#REF!</v>
      </c>
    </row>
    <row r="556" spans="1:4">
      <c r="A556" s="258" t="s">
        <v>558</v>
      </c>
      <c r="B556" s="259" t="e">
        <f ca="1">IF(ISTEXT(([0]!P_1_10.2.14.2.5 [0]!Qté)),0,([0]!P_1_10.2.14.2.5 [0]!Qté))</f>
        <v>#REF!</v>
      </c>
      <c r="C556" s="260" t="e">
        <f ca="1">([0]!P_1_10.2.14.2.5 [0]!PU)</f>
        <v>#REF!</v>
      </c>
      <c r="D556" s="260" t="e">
        <f ca="1">IF(ISTEXT(([0]!P_1_10.2.14.2.5 [0]!MT)),0,([0]!P_1_10.2.14.2.5 [0]!MT))</f>
        <v>#REF!</v>
      </c>
    </row>
    <row r="557" spans="1:4">
      <c r="A557" s="258" t="s">
        <v>559</v>
      </c>
      <c r="B557" s="259" t="e">
        <f ca="1">IF(ISTEXT(([0]!P_1_10.2.14.2.6 [0]!Qté)),0,([0]!P_1_10.2.14.2.6 [0]!Qté))</f>
        <v>#REF!</v>
      </c>
      <c r="C557" s="260" t="e">
        <f ca="1">([0]!P_1_10.2.14.2.6 [0]!PU)</f>
        <v>#REF!</v>
      </c>
      <c r="D557" s="260" t="e">
        <f ca="1">IF(ISTEXT(([0]!P_1_10.2.14.2.6 [0]!MT)),0,([0]!P_1_10.2.14.2.6 [0]!MT))</f>
        <v>#REF!</v>
      </c>
    </row>
    <row r="558" spans="1:4">
      <c r="A558" s="258" t="s">
        <v>560</v>
      </c>
      <c r="B558" s="259" t="e">
        <f ca="1">IF(ISTEXT(([0]!P_1_10.2.14.3.1 [0]!Qté)),0,([0]!P_1_10.2.14.3.1 [0]!Qté))</f>
        <v>#REF!</v>
      </c>
      <c r="C558" s="260" t="e">
        <f ca="1">([0]!P_1_10.2.14.3.1 [0]!PU)</f>
        <v>#REF!</v>
      </c>
      <c r="D558" s="260" t="e">
        <f ca="1">IF(ISTEXT(([0]!P_1_10.2.14.3.1 [0]!MT)),0,([0]!P_1_10.2.14.3.1 [0]!MT))</f>
        <v>#REF!</v>
      </c>
    </row>
    <row r="559" spans="1:4">
      <c r="A559" s="258" t="s">
        <v>561</v>
      </c>
      <c r="B559" s="259" t="e">
        <f ca="1">IF(ISTEXT(([0]!P_1_10.2.14.3.2 [0]!Qté)),0,([0]!P_1_10.2.14.3.2 [0]!Qté))</f>
        <v>#REF!</v>
      </c>
      <c r="C559" s="260" t="e">
        <f ca="1">([0]!P_1_10.2.14.3.2 [0]!PU)</f>
        <v>#REF!</v>
      </c>
      <c r="D559" s="260" t="e">
        <f ca="1">IF(ISTEXT(([0]!P_1_10.2.14.3.2 [0]!MT)),0,([0]!P_1_10.2.14.3.2 [0]!MT))</f>
        <v>#REF!</v>
      </c>
    </row>
    <row r="560" spans="1:4">
      <c r="A560" s="258" t="s">
        <v>562</v>
      </c>
      <c r="B560" s="259" t="e">
        <f ca="1">IF(ISTEXT(([0]!P_1_10.2.14.3.3 [0]!Qté)),0,([0]!P_1_10.2.14.3.3 [0]!Qté))</f>
        <v>#REF!</v>
      </c>
      <c r="C560" s="260" t="e">
        <f ca="1">([0]!P_1_10.2.14.3.3 [0]!PU)</f>
        <v>#REF!</v>
      </c>
      <c r="D560" s="260" t="e">
        <f ca="1">IF(ISTEXT(([0]!P_1_10.2.14.3.3 [0]!MT)),0,([0]!P_1_10.2.14.3.3 [0]!MT))</f>
        <v>#REF!</v>
      </c>
    </row>
    <row r="561" spans="1:4">
      <c r="A561" s="258" t="s">
        <v>563</v>
      </c>
      <c r="B561" s="259" t="e">
        <f ca="1">IF(ISTEXT(([0]!P_1_10.2.14.3.4 [0]!Qté)),0,([0]!P_1_10.2.14.3.4 [0]!Qté))</f>
        <v>#REF!</v>
      </c>
      <c r="C561" s="260" t="e">
        <f ca="1">([0]!P_1_10.2.14.3.4 [0]!PU)</f>
        <v>#REF!</v>
      </c>
      <c r="D561" s="260" t="e">
        <f ca="1">IF(ISTEXT(([0]!P_1_10.2.14.3.4 [0]!MT)),0,([0]!P_1_10.2.14.3.4 [0]!MT))</f>
        <v>#REF!</v>
      </c>
    </row>
    <row r="562" spans="1:4">
      <c r="A562" s="258" t="s">
        <v>564</v>
      </c>
      <c r="B562" s="259" t="e">
        <f ca="1">IF(ISTEXT(([0]!P_1_10.2.14.3.5 [0]!Qté)),0,([0]!P_1_10.2.14.3.5 [0]!Qté))</f>
        <v>#REF!</v>
      </c>
      <c r="C562" s="260" t="e">
        <f ca="1">([0]!P_1_10.2.14.3.5 [0]!PU)</f>
        <v>#REF!</v>
      </c>
      <c r="D562" s="260" t="e">
        <f ca="1">IF(ISTEXT(([0]!P_1_10.2.14.3.5 [0]!MT)),0,([0]!P_1_10.2.14.3.5 [0]!MT))</f>
        <v>#REF!</v>
      </c>
    </row>
    <row r="563" spans="1:4">
      <c r="A563" s="258" t="s">
        <v>565</v>
      </c>
      <c r="B563" s="259" t="e">
        <f ca="1">IF(ISTEXT(([0]!P_1_10.2.14.3.6 [0]!Qté)),0,([0]!P_1_10.2.14.3.6 [0]!Qté))</f>
        <v>#REF!</v>
      </c>
      <c r="C563" s="260" t="e">
        <f ca="1">([0]!P_1_10.2.14.3.6 [0]!PU)</f>
        <v>#REF!</v>
      </c>
      <c r="D563" s="260" t="e">
        <f ca="1">IF(ISTEXT(([0]!P_1_10.2.14.3.6 [0]!MT)),0,([0]!P_1_10.2.14.3.6 [0]!MT))</f>
        <v>#REF!</v>
      </c>
    </row>
    <row r="564" spans="1:4">
      <c r="A564" s="258" t="s">
        <v>566</v>
      </c>
      <c r="B564" s="259" t="e">
        <f ca="1">IF(ISTEXT(([0]!P_1_10.2.14.4.1 [0]!Qté)),0,([0]!P_1_10.2.14.4.1 [0]!Qté))</f>
        <v>#REF!</v>
      </c>
      <c r="C564" s="260" t="e">
        <f ca="1">([0]!P_1_10.2.14.4.1 [0]!PU)</f>
        <v>#REF!</v>
      </c>
      <c r="D564" s="260" t="e">
        <f ca="1">IF(ISTEXT(([0]!P_1_10.2.14.4.1 [0]!MT)),0,([0]!P_1_10.2.14.4.1 [0]!MT))</f>
        <v>#REF!</v>
      </c>
    </row>
    <row r="565" spans="1:4">
      <c r="A565" s="258" t="s">
        <v>567</v>
      </c>
      <c r="B565" s="259" t="e">
        <f ca="1">IF(ISTEXT(([0]!P_1_10.2.14.4.2 [0]!Qté)),0,([0]!P_1_10.2.14.4.2 [0]!Qté))</f>
        <v>#REF!</v>
      </c>
      <c r="C565" s="260" t="e">
        <f ca="1">([0]!P_1_10.2.14.4.2 [0]!PU)</f>
        <v>#REF!</v>
      </c>
      <c r="D565" s="260" t="e">
        <f ca="1">IF(ISTEXT(([0]!P_1_10.2.14.4.2 [0]!MT)),0,([0]!P_1_10.2.14.4.2 [0]!MT))</f>
        <v>#REF!</v>
      </c>
    </row>
    <row r="566" spans="1:4">
      <c r="A566" s="258" t="s">
        <v>568</v>
      </c>
      <c r="B566" s="259" t="e">
        <f ca="1">IF(ISTEXT(([0]!P_1_10.2.14.4.3 [0]!Qté)),0,([0]!P_1_10.2.14.4.3 [0]!Qté))</f>
        <v>#REF!</v>
      </c>
      <c r="C566" s="260" t="e">
        <f ca="1">([0]!P_1_10.2.14.4.3 [0]!PU)</f>
        <v>#REF!</v>
      </c>
      <c r="D566" s="260" t="e">
        <f ca="1">IF(ISTEXT(([0]!P_1_10.2.14.4.3 [0]!MT)),0,([0]!P_1_10.2.14.4.3 [0]!MT))</f>
        <v>#REF!</v>
      </c>
    </row>
    <row r="567" spans="1:4">
      <c r="A567" s="258" t="s">
        <v>569</v>
      </c>
      <c r="B567" s="259" t="e">
        <f ca="1">IF(ISTEXT(([0]!P_1_10.2.14.4.4 [0]!Qté)),0,([0]!P_1_10.2.14.4.4 [0]!Qté))</f>
        <v>#REF!</v>
      </c>
      <c r="C567" s="260" t="e">
        <f ca="1">([0]!P_1_10.2.14.4.4 [0]!PU)</f>
        <v>#REF!</v>
      </c>
      <c r="D567" s="260" t="e">
        <f ca="1">IF(ISTEXT(([0]!P_1_10.2.14.4.4 [0]!MT)),0,([0]!P_1_10.2.14.4.4 [0]!MT))</f>
        <v>#REF!</v>
      </c>
    </row>
    <row r="568" spans="1:4">
      <c r="A568" s="258" t="s">
        <v>570</v>
      </c>
      <c r="B568" s="259" t="e">
        <f ca="1">IF(ISTEXT(([0]!P_1_10.2.14.4.5 [0]!Qté)),0,([0]!P_1_10.2.14.4.5 [0]!Qté))</f>
        <v>#REF!</v>
      </c>
      <c r="C568" s="260" t="e">
        <f ca="1">([0]!P_1_10.2.14.4.5 [0]!PU)</f>
        <v>#REF!</v>
      </c>
      <c r="D568" s="260" t="e">
        <f ca="1">IF(ISTEXT(([0]!P_1_10.2.14.4.5 [0]!MT)),0,([0]!P_1_10.2.14.4.5 [0]!MT))</f>
        <v>#REF!</v>
      </c>
    </row>
    <row r="569" spans="1:4">
      <c r="A569" s="258" t="s">
        <v>571</v>
      </c>
      <c r="B569" s="259" t="e">
        <f ca="1">IF(ISTEXT(([0]!P_1_10.2.14.4.6 [0]!Qté)),0,([0]!P_1_10.2.14.4.6 [0]!Qté))</f>
        <v>#REF!</v>
      </c>
      <c r="C569" s="260" t="e">
        <f ca="1">([0]!P_1_10.2.14.4.6 [0]!PU)</f>
        <v>#REF!</v>
      </c>
      <c r="D569" s="260" t="e">
        <f ca="1">IF(ISTEXT(([0]!P_1_10.2.14.4.6 [0]!MT)),0,([0]!P_1_10.2.14.4.6 [0]!MT))</f>
        <v>#REF!</v>
      </c>
    </row>
    <row r="570" spans="1:4">
      <c r="A570" s="258" t="s">
        <v>572</v>
      </c>
      <c r="B570" s="259" t="e">
        <f ca="1">IF(ISTEXT(([0]!P_1_10.2.15.1 [0]!Qté)),0,([0]!P_1_10.2.15.1 [0]!Qté))</f>
        <v>#REF!</v>
      </c>
      <c r="C570" s="260" t="e">
        <f ca="1">([0]!P_1_10.2.15.1 [0]!PU)</f>
        <v>#REF!</v>
      </c>
      <c r="D570" s="260" t="e">
        <f ca="1">IF(ISTEXT(([0]!P_1_10.2.15.1 [0]!MT)),0,([0]!P_1_10.2.15.1 [0]!MT))</f>
        <v>#REF!</v>
      </c>
    </row>
    <row r="571" spans="1:4">
      <c r="A571" s="258" t="s">
        <v>573</v>
      </c>
      <c r="B571" s="259" t="e">
        <f ca="1">IF(ISTEXT(([0]!P_1_10.2.15.2 [0]!Qté)),0,([0]!P_1_10.2.15.2 [0]!Qté))</f>
        <v>#REF!</v>
      </c>
      <c r="C571" s="260" t="e">
        <f ca="1">([0]!P_1_10.2.15.2 [0]!PU)</f>
        <v>#REF!</v>
      </c>
      <c r="D571" s="260" t="e">
        <f ca="1">IF(ISTEXT(([0]!P_1_10.2.15.2 [0]!MT)),0,([0]!P_1_10.2.15.2 [0]!MT))</f>
        <v>#REF!</v>
      </c>
    </row>
    <row r="572" spans="1:4">
      <c r="A572" s="258" t="s">
        <v>574</v>
      </c>
      <c r="B572" s="259" t="e">
        <f ca="1">IF(ISTEXT(([0]!P_1_10.2.15.3 [0]!Qté)),0,([0]!P_1_10.2.15.3 [0]!Qté))</f>
        <v>#REF!</v>
      </c>
      <c r="C572" s="260" t="e">
        <f ca="1">([0]!P_1_10.2.15.3 [0]!PU)</f>
        <v>#REF!</v>
      </c>
      <c r="D572" s="260" t="e">
        <f ca="1">IF(ISTEXT(([0]!P_1_10.2.15.3 [0]!MT)),0,([0]!P_1_10.2.15.3 [0]!MT))</f>
        <v>#REF!</v>
      </c>
    </row>
    <row r="573" spans="1:4">
      <c r="A573" s="258" t="s">
        <v>575</v>
      </c>
      <c r="B573" s="259" t="e">
        <f ca="1">IF(ISTEXT(([0]!P_1_10.2.15.4 [0]!Qté)),0,([0]!P_1_10.2.15.4 [0]!Qté))</f>
        <v>#REF!</v>
      </c>
      <c r="C573" s="260" t="e">
        <f ca="1">([0]!P_1_10.2.15.4 [0]!PU)</f>
        <v>#REF!</v>
      </c>
      <c r="D573" s="260" t="e">
        <f ca="1">IF(ISTEXT(([0]!P_1_10.2.15.4 [0]!MT)),0,([0]!P_1_10.2.15.4 [0]!MT))</f>
        <v>#REF!</v>
      </c>
    </row>
    <row r="574" spans="1:4">
      <c r="A574" s="258" t="s">
        <v>576</v>
      </c>
      <c r="B574" s="259" t="e">
        <f ca="1">IF(ISTEXT(([0]!P_1_10.3.1 [0]!Qté)),0,([0]!P_1_10.3.1 [0]!Qté))</f>
        <v>#REF!</v>
      </c>
      <c r="C574" s="260" t="e">
        <f ca="1">([0]!P_1_10.3.1 [0]!PU)</f>
        <v>#REF!</v>
      </c>
      <c r="D574" s="260" t="e">
        <f ca="1">IF(ISTEXT(([0]!P_1_10.3.1 [0]!MT)),0,([0]!P_1_10.3.1 [0]!MT))</f>
        <v>#REF!</v>
      </c>
    </row>
    <row r="575" spans="1:4">
      <c r="A575" s="258" t="s">
        <v>577</v>
      </c>
      <c r="B575" s="259" t="e">
        <f ca="1">IF(ISTEXT(([0]!P_1_10.3.2 [0]!Qté)),0,([0]!P_1_10.3.2 [0]!Qté))</f>
        <v>#REF!</v>
      </c>
      <c r="C575" s="260" t="e">
        <f ca="1">([0]!P_1_10.3.2 [0]!PU)</f>
        <v>#REF!</v>
      </c>
      <c r="D575" s="260" t="e">
        <f ca="1">IF(ISTEXT(([0]!P_1_10.3.2 [0]!MT)),0,([0]!P_1_10.3.2 [0]!MT))</f>
        <v>#REF!</v>
      </c>
    </row>
    <row r="576" spans="1:4">
      <c r="A576" s="258" t="s">
        <v>578</v>
      </c>
      <c r="B576" s="259" t="e">
        <f ca="1">IF(ISTEXT(([0]!P_1_10.3.3 [0]!Qté)),0,([0]!P_1_10.3.3 [0]!Qté))</f>
        <v>#REF!</v>
      </c>
      <c r="C576" s="260" t="e">
        <f ca="1">([0]!P_1_10.3.3 [0]!PU)</f>
        <v>#REF!</v>
      </c>
      <c r="D576" s="260" t="e">
        <f ca="1">IF(ISTEXT(([0]!P_1_10.3.3 [0]!MT)),0,([0]!P_1_10.3.3 [0]!MT))</f>
        <v>#REF!</v>
      </c>
    </row>
    <row r="577" spans="1:4">
      <c r="A577" s="258" t="s">
        <v>579</v>
      </c>
      <c r="B577" s="259" t="e">
        <f ca="1">IF(ISTEXT(([0]!P_1_10.3.4 [0]!Qté)),0,([0]!P_1_10.3.4 [0]!Qté))</f>
        <v>#REF!</v>
      </c>
      <c r="C577" s="260" t="e">
        <f ca="1">([0]!P_1_10.3.4 [0]!PU)</f>
        <v>#REF!</v>
      </c>
      <c r="D577" s="260" t="e">
        <f ca="1">IF(ISTEXT(([0]!P_1_10.3.4 [0]!MT)),0,([0]!P_1_10.3.4 [0]!MT))</f>
        <v>#REF!</v>
      </c>
    </row>
    <row r="578" spans="1:4">
      <c r="A578" s="258" t="s">
        <v>580</v>
      </c>
      <c r="B578" s="259" t="e">
        <f ca="1">IF(ISTEXT(([0]!P_1_10.3.5 [0]!Qté)),0,([0]!P_1_10.3.5 [0]!Qté))</f>
        <v>#REF!</v>
      </c>
      <c r="C578" s="260" t="e">
        <f ca="1">([0]!P_1_10.3.5 [0]!PU)</f>
        <v>#REF!</v>
      </c>
      <c r="D578" s="260" t="e">
        <f ca="1">IF(ISTEXT(([0]!P_1_10.3.5 [0]!MT)),0,([0]!P_1_10.3.5 [0]!MT))</f>
        <v>#REF!</v>
      </c>
    </row>
    <row r="579" spans="1:4">
      <c r="A579" s="258" t="s">
        <v>581</v>
      </c>
      <c r="B579" s="259" t="e">
        <f ca="1">IF(ISTEXT(([0]!P_1_10.3.6 [0]!Qté)),0,([0]!P_1_10.3.6 [0]!Qté))</f>
        <v>#REF!</v>
      </c>
      <c r="C579" s="260" t="e">
        <f ca="1">([0]!P_1_10.3.6 [0]!PU)</f>
        <v>#REF!</v>
      </c>
      <c r="D579" s="260" t="e">
        <f ca="1">IF(ISTEXT(([0]!P_1_10.3.6 [0]!MT)),0,([0]!P_1_10.3.6 [0]!MT))</f>
        <v>#REF!</v>
      </c>
    </row>
    <row r="580" spans="1:4">
      <c r="A580" s="258" t="s">
        <v>582</v>
      </c>
      <c r="B580" s="259" t="e">
        <f ca="1">IF(ISTEXT(([0]!P_1_10.3.7 [0]!Qté)),0,([0]!P_1_10.3.7 [0]!Qté))</f>
        <v>#REF!</v>
      </c>
      <c r="C580" s="260" t="e">
        <f ca="1">([0]!P_1_10.3.7 [0]!PU)</f>
        <v>#REF!</v>
      </c>
      <c r="D580" s="260" t="e">
        <f ca="1">IF(ISTEXT(([0]!P_1_10.3.7 [0]!MT)),0,([0]!P_1_10.3.7 [0]!MT))</f>
        <v>#REF!</v>
      </c>
    </row>
    <row r="581" spans="1:4">
      <c r="A581" s="258" t="s">
        <v>583</v>
      </c>
      <c r="B581" s="259" t="e">
        <f ca="1">IF(ISTEXT(([0]!P_1_10.3.8 [0]!Qté)),0,([0]!P_1_10.3.8 [0]!Qté))</f>
        <v>#REF!</v>
      </c>
      <c r="C581" s="260" t="e">
        <f ca="1">([0]!P_1_10.3.8 [0]!PU)</f>
        <v>#REF!</v>
      </c>
      <c r="D581" s="260" t="e">
        <f ca="1">IF(ISTEXT(([0]!P_1_10.3.8 [0]!MT)),0,([0]!P_1_10.3.8 [0]!MT))</f>
        <v>#REF!</v>
      </c>
    </row>
    <row r="582" spans="1:4">
      <c r="A582" s="258" t="s">
        <v>584</v>
      </c>
      <c r="B582" s="259" t="e">
        <f ca="1">IF(ISTEXT(([0]!P_1_10.3.9 [0]!Qté)),0,([0]!P_1_10.3.9 [0]!Qté))</f>
        <v>#REF!</v>
      </c>
      <c r="C582" s="260" t="e">
        <f ca="1">([0]!P_1_10.3.9 [0]!PU)</f>
        <v>#REF!</v>
      </c>
      <c r="D582" s="260" t="e">
        <f ca="1">IF(ISTEXT(([0]!P_1_10.3.9 [0]!MT)),0,([0]!P_1_10.3.9 [0]!MT))</f>
        <v>#REF!</v>
      </c>
    </row>
    <row r="583" spans="1:4">
      <c r="A583" s="258" t="s">
        <v>585</v>
      </c>
      <c r="B583" s="259" t="e">
        <f ca="1">IF(ISTEXT(([0]!P_1_10.3.10 [0]!Qté)),0,([0]!P_1_10.3.10 [0]!Qté))</f>
        <v>#REF!</v>
      </c>
      <c r="C583" s="260" t="e">
        <f ca="1">([0]!P_1_10.3.10 [0]!PU)</f>
        <v>#REF!</v>
      </c>
      <c r="D583" s="260" t="e">
        <f ca="1">IF(ISTEXT(([0]!P_1_10.3.10 [0]!MT)),0,([0]!P_1_10.3.10 [0]!MT))</f>
        <v>#REF!</v>
      </c>
    </row>
    <row r="584" spans="1:4">
      <c r="A584" s="258" t="s">
        <v>586</v>
      </c>
      <c r="B584" s="259" t="e">
        <f ca="1">IF(ISTEXT(([0]!P_1_10.3.11 [0]!Qté)),0,([0]!P_1_10.3.11 [0]!Qté))</f>
        <v>#REF!</v>
      </c>
      <c r="C584" s="260" t="e">
        <f ca="1">([0]!P_1_10.3.11 [0]!PU)</f>
        <v>#REF!</v>
      </c>
      <c r="D584" s="260" t="e">
        <f ca="1">IF(ISTEXT(([0]!P_1_10.3.11 [0]!MT)),0,([0]!P_1_10.3.11 [0]!MT))</f>
        <v>#REF!</v>
      </c>
    </row>
    <row r="585" spans="1:4">
      <c r="A585" s="258" t="s">
        <v>587</v>
      </c>
      <c r="B585" s="259" t="e">
        <f ca="1">IF(ISTEXT(([0]!P_1_10.3.12 [0]!Qté)),0,([0]!P_1_10.3.12 [0]!Qté))</f>
        <v>#REF!</v>
      </c>
      <c r="C585" s="260" t="e">
        <f ca="1">([0]!P_1_10.3.12 [0]!PU)</f>
        <v>#REF!</v>
      </c>
      <c r="D585" s="260" t="e">
        <f ca="1">IF(ISTEXT(([0]!P_1_10.3.12 [0]!MT)),0,([0]!P_1_10.3.12 [0]!MT))</f>
        <v>#REF!</v>
      </c>
    </row>
    <row r="586" spans="1:4">
      <c r="A586" s="258" t="s">
        <v>588</v>
      </c>
      <c r="B586" s="259" t="e">
        <f ca="1">IF(ISTEXT(([0]!P_1_10.3.13 [0]!Qté)),0,([0]!P_1_10.3.13 [0]!Qté))</f>
        <v>#REF!</v>
      </c>
      <c r="C586" s="260" t="e">
        <f ca="1">([0]!P_1_10.3.13 [0]!PU)</f>
        <v>#REF!</v>
      </c>
      <c r="D586" s="260" t="e">
        <f ca="1">IF(ISTEXT(([0]!P_1_10.3.13 [0]!MT)),0,([0]!P_1_10.3.13 [0]!MT))</f>
        <v>#REF!</v>
      </c>
    </row>
    <row r="587" spans="1:4">
      <c r="A587" s="258" t="s">
        <v>589</v>
      </c>
      <c r="B587" s="259" t="e">
        <f ca="1">IF(ISTEXT(([0]!P_1_10.3.14 [0]!Qté)),0,([0]!P_1_10.3.14 [0]!Qté))</f>
        <v>#REF!</v>
      </c>
      <c r="C587" s="260" t="e">
        <f ca="1">([0]!P_1_10.3.14 [0]!PU)</f>
        <v>#REF!</v>
      </c>
      <c r="D587" s="260" t="e">
        <f ca="1">IF(ISTEXT(([0]!P_1_10.3.14 [0]!MT)),0,([0]!P_1_10.3.14 [0]!MT))</f>
        <v>#REF!</v>
      </c>
    </row>
    <row r="588" spans="1:4">
      <c r="A588" s="258" t="s">
        <v>590</v>
      </c>
      <c r="B588" s="259" t="e">
        <f ca="1">IF(ISTEXT(([0]!P_1_10.3.15 [0]!Qté)),0,([0]!P_1_10.3.15 [0]!Qté))</f>
        <v>#REF!</v>
      </c>
      <c r="C588" s="260" t="e">
        <f ca="1">([0]!P_1_10.3.15 [0]!PU)</f>
        <v>#REF!</v>
      </c>
      <c r="D588" s="260" t="e">
        <f ca="1">IF(ISTEXT(([0]!P_1_10.3.15 [0]!MT)),0,([0]!P_1_10.3.15 [0]!MT))</f>
        <v>#REF!</v>
      </c>
    </row>
    <row r="589" spans="1:4">
      <c r="A589" s="258" t="s">
        <v>591</v>
      </c>
      <c r="B589" s="259" t="e">
        <f ca="1">IF(ISTEXT(([0]!P_1_10.3.16 [0]!Qté)),0,([0]!P_1_10.3.16 [0]!Qté))</f>
        <v>#REF!</v>
      </c>
      <c r="C589" s="260" t="e">
        <f ca="1">([0]!P_1_10.3.16 [0]!PU)</f>
        <v>#REF!</v>
      </c>
      <c r="D589" s="260" t="e">
        <f ca="1">IF(ISTEXT(([0]!P_1_10.3.16 [0]!MT)),0,([0]!P_1_10.3.16 [0]!MT))</f>
        <v>#REF!</v>
      </c>
    </row>
    <row r="590" spans="1:4">
      <c r="A590" s="258" t="s">
        <v>592</v>
      </c>
      <c r="B590" s="259" t="e">
        <f ca="1">IF(ISTEXT(([0]!P_1_10.3.17 [0]!Qté)),0,([0]!P_1_10.3.17 [0]!Qté))</f>
        <v>#REF!</v>
      </c>
      <c r="C590" s="260" t="e">
        <f ca="1">([0]!P_1_10.3.17 [0]!PU)</f>
        <v>#REF!</v>
      </c>
      <c r="D590" s="260" t="e">
        <f ca="1">IF(ISTEXT(([0]!P_1_10.3.17 [0]!MT)),0,([0]!P_1_10.3.17 [0]!MT))</f>
        <v>#REF!</v>
      </c>
    </row>
    <row r="591" spans="1:4">
      <c r="A591" s="258" t="s">
        <v>593</v>
      </c>
      <c r="B591" s="259" t="e">
        <f ca="1">IF(ISTEXT(([0]!P_1_10.3.18 [0]!Qté)),0,([0]!P_1_10.3.18 [0]!Qté))</f>
        <v>#REF!</v>
      </c>
      <c r="C591" s="260" t="e">
        <f ca="1">([0]!P_1_10.3.18 [0]!PU)</f>
        <v>#REF!</v>
      </c>
      <c r="D591" s="260" t="e">
        <f ca="1">IF(ISTEXT(([0]!P_1_10.3.18 [0]!MT)),0,([0]!P_1_10.3.18 [0]!MT))</f>
        <v>#REF!</v>
      </c>
    </row>
    <row r="592" spans="1:4">
      <c r="A592" s="258" t="s">
        <v>594</v>
      </c>
      <c r="B592" s="259" t="e">
        <f ca="1">IF(ISTEXT(([0]!P_1_10.3.19 [0]!Qté)),0,([0]!P_1_10.3.19 [0]!Qté))</f>
        <v>#REF!</v>
      </c>
      <c r="C592" s="260" t="e">
        <f ca="1">([0]!P_1_10.3.19 [0]!PU)</f>
        <v>#REF!</v>
      </c>
      <c r="D592" s="260" t="e">
        <f ca="1">IF(ISTEXT(([0]!P_1_10.3.19 [0]!MT)),0,([0]!P_1_10.3.19 [0]!MT))</f>
        <v>#REF!</v>
      </c>
    </row>
    <row r="593" spans="1:4">
      <c r="A593" s="258" t="s">
        <v>595</v>
      </c>
      <c r="B593" s="259" t="e">
        <f ca="1">IF(ISTEXT(([0]!P_1_10.3.20 [0]!Qté)),0,([0]!P_1_10.3.20 [0]!Qté))</f>
        <v>#REF!</v>
      </c>
      <c r="C593" s="260" t="e">
        <f ca="1">([0]!P_1_10.3.20 [0]!PU)</f>
        <v>#REF!</v>
      </c>
      <c r="D593" s="260" t="e">
        <f ca="1">IF(ISTEXT(([0]!P_1_10.3.20 [0]!MT)),0,([0]!P_1_10.3.20 [0]!MT))</f>
        <v>#REF!</v>
      </c>
    </row>
    <row r="594" spans="1:4">
      <c r="A594" s="258" t="s">
        <v>596</v>
      </c>
      <c r="B594" s="259" t="e">
        <f ca="1">IF(ISTEXT(([0]!P_1_10.3.21 [0]!Qté)),0,([0]!P_1_10.3.21 [0]!Qté))</f>
        <v>#REF!</v>
      </c>
      <c r="C594" s="260" t="e">
        <f ca="1">([0]!P_1_10.3.21 [0]!PU)</f>
        <v>#REF!</v>
      </c>
      <c r="D594" s="260" t="e">
        <f ca="1">IF(ISTEXT(([0]!P_1_10.3.21 [0]!MT)),0,([0]!P_1_10.3.21 [0]!MT))</f>
        <v>#REF!</v>
      </c>
    </row>
    <row r="595" spans="1:4">
      <c r="A595" s="258" t="s">
        <v>597</v>
      </c>
      <c r="B595" s="259" t="e">
        <f ca="1">IF(ISTEXT(([0]!P_1_10.4.1 [0]!Qté)),0,([0]!P_1_10.4.1 [0]!Qté))</f>
        <v>#REF!</v>
      </c>
      <c r="C595" s="260" t="e">
        <f ca="1">([0]!P_1_10.4.1 [0]!PU)</f>
        <v>#REF!</v>
      </c>
      <c r="D595" s="260" t="e">
        <f ca="1">IF(ISTEXT(([0]!P_1_10.4.1 [0]!MT)),0,([0]!P_1_10.4.1 [0]!MT))</f>
        <v>#REF!</v>
      </c>
    </row>
    <row r="596" spans="1:4">
      <c r="A596" s="258" t="s">
        <v>598</v>
      </c>
      <c r="B596" s="259" t="e">
        <f ca="1">IF(ISTEXT(([0]!P_1_10.4.2 [0]!Qté)),0,([0]!P_1_10.4.2 [0]!Qté))</f>
        <v>#REF!</v>
      </c>
      <c r="C596" s="260" t="e">
        <f ca="1">([0]!P_1_10.4.2 [0]!PU)</f>
        <v>#REF!</v>
      </c>
      <c r="D596" s="260" t="e">
        <f ca="1">IF(ISTEXT(([0]!P_1_10.4.2 [0]!MT)),0,([0]!P_1_10.4.2 [0]!MT))</f>
        <v>#REF!</v>
      </c>
    </row>
    <row r="597" spans="1:4">
      <c r="A597" s="258" t="s">
        <v>599</v>
      </c>
      <c r="B597" s="259" t="e">
        <f ca="1">IF(ISTEXT(([0]!P_1_10.4.3 [0]!Qté)),0,([0]!P_1_10.4.3 [0]!Qté))</f>
        <v>#REF!</v>
      </c>
      <c r="C597" s="260" t="e">
        <f ca="1">([0]!P_1_10.4.3 [0]!PU)</f>
        <v>#REF!</v>
      </c>
      <c r="D597" s="260" t="e">
        <f ca="1">IF(ISTEXT(([0]!P_1_10.4.3 [0]!MT)),0,([0]!P_1_10.4.3 [0]!MT))</f>
        <v>#REF!</v>
      </c>
    </row>
    <row r="598" spans="1:4">
      <c r="A598" s="258" t="s">
        <v>600</v>
      </c>
      <c r="B598" s="259" t="e">
        <f ca="1">IF(ISTEXT(([0]!P_1_10.4.4 [0]!Qté)),0,([0]!P_1_10.4.4 [0]!Qté))</f>
        <v>#REF!</v>
      </c>
      <c r="C598" s="260" t="e">
        <f ca="1">([0]!P_1_10.4.4 [0]!PU)</f>
        <v>#REF!</v>
      </c>
      <c r="D598" s="260" t="e">
        <f ca="1">IF(ISTEXT(([0]!P_1_10.4.4 [0]!MT)),0,([0]!P_1_10.4.4 [0]!MT))</f>
        <v>#REF!</v>
      </c>
    </row>
    <row r="599" spans="1:4">
      <c r="A599" s="258" t="s">
        <v>601</v>
      </c>
      <c r="B599" s="259" t="e">
        <f ca="1">IF(ISTEXT(([0]!P_1_10.4.5 [0]!Qté)),0,([0]!P_1_10.4.5 [0]!Qté))</f>
        <v>#REF!</v>
      </c>
      <c r="C599" s="260" t="e">
        <f ca="1">([0]!P_1_10.4.5 [0]!PU)</f>
        <v>#REF!</v>
      </c>
      <c r="D599" s="260" t="e">
        <f ca="1">IF(ISTEXT(([0]!P_1_10.4.5 [0]!MT)),0,([0]!P_1_10.4.5 [0]!MT))</f>
        <v>#REF!</v>
      </c>
    </row>
    <row r="600" spans="1:4">
      <c r="A600" s="258" t="s">
        <v>602</v>
      </c>
      <c r="B600" s="259" t="e">
        <f ca="1">IF(ISTEXT(([0]!P_1_10.4.6 [0]!Qté)),0,([0]!P_1_10.4.6 [0]!Qté))</f>
        <v>#REF!</v>
      </c>
      <c r="C600" s="260" t="e">
        <f ca="1">([0]!P_1_10.4.6 [0]!PU)</f>
        <v>#REF!</v>
      </c>
      <c r="D600" s="260" t="e">
        <f ca="1">IF(ISTEXT(([0]!P_1_10.4.6 [0]!MT)),0,([0]!P_1_10.4.6 [0]!MT))</f>
        <v>#REF!</v>
      </c>
    </row>
    <row r="601" spans="1:4">
      <c r="A601" s="258" t="s">
        <v>603</v>
      </c>
      <c r="B601" s="259" t="e">
        <f ca="1">IF(ISTEXT(([0]!P_1_10.4.7 [0]!Qté)),0,([0]!P_1_10.4.7 [0]!Qté))</f>
        <v>#REF!</v>
      </c>
      <c r="C601" s="260" t="e">
        <f ca="1">([0]!P_1_10.4.7 [0]!PU)</f>
        <v>#REF!</v>
      </c>
      <c r="D601" s="260" t="e">
        <f ca="1">IF(ISTEXT(([0]!P_1_10.4.7 [0]!MT)),0,([0]!P_1_10.4.7 [0]!MT))</f>
        <v>#REF!</v>
      </c>
    </row>
    <row r="602" spans="1:4">
      <c r="A602" s="258" t="s">
        <v>604</v>
      </c>
      <c r="B602" s="259" t="e">
        <f ca="1">IF(ISTEXT(([0]!P_1_10.4.8 [0]!Qté)),0,([0]!P_1_10.4.8 [0]!Qté))</f>
        <v>#REF!</v>
      </c>
      <c r="C602" s="260" t="e">
        <f ca="1">([0]!P_1_10.4.8 [0]!PU)</f>
        <v>#REF!</v>
      </c>
      <c r="D602" s="260" t="e">
        <f ca="1">IF(ISTEXT(([0]!P_1_10.4.8 [0]!MT)),0,([0]!P_1_10.4.8 [0]!MT))</f>
        <v>#REF!</v>
      </c>
    </row>
    <row r="603" spans="1:4">
      <c r="A603" s="258" t="s">
        <v>605</v>
      </c>
      <c r="B603" s="259" t="e">
        <f ca="1">IF(ISTEXT(([0]!P_1_10.4.9 [0]!Qté)),0,([0]!P_1_10.4.9 [0]!Qté))</f>
        <v>#REF!</v>
      </c>
      <c r="C603" s="260" t="e">
        <f ca="1">([0]!P_1_10.4.9 [0]!PU)</f>
        <v>#REF!</v>
      </c>
      <c r="D603" s="260" t="e">
        <f ca="1">IF(ISTEXT(([0]!P_1_10.4.9 [0]!MT)),0,([0]!P_1_10.4.9 [0]!MT))</f>
        <v>#REF!</v>
      </c>
    </row>
    <row r="604" spans="1:4">
      <c r="A604" s="258" t="s">
        <v>606</v>
      </c>
      <c r="B604" s="259" t="e">
        <f ca="1">IF(ISTEXT(([0]!P_1_10.4.10 [0]!Qté)),0,([0]!P_1_10.4.10 [0]!Qté))</f>
        <v>#REF!</v>
      </c>
      <c r="C604" s="260" t="e">
        <f ca="1">([0]!P_1_10.4.10 [0]!PU)</f>
        <v>#REF!</v>
      </c>
      <c r="D604" s="260" t="e">
        <f ca="1">IF(ISTEXT(([0]!P_1_10.4.10 [0]!MT)),0,([0]!P_1_10.4.10 [0]!MT))</f>
        <v>#REF!</v>
      </c>
    </row>
    <row r="605" spans="1:4">
      <c r="A605" s="258" t="s">
        <v>607</v>
      </c>
      <c r="B605" s="259" t="e">
        <f ca="1">IF(ISTEXT(([0]!P_1_10.4.11 [0]!Qté)),0,([0]!P_1_10.4.11 [0]!Qté))</f>
        <v>#REF!</v>
      </c>
      <c r="C605" s="260" t="e">
        <f ca="1">([0]!P_1_10.4.11 [0]!PU)</f>
        <v>#REF!</v>
      </c>
      <c r="D605" s="260" t="e">
        <f ca="1">IF(ISTEXT(([0]!P_1_10.4.11 [0]!MT)),0,([0]!P_1_10.4.11 [0]!MT))</f>
        <v>#REF!</v>
      </c>
    </row>
    <row r="606" spans="1:4">
      <c r="A606" s="258" t="s">
        <v>608</v>
      </c>
      <c r="B606" s="259" t="e">
        <f ca="1">IF(ISTEXT(([0]!P_1_10.4.12 [0]!Qté)),0,([0]!P_1_10.4.12 [0]!Qté))</f>
        <v>#REF!</v>
      </c>
      <c r="C606" s="260" t="e">
        <f ca="1">([0]!P_1_10.4.12 [0]!PU)</f>
        <v>#REF!</v>
      </c>
      <c r="D606" s="260" t="e">
        <f ca="1">IF(ISTEXT(([0]!P_1_10.4.12 [0]!MT)),0,([0]!P_1_10.4.12 [0]!MT))</f>
        <v>#REF!</v>
      </c>
    </row>
    <row r="607" spans="1:4">
      <c r="A607" s="258" t="s">
        <v>609</v>
      </c>
      <c r="B607" s="259" t="e">
        <f ca="1">IF(ISTEXT(([0]!P_1_10.4.13 [0]!Qté)),0,([0]!P_1_10.4.13 [0]!Qté))</f>
        <v>#REF!</v>
      </c>
      <c r="C607" s="260" t="e">
        <f ca="1">([0]!P_1_10.4.13 [0]!PU)</f>
        <v>#REF!</v>
      </c>
      <c r="D607" s="260" t="e">
        <f ca="1">IF(ISTEXT(([0]!P_1_10.4.13 [0]!MT)),0,([0]!P_1_10.4.13 [0]!MT))</f>
        <v>#REF!</v>
      </c>
    </row>
    <row r="608" spans="1:4">
      <c r="A608" s="258" t="s">
        <v>610</v>
      </c>
      <c r="B608" s="259" t="e">
        <f ca="1">IF(ISTEXT(([0]!P_1_10.4.14 [0]!Qté)),0,([0]!P_1_10.4.14 [0]!Qté))</f>
        <v>#REF!</v>
      </c>
      <c r="C608" s="260" t="e">
        <f ca="1">([0]!P_1_10.4.14 [0]!PU)</f>
        <v>#REF!</v>
      </c>
      <c r="D608" s="260" t="e">
        <f ca="1">IF(ISTEXT(([0]!P_1_10.4.14 [0]!MT)),0,([0]!P_1_10.4.14 [0]!MT))</f>
        <v>#REF!</v>
      </c>
    </row>
    <row r="609" spans="1:4">
      <c r="A609" s="258" t="s">
        <v>611</v>
      </c>
      <c r="B609" s="259" t="e">
        <f ca="1">IF(ISTEXT(([0]!P_1_10.4.15 [0]!Qté)),0,([0]!P_1_10.4.15 [0]!Qté))</f>
        <v>#REF!</v>
      </c>
      <c r="C609" s="260" t="e">
        <f ca="1">([0]!P_1_10.4.15 [0]!PU)</f>
        <v>#REF!</v>
      </c>
      <c r="D609" s="260" t="e">
        <f ca="1">IF(ISTEXT(([0]!P_1_10.4.15 [0]!MT)),0,([0]!P_1_10.4.15 [0]!MT))</f>
        <v>#REF!</v>
      </c>
    </row>
    <row r="610" spans="1:4">
      <c r="A610" s="258" t="s">
        <v>612</v>
      </c>
      <c r="B610" s="259" t="e">
        <f ca="1">IF(ISTEXT(([0]!P_1_11.1.1.1 [0]!Qté)),0,([0]!P_1_11.1.1.1 [0]!Qté))</f>
        <v>#REF!</v>
      </c>
      <c r="C610" s="260" t="e">
        <f ca="1">([0]!P_1_11.1.1.1 [0]!PU)</f>
        <v>#REF!</v>
      </c>
      <c r="D610" s="260" t="e">
        <f ca="1">IF(ISTEXT(([0]!P_1_11.1.1.1 [0]!MT)),0,([0]!P_1_11.1.1.1 [0]!MT))</f>
        <v>#REF!</v>
      </c>
    </row>
    <row r="611" spans="1:4">
      <c r="A611" s="258" t="s">
        <v>613</v>
      </c>
      <c r="B611" s="259" t="e">
        <f ca="1">IF(ISTEXT(([0]!P_1_11.1.1.2 [0]!Qté)),0,([0]!P_1_11.1.1.2 [0]!Qté))</f>
        <v>#REF!</v>
      </c>
      <c r="C611" s="260" t="e">
        <f ca="1">([0]!P_1_11.1.1.2 [0]!PU)</f>
        <v>#REF!</v>
      </c>
      <c r="D611" s="260" t="e">
        <f ca="1">IF(ISTEXT(([0]!P_1_11.1.1.2 [0]!MT)),0,([0]!P_1_11.1.1.2 [0]!MT))</f>
        <v>#REF!</v>
      </c>
    </row>
    <row r="612" spans="1:4">
      <c r="A612" s="258" t="s">
        <v>614</v>
      </c>
      <c r="B612" s="259" t="e">
        <f ca="1">IF(ISTEXT(([0]!P_1_11.1.1.3 [0]!Qté)),0,([0]!P_1_11.1.1.3 [0]!Qté))</f>
        <v>#REF!</v>
      </c>
      <c r="C612" s="260" t="e">
        <f ca="1">([0]!P_1_11.1.1.3 [0]!PU)</f>
        <v>#REF!</v>
      </c>
      <c r="D612" s="260" t="e">
        <f ca="1">IF(ISTEXT(([0]!P_1_11.1.1.3 [0]!MT)),0,([0]!P_1_11.1.1.3 [0]!MT))</f>
        <v>#REF!</v>
      </c>
    </row>
    <row r="613" spans="1:4">
      <c r="A613" s="258" t="s">
        <v>615</v>
      </c>
      <c r="B613" s="259" t="e">
        <f ca="1">IF(ISTEXT(([0]!P_1_11.1.1.4 [0]!Qté)),0,([0]!P_1_11.1.1.4 [0]!Qté))</f>
        <v>#REF!</v>
      </c>
      <c r="C613" s="260" t="e">
        <f ca="1">([0]!P_1_11.1.1.4 [0]!PU)</f>
        <v>#REF!</v>
      </c>
      <c r="D613" s="260" t="e">
        <f ca="1">IF(ISTEXT(([0]!P_1_11.1.1.4 [0]!MT)),0,([0]!P_1_11.1.1.4 [0]!MT))</f>
        <v>#REF!</v>
      </c>
    </row>
    <row r="614" spans="1:4">
      <c r="A614" s="258" t="s">
        <v>616</v>
      </c>
      <c r="B614" s="259" t="e">
        <f ca="1">IF(ISTEXT(([0]!P_1_11.1.2.1 [0]!Qté)),0,([0]!P_1_11.1.2.1 [0]!Qté))</f>
        <v>#REF!</v>
      </c>
      <c r="C614" s="260" t="e">
        <f ca="1">([0]!P_1_11.1.2.1 [0]!PU)</f>
        <v>#REF!</v>
      </c>
      <c r="D614" s="260" t="e">
        <f ca="1">IF(ISTEXT(([0]!P_1_11.1.2.1 [0]!MT)),0,([0]!P_1_11.1.2.1 [0]!MT))</f>
        <v>#REF!</v>
      </c>
    </row>
    <row r="615" spans="1:4">
      <c r="A615" s="258" t="s">
        <v>617</v>
      </c>
      <c r="B615" s="259" t="e">
        <f ca="1">IF(ISTEXT(([0]!P_1_11.1.2.2 [0]!Qté)),0,([0]!P_1_11.1.2.2 [0]!Qté))</f>
        <v>#REF!</v>
      </c>
      <c r="C615" s="260" t="e">
        <f ca="1">([0]!P_1_11.1.2.2 [0]!PU)</f>
        <v>#REF!</v>
      </c>
      <c r="D615" s="260" t="e">
        <f ca="1">IF(ISTEXT(([0]!P_1_11.1.2.2 [0]!MT)),0,([0]!P_1_11.1.2.2 [0]!MT))</f>
        <v>#REF!</v>
      </c>
    </row>
    <row r="616" spans="1:4">
      <c r="A616" s="258" t="s">
        <v>618</v>
      </c>
      <c r="B616" s="259" t="e">
        <f ca="1">IF(ISTEXT(([0]!P_1_11.1.2.3 [0]!Qté)),0,([0]!P_1_11.1.2.3 [0]!Qté))</f>
        <v>#REF!</v>
      </c>
      <c r="C616" s="260" t="e">
        <f ca="1">([0]!P_1_11.1.2.3 [0]!PU)</f>
        <v>#REF!</v>
      </c>
      <c r="D616" s="260" t="e">
        <f ca="1">IF(ISTEXT(([0]!P_1_11.1.2.3 [0]!MT)),0,([0]!P_1_11.1.2.3 [0]!MT))</f>
        <v>#REF!</v>
      </c>
    </row>
    <row r="617" spans="1:4">
      <c r="A617" s="258" t="s">
        <v>619</v>
      </c>
      <c r="B617" s="259" t="e">
        <f ca="1">IF(ISTEXT(([0]!P_1_11.1.2.4 [0]!Qté)),0,([0]!P_1_11.1.2.4 [0]!Qté))</f>
        <v>#REF!</v>
      </c>
      <c r="C617" s="260" t="e">
        <f ca="1">([0]!P_1_11.1.2.4 [0]!PU)</f>
        <v>#REF!</v>
      </c>
      <c r="D617" s="260" t="e">
        <f ca="1">IF(ISTEXT(([0]!P_1_11.1.2.4 [0]!MT)),0,([0]!P_1_11.1.2.4 [0]!MT))</f>
        <v>#REF!</v>
      </c>
    </row>
    <row r="618" spans="1:4">
      <c r="A618" s="258" t="s">
        <v>620</v>
      </c>
      <c r="B618" s="259" t="e">
        <f ca="1">IF(ISTEXT(([0]!P_1_11.1.3.1 [0]!Qté)),0,([0]!P_1_11.1.3.1 [0]!Qté))</f>
        <v>#REF!</v>
      </c>
      <c r="C618" s="260" t="e">
        <f ca="1">([0]!P_1_11.1.3.1 [0]!PU)</f>
        <v>#REF!</v>
      </c>
      <c r="D618" s="260" t="e">
        <f ca="1">IF(ISTEXT(([0]!P_1_11.1.3.1 [0]!MT)),0,([0]!P_1_11.1.3.1 [0]!MT))</f>
        <v>#REF!</v>
      </c>
    </row>
    <row r="619" spans="1:4">
      <c r="A619" s="258" t="s">
        <v>621</v>
      </c>
      <c r="B619" s="259" t="e">
        <f ca="1">IF(ISTEXT(([0]!P_1_11.1.3.2 [0]!Qté)),0,([0]!P_1_11.1.3.2 [0]!Qté))</f>
        <v>#REF!</v>
      </c>
      <c r="C619" s="260" t="e">
        <f ca="1">([0]!P_1_11.1.3.2 [0]!PU)</f>
        <v>#REF!</v>
      </c>
      <c r="D619" s="260" t="e">
        <f ca="1">IF(ISTEXT(([0]!P_1_11.1.3.2 [0]!MT)),0,([0]!P_1_11.1.3.2 [0]!MT))</f>
        <v>#REF!</v>
      </c>
    </row>
    <row r="620" spans="1:4">
      <c r="A620" s="258" t="s">
        <v>622</v>
      </c>
      <c r="B620" s="259" t="e">
        <f ca="1">IF(ISTEXT(([0]!P_1_11.1.3.3 [0]!Qté)),0,([0]!P_1_11.1.3.3 [0]!Qté))</f>
        <v>#REF!</v>
      </c>
      <c r="C620" s="260" t="e">
        <f ca="1">([0]!P_1_11.1.3.3 [0]!PU)</f>
        <v>#REF!</v>
      </c>
      <c r="D620" s="260" t="e">
        <f ca="1">IF(ISTEXT(([0]!P_1_11.1.3.3 [0]!MT)),0,([0]!P_1_11.1.3.3 [0]!MT))</f>
        <v>#REF!</v>
      </c>
    </row>
    <row r="621" spans="1:4">
      <c r="A621" s="258" t="s">
        <v>623</v>
      </c>
      <c r="B621" s="259" t="e">
        <f ca="1">IF(ISTEXT(([0]!P_1_11.1.3.4 [0]!Qté)),0,([0]!P_1_11.1.3.4 [0]!Qté))</f>
        <v>#REF!</v>
      </c>
      <c r="C621" s="260" t="e">
        <f ca="1">([0]!P_1_11.1.3.4 [0]!PU)</f>
        <v>#REF!</v>
      </c>
      <c r="D621" s="260" t="e">
        <f ca="1">IF(ISTEXT(([0]!P_1_11.1.3.4 [0]!MT)),0,([0]!P_1_11.1.3.4 [0]!MT))</f>
        <v>#REF!</v>
      </c>
    </row>
    <row r="622" spans="1:4">
      <c r="A622" s="258" t="s">
        <v>624</v>
      </c>
      <c r="B622" s="259" t="e">
        <f ca="1">IF(ISTEXT(([0]!P_1_11.2.1 [0]!Qté)),0,([0]!P_1_11.2.1 [0]!Qté))</f>
        <v>#REF!</v>
      </c>
      <c r="C622" s="260" t="e">
        <f ca="1">([0]!P_1_11.2.1 [0]!PU)</f>
        <v>#REF!</v>
      </c>
      <c r="D622" s="260" t="e">
        <f ca="1">IF(ISTEXT(([0]!P_1_11.2.1 [0]!MT)),0,([0]!P_1_11.2.1 [0]!MT))</f>
        <v>#REF!</v>
      </c>
    </row>
    <row r="623" spans="1:4">
      <c r="A623" s="258" t="s">
        <v>625</v>
      </c>
      <c r="B623" s="259" t="e">
        <f ca="1">IF(ISTEXT(([0]!P_1_11.2.2 [0]!Qté)),0,([0]!P_1_11.2.2 [0]!Qté))</f>
        <v>#REF!</v>
      </c>
      <c r="C623" s="260" t="e">
        <f ca="1">([0]!P_1_11.2.2 [0]!PU)</f>
        <v>#REF!</v>
      </c>
      <c r="D623" s="260" t="e">
        <f ca="1">IF(ISTEXT(([0]!P_1_11.2.2 [0]!MT)),0,([0]!P_1_11.2.2 [0]!MT))</f>
        <v>#REF!</v>
      </c>
    </row>
    <row r="624" spans="1:4">
      <c r="A624" s="258" t="s">
        <v>626</v>
      </c>
      <c r="B624" s="259" t="e">
        <f ca="1">IF(ISTEXT(([0]!P_1_11.2.3 [0]!Qté)),0,([0]!P_1_11.2.3 [0]!Qté))</f>
        <v>#REF!</v>
      </c>
      <c r="C624" s="260" t="e">
        <f ca="1">([0]!P_1_11.2.3 [0]!PU)</f>
        <v>#REF!</v>
      </c>
      <c r="D624" s="260" t="e">
        <f ca="1">IF(ISTEXT(([0]!P_1_11.2.3 [0]!MT)),0,([0]!P_1_11.2.3 [0]!MT))</f>
        <v>#REF!</v>
      </c>
    </row>
    <row r="625" spans="1:4">
      <c r="A625" s="258" t="s">
        <v>627</v>
      </c>
      <c r="B625" s="259" t="e">
        <f ca="1">IF(ISTEXT(([0]!P_1_11.2.4 [0]!Qté)),0,([0]!P_1_11.2.4 [0]!Qté))</f>
        <v>#REF!</v>
      </c>
      <c r="C625" s="260" t="e">
        <f ca="1">([0]!P_1_11.2.4 [0]!PU)</f>
        <v>#REF!</v>
      </c>
      <c r="D625" s="260" t="e">
        <f ca="1">IF(ISTEXT(([0]!P_1_11.2.4 [0]!MT)),0,([0]!P_1_11.2.4 [0]!MT))</f>
        <v>#REF!</v>
      </c>
    </row>
    <row r="626" spans="1:4">
      <c r="A626" s="258" t="s">
        <v>628</v>
      </c>
      <c r="B626" s="259" t="e">
        <f ca="1">IF(ISTEXT(([0]!P_1_11.2.5 [0]!Qté)),0,([0]!P_1_11.2.5 [0]!Qté))</f>
        <v>#REF!</v>
      </c>
      <c r="C626" s="260" t="e">
        <f ca="1">([0]!P_1_11.2.5 [0]!PU)</f>
        <v>#REF!</v>
      </c>
      <c r="D626" s="260" t="e">
        <f ca="1">IF(ISTEXT(([0]!P_1_11.2.5 [0]!MT)),0,([0]!P_1_11.2.5 [0]!MT))</f>
        <v>#REF!</v>
      </c>
    </row>
    <row r="627" spans="1:4">
      <c r="A627" s="258" t="s">
        <v>629</v>
      </c>
      <c r="B627" s="259" t="e">
        <f ca="1">IF(ISTEXT(([0]!P_1_11.3.1 [0]!Qté)),0,([0]!P_1_11.3.1 [0]!Qté))</f>
        <v>#REF!</v>
      </c>
      <c r="C627" s="260" t="e">
        <f ca="1">([0]!P_1_11.3.1 [0]!PU)</f>
        <v>#REF!</v>
      </c>
      <c r="D627" s="260" t="e">
        <f ca="1">IF(ISTEXT(([0]!P_1_11.3.1 [0]!MT)),0,([0]!P_1_11.3.1 [0]!MT))</f>
        <v>#REF!</v>
      </c>
    </row>
    <row r="628" spans="1:4">
      <c r="A628" s="258" t="s">
        <v>630</v>
      </c>
      <c r="B628" s="259" t="e">
        <f ca="1">IF(ISTEXT(([0]!P_1_11.3.2 [0]!Qté)),0,([0]!P_1_11.3.2 [0]!Qté))</f>
        <v>#REF!</v>
      </c>
      <c r="C628" s="260" t="e">
        <f ca="1">([0]!P_1_11.3.2 [0]!PU)</f>
        <v>#REF!</v>
      </c>
      <c r="D628" s="260" t="e">
        <f ca="1">IF(ISTEXT(([0]!P_1_11.3.2 [0]!MT)),0,([0]!P_1_11.3.2 [0]!MT))</f>
        <v>#REF!</v>
      </c>
    </row>
    <row r="629" spans="1:4">
      <c r="A629" s="258" t="s">
        <v>631</v>
      </c>
      <c r="B629" s="259" t="e">
        <f ca="1">IF(ISTEXT(([0]!P_1_11.3.3 [0]!Qté)),0,([0]!P_1_11.3.3 [0]!Qté))</f>
        <v>#REF!</v>
      </c>
      <c r="C629" s="260" t="e">
        <f ca="1">([0]!P_1_11.3.3 [0]!PU)</f>
        <v>#REF!</v>
      </c>
      <c r="D629" s="260" t="e">
        <f ca="1">IF(ISTEXT(([0]!P_1_11.3.3 [0]!MT)),0,([0]!P_1_11.3.3 [0]!MT))</f>
        <v>#REF!</v>
      </c>
    </row>
    <row r="630" spans="1:4">
      <c r="A630" s="258" t="s">
        <v>632</v>
      </c>
      <c r="B630" s="259" t="e">
        <f ca="1">IF(ISTEXT(([0]!P_1_11.3.4 [0]!Qté)),0,([0]!P_1_11.3.4 [0]!Qté))</f>
        <v>#REF!</v>
      </c>
      <c r="C630" s="260" t="e">
        <f ca="1">([0]!P_1_11.3.4 [0]!PU)</f>
        <v>#REF!</v>
      </c>
      <c r="D630" s="260" t="e">
        <f ca="1">IF(ISTEXT(([0]!P_1_11.3.4 [0]!MT)),0,([0]!P_1_11.3.4 [0]!MT))</f>
        <v>#REF!</v>
      </c>
    </row>
    <row r="631" spans="1:4">
      <c r="A631" s="258" t="s">
        <v>633</v>
      </c>
      <c r="B631" s="259" t="e">
        <f ca="1">IF(ISTEXT(([0]!P_1_11.3.5 [0]!Qté)),0,([0]!P_1_11.3.5 [0]!Qté))</f>
        <v>#REF!</v>
      </c>
      <c r="C631" s="260" t="e">
        <f ca="1">([0]!P_1_11.3.5 [0]!PU)</f>
        <v>#REF!</v>
      </c>
      <c r="D631" s="260" t="e">
        <f ca="1">IF(ISTEXT(([0]!P_1_11.3.5 [0]!MT)),0,([0]!P_1_11.3.5 [0]!MT))</f>
        <v>#REF!</v>
      </c>
    </row>
    <row r="632" spans="1:4">
      <c r="A632" s="258" t="s">
        <v>634</v>
      </c>
      <c r="B632" s="259" t="e">
        <f ca="1">IF(ISTEXT(([0]!P_1_11.3.6 [0]!Qté)),0,([0]!P_1_11.3.6 [0]!Qté))</f>
        <v>#REF!</v>
      </c>
      <c r="C632" s="260" t="e">
        <f ca="1">([0]!P_1_11.3.6 [0]!PU)</f>
        <v>#REF!</v>
      </c>
      <c r="D632" s="260" t="e">
        <f ca="1">IF(ISTEXT(([0]!P_1_11.3.6 [0]!MT)),0,([0]!P_1_11.3.6 [0]!MT))</f>
        <v>#REF!</v>
      </c>
    </row>
    <row r="633" spans="1:4">
      <c r="A633" s="258" t="s">
        <v>635</v>
      </c>
      <c r="B633" s="259" t="e">
        <f ca="1">IF(ISTEXT(([0]!P_1_11.4.1 [0]!Qté)),0,([0]!P_1_11.4.1 [0]!Qté))</f>
        <v>#REF!</v>
      </c>
      <c r="C633" s="260" t="e">
        <f ca="1">([0]!P_1_11.4.1 [0]!PU)</f>
        <v>#REF!</v>
      </c>
      <c r="D633" s="260" t="e">
        <f ca="1">IF(ISTEXT(([0]!P_1_11.4.1 [0]!MT)),0,([0]!P_1_11.4.1 [0]!MT))</f>
        <v>#REF!</v>
      </c>
    </row>
    <row r="634" spans="1:4">
      <c r="A634" s="258" t="s">
        <v>636</v>
      </c>
      <c r="B634" s="259" t="e">
        <f ca="1">IF(ISTEXT(([0]!P_1_11.4.2.1 [0]!Qté)),0,([0]!P_1_11.4.2.1 [0]!Qté))</f>
        <v>#REF!</v>
      </c>
      <c r="C634" s="260" t="e">
        <f ca="1">([0]!P_1_11.4.2.1 [0]!PU)</f>
        <v>#REF!</v>
      </c>
      <c r="D634" s="260" t="e">
        <f ca="1">IF(ISTEXT(([0]!P_1_11.4.2.1 [0]!MT)),0,([0]!P_1_11.4.2.1 [0]!MT))</f>
        <v>#REF!</v>
      </c>
    </row>
    <row r="635" spans="1:4">
      <c r="A635" s="258" t="s">
        <v>637</v>
      </c>
      <c r="B635" s="259" t="e">
        <f ca="1">IF(ISTEXT(([0]!P_1_11.4.2.2 [0]!Qté)),0,([0]!P_1_11.4.2.2 [0]!Qté))</f>
        <v>#REF!</v>
      </c>
      <c r="C635" s="260" t="e">
        <f ca="1">([0]!P_1_11.4.2.2 [0]!PU)</f>
        <v>#REF!</v>
      </c>
      <c r="D635" s="260" t="e">
        <f ca="1">IF(ISTEXT(([0]!P_1_11.4.2.2 [0]!MT)),0,([0]!P_1_11.4.2.2 [0]!MT))</f>
        <v>#REF!</v>
      </c>
    </row>
    <row r="636" spans="1:4">
      <c r="A636" s="258" t="s">
        <v>638</v>
      </c>
      <c r="B636" s="259" t="e">
        <f ca="1">IF(ISTEXT(([0]!P_1_11.4.2.3 [0]!Qté)),0,([0]!P_1_11.4.2.3 [0]!Qté))</f>
        <v>#REF!</v>
      </c>
      <c r="C636" s="260" t="e">
        <f ca="1">([0]!P_1_11.4.2.3 [0]!PU)</f>
        <v>#REF!</v>
      </c>
      <c r="D636" s="260" t="e">
        <f ca="1">IF(ISTEXT(([0]!P_1_11.4.2.3 [0]!MT)),0,([0]!P_1_11.4.2.3 [0]!MT))</f>
        <v>#REF!</v>
      </c>
    </row>
    <row r="637" spans="1:4">
      <c r="A637" s="258" t="s">
        <v>639</v>
      </c>
      <c r="B637" s="259" t="e">
        <f ca="1">IF(ISTEXT(([0]!P_1_11.4.2.4 [0]!Qté)),0,([0]!P_1_11.4.2.4 [0]!Qté))</f>
        <v>#REF!</v>
      </c>
      <c r="C637" s="260" t="e">
        <f ca="1">([0]!P_1_11.4.2.4 [0]!PU)</f>
        <v>#REF!</v>
      </c>
      <c r="D637" s="260" t="e">
        <f ca="1">IF(ISTEXT(([0]!P_1_11.4.2.4 [0]!MT)),0,([0]!P_1_11.4.2.4 [0]!MT))</f>
        <v>#REF!</v>
      </c>
    </row>
    <row r="638" spans="1:4">
      <c r="A638" s="258" t="s">
        <v>640</v>
      </c>
      <c r="B638" s="259" t="e">
        <f ca="1">IF(ISTEXT(([0]!P_1_11.4.2.5 [0]!Qté)),0,([0]!P_1_11.4.2.5 [0]!Qté))</f>
        <v>#REF!</v>
      </c>
      <c r="C638" s="260" t="e">
        <f ca="1">([0]!P_1_11.4.2.5 [0]!PU)</f>
        <v>#REF!</v>
      </c>
      <c r="D638" s="260" t="e">
        <f ca="1">IF(ISTEXT(([0]!P_1_11.4.2.5 [0]!MT)),0,([0]!P_1_11.4.2.5 [0]!MT))</f>
        <v>#REF!</v>
      </c>
    </row>
    <row r="639" spans="1:4">
      <c r="A639" s="258" t="s">
        <v>641</v>
      </c>
      <c r="B639" s="259" t="e">
        <f ca="1">IF(ISTEXT(([0]!P_1_11.4.3.1 [0]!Qté)),0,([0]!P_1_11.4.3.1 [0]!Qté))</f>
        <v>#REF!</v>
      </c>
      <c r="C639" s="260" t="e">
        <f ca="1">([0]!P_1_11.4.3.1 [0]!PU)</f>
        <v>#REF!</v>
      </c>
      <c r="D639" s="260" t="e">
        <f ca="1">IF(ISTEXT(([0]!P_1_11.4.3.1 [0]!MT)),0,([0]!P_1_11.4.3.1 [0]!MT))</f>
        <v>#REF!</v>
      </c>
    </row>
    <row r="640" spans="1:4">
      <c r="A640" s="258" t="s">
        <v>642</v>
      </c>
      <c r="B640" s="259" t="e">
        <f ca="1">IF(ISTEXT(([0]!P_1_11.4.3.2 [0]!Qté)),0,([0]!P_1_11.4.3.2 [0]!Qté))</f>
        <v>#REF!</v>
      </c>
      <c r="C640" s="260" t="e">
        <f ca="1">([0]!P_1_11.4.3.2 [0]!PU)</f>
        <v>#REF!</v>
      </c>
      <c r="D640" s="260" t="e">
        <f ca="1">IF(ISTEXT(([0]!P_1_11.4.3.2 [0]!MT)),0,([0]!P_1_11.4.3.2 [0]!MT))</f>
        <v>#REF!</v>
      </c>
    </row>
    <row r="641" spans="1:4">
      <c r="A641" s="258" t="s">
        <v>643</v>
      </c>
      <c r="B641" s="259" t="e">
        <f ca="1">IF(ISTEXT(([0]!P_1_11.4.3.3 [0]!Qté)),0,([0]!P_1_11.4.3.3 [0]!Qté))</f>
        <v>#REF!</v>
      </c>
      <c r="C641" s="260" t="e">
        <f ca="1">([0]!P_1_11.4.3.3 [0]!PU)</f>
        <v>#REF!</v>
      </c>
      <c r="D641" s="260" t="e">
        <f ca="1">IF(ISTEXT(([0]!P_1_11.4.3.3 [0]!MT)),0,([0]!P_1_11.4.3.3 [0]!MT))</f>
        <v>#REF!</v>
      </c>
    </row>
    <row r="642" spans="1:4">
      <c r="A642" s="258" t="s">
        <v>644</v>
      </c>
      <c r="B642" s="259" t="e">
        <f ca="1">IF(ISTEXT(([0]!P_1_11.4.3.4 [0]!Qté)),0,([0]!P_1_11.4.3.4 [0]!Qté))</f>
        <v>#REF!</v>
      </c>
      <c r="C642" s="260" t="e">
        <f ca="1">([0]!P_1_11.4.3.4 [0]!PU)</f>
        <v>#REF!</v>
      </c>
      <c r="D642" s="260" t="e">
        <f ca="1">IF(ISTEXT(([0]!P_1_11.4.3.4 [0]!MT)),0,([0]!P_1_11.4.3.4 [0]!MT))</f>
        <v>#REF!</v>
      </c>
    </row>
    <row r="643" spans="1:4">
      <c r="A643" s="258" t="s">
        <v>645</v>
      </c>
      <c r="B643" s="259" t="e">
        <f ca="1">IF(ISTEXT(([0]!P_1_11.4.3.5 [0]!Qté)),0,([0]!P_1_11.4.3.5 [0]!Qté))</f>
        <v>#REF!</v>
      </c>
      <c r="C643" s="260" t="e">
        <f ca="1">([0]!P_1_11.4.3.5 [0]!PU)</f>
        <v>#REF!</v>
      </c>
      <c r="D643" s="260" t="e">
        <f ca="1">IF(ISTEXT(([0]!P_1_11.4.3.5 [0]!MT)),0,([0]!P_1_11.4.3.5 [0]!MT))</f>
        <v>#REF!</v>
      </c>
    </row>
    <row r="644" spans="1:4">
      <c r="A644" s="258" t="s">
        <v>646</v>
      </c>
      <c r="B644" s="259" t="e">
        <f ca="1">IF(ISTEXT(([0]!P_1_11.4.4.1 [0]!Qté)),0,([0]!P_1_11.4.4.1 [0]!Qté))</f>
        <v>#REF!</v>
      </c>
      <c r="C644" s="260" t="e">
        <f ca="1">([0]!P_1_11.4.4.1 [0]!PU)</f>
        <v>#REF!</v>
      </c>
      <c r="D644" s="260" t="e">
        <f ca="1">IF(ISTEXT(([0]!P_1_11.4.4.1 [0]!MT)),0,([0]!P_1_11.4.4.1 [0]!MT))</f>
        <v>#REF!</v>
      </c>
    </row>
    <row r="645" spans="1:4">
      <c r="A645" s="258" t="s">
        <v>647</v>
      </c>
      <c r="B645" s="259" t="e">
        <f ca="1">IF(ISTEXT(([0]!P_1_11.4.4.2 [0]!Qté)),0,([0]!P_1_11.4.4.2 [0]!Qté))</f>
        <v>#REF!</v>
      </c>
      <c r="C645" s="260" t="e">
        <f ca="1">([0]!P_1_11.4.4.2 [0]!PU)</f>
        <v>#REF!</v>
      </c>
      <c r="D645" s="260" t="e">
        <f ca="1">IF(ISTEXT(([0]!P_1_11.4.4.2 [0]!MT)),0,([0]!P_1_11.4.4.2 [0]!MT))</f>
        <v>#REF!</v>
      </c>
    </row>
    <row r="646" spans="1:4">
      <c r="A646" s="258" t="s">
        <v>648</v>
      </c>
      <c r="B646" s="259" t="e">
        <f ca="1">IF(ISTEXT(([0]!P_1_11.4.4.3 [0]!Qté)),0,([0]!P_1_11.4.4.3 [0]!Qté))</f>
        <v>#REF!</v>
      </c>
      <c r="C646" s="260" t="e">
        <f ca="1">([0]!P_1_11.4.4.3 [0]!PU)</f>
        <v>#REF!</v>
      </c>
      <c r="D646" s="260" t="e">
        <f ca="1">IF(ISTEXT(([0]!P_1_11.4.4.3 [0]!MT)),0,([0]!P_1_11.4.4.3 [0]!MT))</f>
        <v>#REF!</v>
      </c>
    </row>
    <row r="647" spans="1:4">
      <c r="A647" s="258" t="s">
        <v>649</v>
      </c>
      <c r="B647" s="259" t="e">
        <f ca="1">IF(ISTEXT(([0]!P_1_11.4.4.4 [0]!Qté)),0,([0]!P_1_11.4.4.4 [0]!Qté))</f>
        <v>#REF!</v>
      </c>
      <c r="C647" s="260" t="e">
        <f ca="1">([0]!P_1_11.4.4.4 [0]!PU)</f>
        <v>#REF!</v>
      </c>
      <c r="D647" s="260" t="e">
        <f ca="1">IF(ISTEXT(([0]!P_1_11.4.4.4 [0]!MT)),0,([0]!P_1_11.4.4.4 [0]!MT))</f>
        <v>#REF!</v>
      </c>
    </row>
    <row r="648" spans="1:4">
      <c r="A648" s="258" t="s">
        <v>650</v>
      </c>
      <c r="B648" s="259" t="e">
        <f ca="1">IF(ISTEXT(([0]!P_1_11.4.4.5 [0]!Qté)),0,([0]!P_1_11.4.4.5 [0]!Qté))</f>
        <v>#REF!</v>
      </c>
      <c r="C648" s="260" t="e">
        <f ca="1">([0]!P_1_11.4.4.5 [0]!PU)</f>
        <v>#REF!</v>
      </c>
      <c r="D648" s="260" t="e">
        <f ca="1">IF(ISTEXT(([0]!P_1_11.4.4.5 [0]!MT)),0,([0]!P_1_11.4.4.5 [0]!MT))</f>
        <v>#REF!</v>
      </c>
    </row>
    <row r="649" spans="1:4">
      <c r="A649" s="258" t="s">
        <v>651</v>
      </c>
      <c r="B649" s="259" t="e">
        <f ca="1">IF(ISTEXT(([0]!P_1_11.5.1 [0]!Qté)),0,([0]!P_1_11.5.1 [0]!Qté))</f>
        <v>#REF!</v>
      </c>
      <c r="C649" s="260" t="e">
        <f ca="1">([0]!P_1_11.5.1 [0]!PU)</f>
        <v>#REF!</v>
      </c>
      <c r="D649" s="260" t="e">
        <f ca="1">IF(ISTEXT(([0]!P_1_11.5.1 [0]!MT)),0,([0]!P_1_11.5.1 [0]!MT))</f>
        <v>#REF!</v>
      </c>
    </row>
    <row r="650" spans="1:4">
      <c r="A650" s="258" t="s">
        <v>652</v>
      </c>
      <c r="B650" s="259" t="e">
        <f ca="1">IF(ISTEXT(([0]!P_1_11.5.2 [0]!Qté)),0,([0]!P_1_11.5.2 [0]!Qté))</f>
        <v>#REF!</v>
      </c>
      <c r="C650" s="260" t="e">
        <f ca="1">([0]!P_1_11.5.2 [0]!PU)</f>
        <v>#REF!</v>
      </c>
      <c r="D650" s="260" t="e">
        <f ca="1">IF(ISTEXT(([0]!P_1_11.5.2 [0]!MT)),0,([0]!P_1_11.5.2 [0]!MT))</f>
        <v>#REF!</v>
      </c>
    </row>
    <row r="651" spans="1:4">
      <c r="A651" s="258" t="s">
        <v>653</v>
      </c>
      <c r="B651" s="259" t="e">
        <f ca="1">IF(ISTEXT(([0]!P_1_11.5.3 [0]!Qté)),0,([0]!P_1_11.5.3 [0]!Qté))</f>
        <v>#REF!</v>
      </c>
      <c r="C651" s="260" t="e">
        <f ca="1">([0]!P_1_11.5.3 [0]!PU)</f>
        <v>#REF!</v>
      </c>
      <c r="D651" s="260" t="e">
        <f ca="1">IF(ISTEXT(([0]!P_1_11.5.3 [0]!MT)),0,([0]!P_1_11.5.3 [0]!MT))</f>
        <v>#REF!</v>
      </c>
    </row>
    <row r="652" spans="1:4">
      <c r="A652" s="258" t="s">
        <v>654</v>
      </c>
      <c r="B652" s="259" t="e">
        <f ca="1">IF(ISTEXT(([0]!P_1_11.5.4 [0]!Qté)),0,([0]!P_1_11.5.4 [0]!Qté))</f>
        <v>#REF!</v>
      </c>
      <c r="C652" s="260" t="e">
        <f ca="1">([0]!P_1_11.5.4 [0]!PU)</f>
        <v>#REF!</v>
      </c>
      <c r="D652" s="260" t="e">
        <f ca="1">IF(ISTEXT(([0]!P_1_11.5.4 [0]!MT)),0,([0]!P_1_11.5.4 [0]!MT))</f>
        <v>#REF!</v>
      </c>
    </row>
    <row r="653" spans="1:4">
      <c r="A653" s="258" t="s">
        <v>655</v>
      </c>
      <c r="B653" s="259" t="e">
        <f ca="1">IF(ISTEXT(([0]!P_1_11.5.5 [0]!Qté)),0,([0]!P_1_11.5.5 [0]!Qté))</f>
        <v>#REF!</v>
      </c>
      <c r="C653" s="260" t="e">
        <f ca="1">([0]!P_1_11.5.5 [0]!PU)</f>
        <v>#REF!</v>
      </c>
      <c r="D653" s="260" t="e">
        <f ca="1">IF(ISTEXT(([0]!P_1_11.5.5 [0]!MT)),0,([0]!P_1_11.5.5 [0]!MT))</f>
        <v>#REF!</v>
      </c>
    </row>
    <row r="654" spans="1:4">
      <c r="A654" s="258" t="s">
        <v>656</v>
      </c>
      <c r="B654" s="259" t="e">
        <f ca="1">IF(ISTEXT(([0]!P_1_11.5.6 [0]!Qté)),0,([0]!P_1_11.5.6 [0]!Qté))</f>
        <v>#REF!</v>
      </c>
      <c r="C654" s="260" t="e">
        <f ca="1">([0]!P_1_11.5.6 [0]!PU)</f>
        <v>#REF!</v>
      </c>
      <c r="D654" s="260" t="e">
        <f ca="1">IF(ISTEXT(([0]!P_1_11.5.6 [0]!MT)),0,([0]!P_1_11.5.6 [0]!MT))</f>
        <v>#REF!</v>
      </c>
    </row>
    <row r="655" spans="1:4">
      <c r="A655" s="258" t="s">
        <v>657</v>
      </c>
      <c r="B655" s="259" t="e">
        <f ca="1">IF(ISTEXT(([0]!P_1_11.5.7 [0]!Qté)),0,([0]!P_1_11.5.7 [0]!Qté))</f>
        <v>#REF!</v>
      </c>
      <c r="C655" s="260" t="e">
        <f ca="1">([0]!P_1_11.5.7 [0]!PU)</f>
        <v>#REF!</v>
      </c>
      <c r="D655" s="260" t="e">
        <f ca="1">IF(ISTEXT(([0]!P_1_11.5.7 [0]!MT)),0,([0]!P_1_11.5.7 [0]!MT))</f>
        <v>#REF!</v>
      </c>
    </row>
    <row r="656" spans="1:4">
      <c r="A656" s="258" t="s">
        <v>658</v>
      </c>
      <c r="B656" s="259" t="e">
        <f ca="1">IF(ISTEXT(([0]!P_1_11.6.1.1 [0]!Qté)),0,([0]!P_1_11.6.1.1 [0]!Qté))</f>
        <v>#REF!</v>
      </c>
      <c r="C656" s="260" t="e">
        <f ca="1">([0]!P_1_11.6.1.1 [0]!PU)</f>
        <v>#REF!</v>
      </c>
      <c r="D656" s="260" t="e">
        <f ca="1">IF(ISTEXT(([0]!P_1_11.6.1.1 [0]!MT)),0,([0]!P_1_11.6.1.1 [0]!MT))</f>
        <v>#REF!</v>
      </c>
    </row>
    <row r="657" spans="1:4">
      <c r="A657" s="258" t="s">
        <v>659</v>
      </c>
      <c r="B657" s="259" t="e">
        <f ca="1">IF(ISTEXT(([0]!P_1_11.6.1.2 [0]!Qté)),0,([0]!P_1_11.6.1.2 [0]!Qté))</f>
        <v>#REF!</v>
      </c>
      <c r="C657" s="260" t="e">
        <f ca="1">([0]!P_1_11.6.1.2 [0]!PU)</f>
        <v>#REF!</v>
      </c>
      <c r="D657" s="260" t="e">
        <f ca="1">IF(ISTEXT(([0]!P_1_11.6.1.2 [0]!MT)),0,([0]!P_1_11.6.1.2 [0]!MT))</f>
        <v>#REF!</v>
      </c>
    </row>
    <row r="658" spans="1:4">
      <c r="A658" s="258" t="s">
        <v>660</v>
      </c>
      <c r="B658" s="259" t="e">
        <f ca="1">IF(ISTEXT(([0]!P_1_11.6.1.3 [0]!Qté)),0,([0]!P_1_11.6.1.3 [0]!Qté))</f>
        <v>#REF!</v>
      </c>
      <c r="C658" s="260" t="e">
        <f ca="1">([0]!P_1_11.6.1.3 [0]!PU)</f>
        <v>#REF!</v>
      </c>
      <c r="D658" s="260" t="e">
        <f ca="1">IF(ISTEXT(([0]!P_1_11.6.1.3 [0]!MT)),0,([0]!P_1_11.6.1.3 [0]!MT))</f>
        <v>#REF!</v>
      </c>
    </row>
    <row r="659" spans="1:4">
      <c r="A659" s="258" t="s">
        <v>661</v>
      </c>
      <c r="B659" s="259" t="e">
        <f ca="1">IF(ISTEXT(([0]!P_1_11.6.1.4 [0]!Qté)),0,([0]!P_1_11.6.1.4 [0]!Qté))</f>
        <v>#REF!</v>
      </c>
      <c r="C659" s="260" t="e">
        <f ca="1">([0]!P_1_11.6.1.4 [0]!PU)</f>
        <v>#REF!</v>
      </c>
      <c r="D659" s="260" t="e">
        <f ca="1">IF(ISTEXT(([0]!P_1_11.6.1.4 [0]!MT)),0,([0]!P_1_11.6.1.4 [0]!MT))</f>
        <v>#REF!</v>
      </c>
    </row>
    <row r="660" spans="1:4">
      <c r="A660" s="258" t="s">
        <v>662</v>
      </c>
      <c r="B660" s="259" t="e">
        <f ca="1">IF(ISTEXT(([0]!P_1_11.6.1.5 [0]!Qté)),0,([0]!P_1_11.6.1.5 [0]!Qté))</f>
        <v>#REF!</v>
      </c>
      <c r="C660" s="260" t="e">
        <f ca="1">([0]!P_1_11.6.1.5 [0]!PU)</f>
        <v>#REF!</v>
      </c>
      <c r="D660" s="260" t="e">
        <f ca="1">IF(ISTEXT(([0]!P_1_11.6.1.5 [0]!MT)),0,([0]!P_1_11.6.1.5 [0]!MT))</f>
        <v>#REF!</v>
      </c>
    </row>
    <row r="661" spans="1:4">
      <c r="A661" s="258" t="s">
        <v>663</v>
      </c>
      <c r="B661" s="259" t="e">
        <f ca="1">IF(ISTEXT(([0]!P_1_11.6.1.6 [0]!Qté)),0,([0]!P_1_11.6.1.6 [0]!Qté))</f>
        <v>#REF!</v>
      </c>
      <c r="C661" s="260" t="e">
        <f ca="1">([0]!P_1_11.6.1.6 [0]!PU)</f>
        <v>#REF!</v>
      </c>
      <c r="D661" s="260" t="e">
        <f ca="1">IF(ISTEXT(([0]!P_1_11.6.1.6 [0]!MT)),0,([0]!P_1_11.6.1.6 [0]!MT))</f>
        <v>#REF!</v>
      </c>
    </row>
    <row r="662" spans="1:4">
      <c r="A662" s="258" t="s">
        <v>664</v>
      </c>
      <c r="B662" s="259" t="e">
        <f ca="1">IF(ISTEXT(([0]!P_1_11.6.1.7 [0]!Qté)),0,([0]!P_1_11.6.1.7 [0]!Qté))</f>
        <v>#REF!</v>
      </c>
      <c r="C662" s="260" t="e">
        <f ca="1">([0]!P_1_11.6.1.7 [0]!PU)</f>
        <v>#REF!</v>
      </c>
      <c r="D662" s="260" t="e">
        <f ca="1">IF(ISTEXT(([0]!P_1_11.6.1.7 [0]!MT)),0,([0]!P_1_11.6.1.7 [0]!MT))</f>
        <v>#REF!</v>
      </c>
    </row>
    <row r="663" spans="1:4">
      <c r="A663" s="258" t="s">
        <v>665</v>
      </c>
      <c r="B663" s="259" t="e">
        <f ca="1">IF(ISTEXT(([0]!P_1_11.6.1.8 [0]!Qté)),0,([0]!P_1_11.6.1.8 [0]!Qté))</f>
        <v>#REF!</v>
      </c>
      <c r="C663" s="260" t="e">
        <f ca="1">([0]!P_1_11.6.1.8 [0]!PU)</f>
        <v>#REF!</v>
      </c>
      <c r="D663" s="260" t="e">
        <f ca="1">IF(ISTEXT(([0]!P_1_11.6.1.8 [0]!MT)),0,([0]!P_1_11.6.1.8 [0]!MT))</f>
        <v>#REF!</v>
      </c>
    </row>
    <row r="664" spans="1:4">
      <c r="A664" s="258" t="s">
        <v>666</v>
      </c>
      <c r="B664" s="259" t="e">
        <f ca="1">IF(ISTEXT(([0]!P_1_11.6.1.9 [0]!Qté)),0,([0]!P_1_11.6.1.9 [0]!Qté))</f>
        <v>#REF!</v>
      </c>
      <c r="C664" s="260" t="e">
        <f ca="1">([0]!P_1_11.6.1.9 [0]!PU)</f>
        <v>#REF!</v>
      </c>
      <c r="D664" s="260" t="e">
        <f ca="1">IF(ISTEXT(([0]!P_1_11.6.1.9 [0]!MT)),0,([0]!P_1_11.6.1.9 [0]!MT))</f>
        <v>#REF!</v>
      </c>
    </row>
    <row r="665" spans="1:4">
      <c r="A665" s="258" t="s">
        <v>667</v>
      </c>
      <c r="B665" s="259" t="e">
        <f ca="1">IF(ISTEXT(([0]!P_1_11.6.1.10 [0]!Qté)),0,([0]!P_1_11.6.1.10 [0]!Qté))</f>
        <v>#REF!</v>
      </c>
      <c r="C665" s="260" t="e">
        <f ca="1">([0]!P_1_11.6.1.10 [0]!PU)</f>
        <v>#REF!</v>
      </c>
      <c r="D665" s="260" t="e">
        <f ca="1">IF(ISTEXT(([0]!P_1_11.6.1.10 [0]!MT)),0,([0]!P_1_11.6.1.10 [0]!MT))</f>
        <v>#REF!</v>
      </c>
    </row>
    <row r="666" spans="1:4">
      <c r="A666" s="258" t="s">
        <v>668</v>
      </c>
      <c r="B666" s="259" t="e">
        <f ca="1">IF(ISTEXT(([0]!P_1_11.6.1.11 [0]!Qté)),0,([0]!P_1_11.6.1.11 [0]!Qté))</f>
        <v>#REF!</v>
      </c>
      <c r="C666" s="260" t="e">
        <f ca="1">([0]!P_1_11.6.1.11 [0]!PU)</f>
        <v>#REF!</v>
      </c>
      <c r="D666" s="260" t="e">
        <f ca="1">IF(ISTEXT(([0]!P_1_11.6.1.11 [0]!MT)),0,([0]!P_1_11.6.1.11 [0]!MT))</f>
        <v>#REF!</v>
      </c>
    </row>
    <row r="667" spans="1:4">
      <c r="A667" s="258" t="s">
        <v>669</v>
      </c>
      <c r="B667" s="259" t="e">
        <f ca="1">IF(ISTEXT(([0]!P_1_11.6.1.12 [0]!Qté)),0,([0]!P_1_11.6.1.12 [0]!Qté))</f>
        <v>#REF!</v>
      </c>
      <c r="C667" s="260" t="e">
        <f ca="1">([0]!P_1_11.6.1.12 [0]!PU)</f>
        <v>#REF!</v>
      </c>
      <c r="D667" s="260" t="e">
        <f ca="1">IF(ISTEXT(([0]!P_1_11.6.1.12 [0]!MT)),0,([0]!P_1_11.6.1.12 [0]!MT))</f>
        <v>#REF!</v>
      </c>
    </row>
    <row r="668" spans="1:4">
      <c r="A668" s="258" t="s">
        <v>670</v>
      </c>
      <c r="B668" s="259" t="e">
        <f ca="1">IF(ISTEXT(([0]!P_1_11.6.2.1 [0]!Qté)),0,([0]!P_1_11.6.2.1 [0]!Qté))</f>
        <v>#REF!</v>
      </c>
      <c r="C668" s="260" t="e">
        <f ca="1">([0]!P_1_11.6.2.1 [0]!PU)</f>
        <v>#REF!</v>
      </c>
      <c r="D668" s="260" t="e">
        <f ca="1">IF(ISTEXT(([0]!P_1_11.6.2.1 [0]!MT)),0,([0]!P_1_11.6.2.1 [0]!MT))</f>
        <v>#REF!</v>
      </c>
    </row>
    <row r="669" spans="1:4">
      <c r="A669" s="258" t="s">
        <v>671</v>
      </c>
      <c r="B669" s="259" t="e">
        <f ca="1">IF(ISTEXT(([0]!P_1_11.6.2.2 [0]!Qté)),0,([0]!P_1_11.6.2.2 [0]!Qté))</f>
        <v>#REF!</v>
      </c>
      <c r="C669" s="260" t="e">
        <f ca="1">([0]!P_1_11.6.2.2 [0]!PU)</f>
        <v>#REF!</v>
      </c>
      <c r="D669" s="260" t="e">
        <f ca="1">IF(ISTEXT(([0]!P_1_11.6.2.2 [0]!MT)),0,([0]!P_1_11.6.2.2 [0]!MT))</f>
        <v>#REF!</v>
      </c>
    </row>
    <row r="670" spans="1:4">
      <c r="A670" s="258" t="s">
        <v>672</v>
      </c>
      <c r="B670" s="259" t="e">
        <f ca="1">IF(ISTEXT(([0]!P_1_11.6.2.3 [0]!Qté)),0,([0]!P_1_11.6.2.3 [0]!Qté))</f>
        <v>#REF!</v>
      </c>
      <c r="C670" s="260" t="e">
        <f ca="1">([0]!P_1_11.6.2.3 [0]!PU)</f>
        <v>#REF!</v>
      </c>
      <c r="D670" s="260" t="e">
        <f ca="1">IF(ISTEXT(([0]!P_1_11.6.2.3 [0]!MT)),0,([0]!P_1_11.6.2.3 [0]!MT))</f>
        <v>#REF!</v>
      </c>
    </row>
    <row r="671" spans="1:4">
      <c r="A671" s="258" t="s">
        <v>673</v>
      </c>
      <c r="B671" s="259" t="e">
        <f ca="1">IF(ISTEXT(([0]!P_1_11.6.2.4 [0]!Qté)),0,([0]!P_1_11.6.2.4 [0]!Qté))</f>
        <v>#REF!</v>
      </c>
      <c r="C671" s="260" t="e">
        <f ca="1">([0]!P_1_11.6.2.4 [0]!PU)</f>
        <v>#REF!</v>
      </c>
      <c r="D671" s="260" t="e">
        <f ca="1">IF(ISTEXT(([0]!P_1_11.6.2.4 [0]!MT)),0,([0]!P_1_11.6.2.4 [0]!MT))</f>
        <v>#REF!</v>
      </c>
    </row>
    <row r="672" spans="1:4">
      <c r="A672" s="258" t="s">
        <v>674</v>
      </c>
      <c r="B672" s="259" t="e">
        <f ca="1">IF(ISTEXT(([0]!P_1_11.6.2.5 [0]!Qté)),0,([0]!P_1_11.6.2.5 [0]!Qté))</f>
        <v>#REF!</v>
      </c>
      <c r="C672" s="260" t="e">
        <f ca="1">([0]!P_1_11.6.2.5 [0]!PU)</f>
        <v>#REF!</v>
      </c>
      <c r="D672" s="260" t="e">
        <f ca="1">IF(ISTEXT(([0]!P_1_11.6.2.5 [0]!MT)),0,([0]!P_1_11.6.2.5 [0]!MT))</f>
        <v>#REF!</v>
      </c>
    </row>
    <row r="673" spans="1:4">
      <c r="A673" s="258" t="s">
        <v>675</v>
      </c>
      <c r="B673" s="259" t="e">
        <f ca="1">IF(ISTEXT(([0]!P_1_11.6.2.6 [0]!Qté)),0,([0]!P_1_11.6.2.6 [0]!Qté))</f>
        <v>#REF!</v>
      </c>
      <c r="C673" s="260" t="e">
        <f ca="1">([0]!P_1_11.6.2.6 [0]!PU)</f>
        <v>#REF!</v>
      </c>
      <c r="D673" s="260" t="e">
        <f ca="1">IF(ISTEXT(([0]!P_1_11.6.2.6 [0]!MT)),0,([0]!P_1_11.6.2.6 [0]!MT))</f>
        <v>#REF!</v>
      </c>
    </row>
    <row r="674" spans="1:4">
      <c r="A674" s="258" t="s">
        <v>676</v>
      </c>
      <c r="B674" s="259" t="e">
        <f ca="1">IF(ISTEXT(([0]!P_1_11.6.2.7 [0]!Qté)),0,([0]!P_1_11.6.2.7 [0]!Qté))</f>
        <v>#REF!</v>
      </c>
      <c r="C674" s="260" t="e">
        <f ca="1">([0]!P_1_11.6.2.7 [0]!PU)</f>
        <v>#REF!</v>
      </c>
      <c r="D674" s="260" t="e">
        <f ca="1">IF(ISTEXT(([0]!P_1_11.6.2.7 [0]!MT)),0,([0]!P_1_11.6.2.7 [0]!MT))</f>
        <v>#REF!</v>
      </c>
    </row>
    <row r="675" spans="1:4">
      <c r="A675" s="258" t="s">
        <v>677</v>
      </c>
      <c r="B675" s="259" t="e">
        <f ca="1">IF(ISTEXT(([0]!P_1_11.6.2.8 [0]!Qté)),0,([0]!P_1_11.6.2.8 [0]!Qté))</f>
        <v>#REF!</v>
      </c>
      <c r="C675" s="260" t="e">
        <f ca="1">([0]!P_1_11.6.2.8 [0]!PU)</f>
        <v>#REF!</v>
      </c>
      <c r="D675" s="260" t="e">
        <f ca="1">IF(ISTEXT(([0]!P_1_11.6.2.8 [0]!MT)),0,([0]!P_1_11.6.2.8 [0]!MT))</f>
        <v>#REF!</v>
      </c>
    </row>
    <row r="676" spans="1:4">
      <c r="A676" s="258" t="s">
        <v>678</v>
      </c>
      <c r="B676" s="259" t="e">
        <f ca="1">IF(ISTEXT(([0]!P_1_11.6.2.9 [0]!Qté)),0,([0]!P_1_11.6.2.9 [0]!Qté))</f>
        <v>#REF!</v>
      </c>
      <c r="C676" s="260" t="e">
        <f ca="1">([0]!P_1_11.6.2.9 [0]!PU)</f>
        <v>#REF!</v>
      </c>
      <c r="D676" s="260" t="e">
        <f ca="1">IF(ISTEXT(([0]!P_1_11.6.2.9 [0]!MT)),0,([0]!P_1_11.6.2.9 [0]!MT))</f>
        <v>#REF!</v>
      </c>
    </row>
    <row r="677" spans="1:4">
      <c r="A677" s="258" t="s">
        <v>679</v>
      </c>
      <c r="B677" s="259" t="e">
        <f ca="1">IF(ISTEXT(([0]!P_1_11.6.2.10 [0]!Qté)),0,([0]!P_1_11.6.2.10 [0]!Qté))</f>
        <v>#REF!</v>
      </c>
      <c r="C677" s="260" t="e">
        <f ca="1">([0]!P_1_11.6.2.10 [0]!PU)</f>
        <v>#REF!</v>
      </c>
      <c r="D677" s="260" t="e">
        <f ca="1">IF(ISTEXT(([0]!P_1_11.6.2.10 [0]!MT)),0,([0]!P_1_11.6.2.10 [0]!MT))</f>
        <v>#REF!</v>
      </c>
    </row>
    <row r="678" spans="1:4">
      <c r="A678" s="258" t="s">
        <v>680</v>
      </c>
      <c r="B678" s="259" t="e">
        <f ca="1">IF(ISTEXT(([0]!P_1_11.6.2.11 [0]!Qté)),0,([0]!P_1_11.6.2.11 [0]!Qté))</f>
        <v>#REF!</v>
      </c>
      <c r="C678" s="260" t="e">
        <f ca="1">([0]!P_1_11.6.2.11 [0]!PU)</f>
        <v>#REF!</v>
      </c>
      <c r="D678" s="260" t="e">
        <f ca="1">IF(ISTEXT(([0]!P_1_11.6.2.11 [0]!MT)),0,([0]!P_1_11.6.2.11 [0]!MT))</f>
        <v>#REF!</v>
      </c>
    </row>
    <row r="679" spans="1:4">
      <c r="A679" s="258" t="s">
        <v>681</v>
      </c>
      <c r="B679" s="259" t="e">
        <f ca="1">IF(ISTEXT(([0]!P_1_11.6.2.12 [0]!Qté)),0,([0]!P_1_11.6.2.12 [0]!Qté))</f>
        <v>#REF!</v>
      </c>
      <c r="C679" s="260" t="e">
        <f ca="1">([0]!P_1_11.6.2.12 [0]!PU)</f>
        <v>#REF!</v>
      </c>
      <c r="D679" s="260" t="e">
        <f ca="1">IF(ISTEXT(([0]!P_1_11.6.2.12 [0]!MT)),0,([0]!P_1_11.6.2.12 [0]!MT))</f>
        <v>#REF!</v>
      </c>
    </row>
    <row r="680" spans="1:4">
      <c r="A680" s="258" t="s">
        <v>682</v>
      </c>
      <c r="B680" s="259" t="e">
        <f ca="1">IF(ISTEXT(([0]!P_1_11.7.1 [0]!Qté)),0,([0]!P_1_11.7.1 [0]!Qté))</f>
        <v>#REF!</v>
      </c>
      <c r="C680" s="260" t="e">
        <f ca="1">([0]!P_1_11.7.1 [0]!PU)</f>
        <v>#REF!</v>
      </c>
      <c r="D680" s="260" t="e">
        <f ca="1">IF(ISTEXT(([0]!P_1_11.7.1 [0]!MT)),0,([0]!P_1_11.7.1 [0]!MT))</f>
        <v>#REF!</v>
      </c>
    </row>
    <row r="681" spans="1:4">
      <c r="A681" s="258" t="s">
        <v>683</v>
      </c>
      <c r="B681" s="259" t="e">
        <f ca="1">IF(ISTEXT(([0]!P_1_11.7.2 [0]!Qté)),0,([0]!P_1_11.7.2 [0]!Qté))</f>
        <v>#REF!</v>
      </c>
      <c r="C681" s="260" t="e">
        <f ca="1">([0]!P_1_11.7.2 [0]!PU)</f>
        <v>#REF!</v>
      </c>
      <c r="D681" s="260" t="e">
        <f ca="1">IF(ISTEXT(([0]!P_1_11.7.2 [0]!MT)),0,([0]!P_1_11.7.2 [0]!MT))</f>
        <v>#REF!</v>
      </c>
    </row>
    <row r="682" spans="1:4">
      <c r="A682" s="258" t="s">
        <v>684</v>
      </c>
      <c r="B682" s="259" t="e">
        <f ca="1">IF(ISTEXT(([0]!P_1_11.7.3 [0]!Qté)),0,([0]!P_1_11.7.3 [0]!Qté))</f>
        <v>#REF!</v>
      </c>
      <c r="C682" s="260" t="e">
        <f ca="1">([0]!P_1_11.7.3 [0]!PU)</f>
        <v>#REF!</v>
      </c>
      <c r="D682" s="260" t="e">
        <f ca="1">IF(ISTEXT(([0]!P_1_11.7.3 [0]!MT)),0,([0]!P_1_11.7.3 [0]!MT))</f>
        <v>#REF!</v>
      </c>
    </row>
    <row r="683" spans="1:4">
      <c r="A683" s="258" t="s">
        <v>685</v>
      </c>
      <c r="B683" s="259" t="e">
        <f ca="1">IF(ISTEXT(([0]!P_1_11.8.1 [0]!Qté)),0,([0]!P_1_11.8.1 [0]!Qté))</f>
        <v>#REF!</v>
      </c>
      <c r="C683" s="260" t="e">
        <f ca="1">([0]!P_1_11.8.1 [0]!PU)</f>
        <v>#REF!</v>
      </c>
      <c r="D683" s="260" t="e">
        <f ca="1">IF(ISTEXT(([0]!P_1_11.8.1 [0]!MT)),0,([0]!P_1_11.8.1 [0]!MT))</f>
        <v>#REF!</v>
      </c>
    </row>
    <row r="684" spans="1:4">
      <c r="A684" s="258" t="s">
        <v>686</v>
      </c>
      <c r="B684" s="259" t="e">
        <f ca="1">IF(ISTEXT(([0]!P_1_11.8.2 [0]!Qté)),0,([0]!P_1_11.8.2 [0]!Qté))</f>
        <v>#REF!</v>
      </c>
      <c r="C684" s="260" t="e">
        <f ca="1">([0]!P_1_11.8.2 [0]!PU)</f>
        <v>#REF!</v>
      </c>
      <c r="D684" s="260" t="e">
        <f ca="1">IF(ISTEXT(([0]!P_1_11.8.2 [0]!MT)),0,([0]!P_1_11.8.2 [0]!MT))</f>
        <v>#REF!</v>
      </c>
    </row>
    <row r="685" spans="1:4">
      <c r="A685" s="258" t="s">
        <v>687</v>
      </c>
      <c r="B685" s="259" t="e">
        <f ca="1">IF(ISTEXT(([0]!P_1_11.8.3 [0]!Qté)),0,([0]!P_1_11.8.3 [0]!Qté))</f>
        <v>#REF!</v>
      </c>
      <c r="C685" s="260" t="e">
        <f ca="1">([0]!P_1_11.8.3 [0]!PU)</f>
        <v>#REF!</v>
      </c>
      <c r="D685" s="260" t="e">
        <f ca="1">IF(ISTEXT(([0]!P_1_11.8.3 [0]!MT)),0,([0]!P_1_11.8.3 [0]!MT))</f>
        <v>#REF!</v>
      </c>
    </row>
    <row r="686" spans="1:4">
      <c r="A686" s="258" t="s">
        <v>688</v>
      </c>
      <c r="B686" s="259" t="e">
        <f ca="1">IF(ISTEXT(([0]!P_1_11.8.4 [0]!Qté)),0,([0]!P_1_11.8.4 [0]!Qté))</f>
        <v>#REF!</v>
      </c>
      <c r="C686" s="260" t="e">
        <f ca="1">([0]!P_1_11.8.4 [0]!PU)</f>
        <v>#REF!</v>
      </c>
      <c r="D686" s="260" t="e">
        <f ca="1">IF(ISTEXT(([0]!P_1_11.8.4 [0]!MT)),0,([0]!P_1_11.8.4 [0]!MT))</f>
        <v>#REF!</v>
      </c>
    </row>
    <row r="687" spans="1:4">
      <c r="A687" s="258" t="s">
        <v>689</v>
      </c>
      <c r="B687" s="259" t="e">
        <f ca="1">IF(ISTEXT(([0]!P_1_11.8.5 [0]!Qté)),0,([0]!P_1_11.8.5 [0]!Qté))</f>
        <v>#REF!</v>
      </c>
      <c r="C687" s="260" t="e">
        <f ca="1">([0]!P_1_11.8.5 [0]!PU)</f>
        <v>#REF!</v>
      </c>
      <c r="D687" s="260" t="e">
        <f ca="1">IF(ISTEXT(([0]!P_1_11.8.5 [0]!MT)),0,([0]!P_1_11.8.5 [0]!MT))</f>
        <v>#REF!</v>
      </c>
    </row>
    <row r="688" spans="1:4">
      <c r="A688" s="258" t="s">
        <v>690</v>
      </c>
      <c r="B688" s="259" t="e">
        <f ca="1">IF(ISTEXT(([0]!P_1_12.1.1 [0]!Qté)),0,([0]!P_1_12.1.1 [0]!Qté))</f>
        <v>#REF!</v>
      </c>
      <c r="C688" s="260" t="e">
        <f ca="1">([0]!P_1_12.1.1 [0]!PU)</f>
        <v>#REF!</v>
      </c>
      <c r="D688" s="260" t="e">
        <f ca="1">IF(ISTEXT(([0]!P_1_12.1.1 [0]!MT)),0,([0]!P_1_12.1.1 [0]!MT))</f>
        <v>#REF!</v>
      </c>
    </row>
    <row r="689" spans="1:4">
      <c r="A689" s="258" t="s">
        <v>691</v>
      </c>
      <c r="B689" s="259" t="e">
        <f ca="1">IF(ISTEXT(([0]!P_1_12.1.2 [0]!Qté)),0,([0]!P_1_12.1.2 [0]!Qté))</f>
        <v>#REF!</v>
      </c>
      <c r="C689" s="260" t="e">
        <f ca="1">([0]!P_1_12.1.2 [0]!PU)</f>
        <v>#REF!</v>
      </c>
      <c r="D689" s="260" t="e">
        <f ca="1">IF(ISTEXT(([0]!P_1_12.1.2 [0]!MT)),0,([0]!P_1_12.1.2 [0]!MT))</f>
        <v>#REF!</v>
      </c>
    </row>
    <row r="690" spans="1:4">
      <c r="A690" s="258" t="s">
        <v>692</v>
      </c>
      <c r="B690" s="259" t="e">
        <f ca="1">IF(ISTEXT(([0]!P_1_12.1.3 [0]!Qté)),0,([0]!P_1_12.1.3 [0]!Qté))</f>
        <v>#REF!</v>
      </c>
      <c r="C690" s="260" t="e">
        <f ca="1">([0]!P_1_12.1.3 [0]!PU)</f>
        <v>#REF!</v>
      </c>
      <c r="D690" s="260" t="e">
        <f ca="1">IF(ISTEXT(([0]!P_1_12.1.3 [0]!MT)),0,([0]!P_1_12.1.3 [0]!MT))</f>
        <v>#REF!</v>
      </c>
    </row>
    <row r="691" spans="1:4">
      <c r="A691" s="258" t="s">
        <v>693</v>
      </c>
      <c r="B691" s="259" t="e">
        <f ca="1">IF(ISTEXT(([0]!P_1_12.1.4 [0]!Qté)),0,([0]!P_1_12.1.4 [0]!Qté))</f>
        <v>#REF!</v>
      </c>
      <c r="C691" s="260" t="e">
        <f ca="1">([0]!P_1_12.1.4 [0]!PU)</f>
        <v>#REF!</v>
      </c>
      <c r="D691" s="260" t="e">
        <f ca="1">IF(ISTEXT(([0]!P_1_12.1.4 [0]!MT)),0,([0]!P_1_12.1.4 [0]!MT))</f>
        <v>#REF!</v>
      </c>
    </row>
    <row r="692" spans="1:4">
      <c r="A692" s="258" t="s">
        <v>694</v>
      </c>
      <c r="B692" s="259" t="e">
        <f ca="1">IF(ISTEXT(([0]!P_1_12.2.1.1 [0]!Qté)),0,([0]!P_1_12.2.1.1 [0]!Qté))</f>
        <v>#REF!</v>
      </c>
      <c r="C692" s="260" t="e">
        <f ca="1">([0]!P_1_12.2.1.1 [0]!PU)</f>
        <v>#REF!</v>
      </c>
      <c r="D692" s="260" t="e">
        <f ca="1">IF(ISTEXT(([0]!P_1_12.2.1.1 [0]!MT)),0,([0]!P_1_12.2.1.1 [0]!MT))</f>
        <v>#REF!</v>
      </c>
    </row>
    <row r="693" spans="1:4">
      <c r="A693" s="258" t="s">
        <v>695</v>
      </c>
      <c r="B693" s="259" t="e">
        <f ca="1">IF(ISTEXT(([0]!P_1_12.2.1.2 [0]!Qté)),0,([0]!P_1_12.2.1.2 [0]!Qté))</f>
        <v>#REF!</v>
      </c>
      <c r="C693" s="260" t="e">
        <f ca="1">([0]!P_1_12.2.1.2 [0]!PU)</f>
        <v>#REF!</v>
      </c>
      <c r="D693" s="260" t="e">
        <f ca="1">IF(ISTEXT(([0]!P_1_12.2.1.2 [0]!MT)),0,([0]!P_1_12.2.1.2 [0]!MT))</f>
        <v>#REF!</v>
      </c>
    </row>
    <row r="694" spans="1:4">
      <c r="A694" s="258" t="s">
        <v>696</v>
      </c>
      <c r="B694" s="259" t="e">
        <f ca="1">IF(ISTEXT(([0]!P_1_12.2.1.3 [0]!Qté)),0,([0]!P_1_12.2.1.3 [0]!Qté))</f>
        <v>#REF!</v>
      </c>
      <c r="C694" s="260" t="e">
        <f ca="1">([0]!P_1_12.2.1.3 [0]!PU)</f>
        <v>#REF!</v>
      </c>
      <c r="D694" s="260" t="e">
        <f ca="1">IF(ISTEXT(([0]!P_1_12.2.1.3 [0]!MT)),0,([0]!P_1_12.2.1.3 [0]!MT))</f>
        <v>#REF!</v>
      </c>
    </row>
    <row r="695" spans="1:4">
      <c r="A695" s="258" t="s">
        <v>697</v>
      </c>
      <c r="B695" s="259" t="e">
        <f ca="1">IF(ISTEXT(([0]!P_1_12.2.1.4 [0]!Qté)),0,([0]!P_1_12.2.1.4 [0]!Qté))</f>
        <v>#REF!</v>
      </c>
      <c r="C695" s="260" t="e">
        <f ca="1">([0]!P_1_12.2.1.4 [0]!PU)</f>
        <v>#REF!</v>
      </c>
      <c r="D695" s="260" t="e">
        <f ca="1">IF(ISTEXT(([0]!P_1_12.2.1.4 [0]!MT)),0,([0]!P_1_12.2.1.4 [0]!MT))</f>
        <v>#REF!</v>
      </c>
    </row>
    <row r="696" spans="1:4">
      <c r="A696" s="258" t="s">
        <v>698</v>
      </c>
      <c r="B696" s="259" t="e">
        <f ca="1">IF(ISTEXT(([0]!P_1_12.2.1.5 [0]!Qté)),0,([0]!P_1_12.2.1.5 [0]!Qté))</f>
        <v>#REF!</v>
      </c>
      <c r="C696" s="260" t="e">
        <f ca="1">([0]!P_1_12.2.1.5 [0]!PU)</f>
        <v>#REF!</v>
      </c>
      <c r="D696" s="260" t="e">
        <f ca="1">IF(ISTEXT(([0]!P_1_12.2.1.5 [0]!MT)),0,([0]!P_1_12.2.1.5 [0]!MT))</f>
        <v>#REF!</v>
      </c>
    </row>
    <row r="697" spans="1:4">
      <c r="A697" s="258" t="s">
        <v>699</v>
      </c>
      <c r="B697" s="259" t="e">
        <f ca="1">IF(ISTEXT(([0]!P_1_12.2.1.6 [0]!Qté)),0,([0]!P_1_12.2.1.6 [0]!Qté))</f>
        <v>#REF!</v>
      </c>
      <c r="C697" s="260" t="e">
        <f ca="1">([0]!P_1_12.2.1.6 [0]!PU)</f>
        <v>#REF!</v>
      </c>
      <c r="D697" s="260" t="e">
        <f ca="1">IF(ISTEXT(([0]!P_1_12.2.1.6 [0]!MT)),0,([0]!P_1_12.2.1.6 [0]!MT))</f>
        <v>#REF!</v>
      </c>
    </row>
    <row r="698" spans="1:4">
      <c r="A698" s="258" t="s">
        <v>700</v>
      </c>
      <c r="B698" s="259" t="e">
        <f ca="1">IF(ISTEXT(([0]!P_1_12.2.1.7 [0]!Qté)),0,([0]!P_1_12.2.1.7 [0]!Qté))</f>
        <v>#REF!</v>
      </c>
      <c r="C698" s="260" t="e">
        <f ca="1">([0]!P_1_12.2.1.7 [0]!PU)</f>
        <v>#REF!</v>
      </c>
      <c r="D698" s="260" t="e">
        <f ca="1">IF(ISTEXT(([0]!P_1_12.2.1.7 [0]!MT)),0,([0]!P_1_12.2.1.7 [0]!MT))</f>
        <v>#REF!</v>
      </c>
    </row>
    <row r="699" spans="1:4">
      <c r="A699" s="258" t="s">
        <v>701</v>
      </c>
      <c r="B699" s="259" t="e">
        <f ca="1">IF(ISTEXT(([0]!P_1_12.2.1.8 [0]!Qté)),0,([0]!P_1_12.2.1.8 [0]!Qté))</f>
        <v>#REF!</v>
      </c>
      <c r="C699" s="260" t="e">
        <f ca="1">([0]!P_1_12.2.1.8 [0]!PU)</f>
        <v>#REF!</v>
      </c>
      <c r="D699" s="260" t="e">
        <f ca="1">IF(ISTEXT(([0]!P_1_12.2.1.8 [0]!MT)),0,([0]!P_1_12.2.1.8 [0]!MT))</f>
        <v>#REF!</v>
      </c>
    </row>
    <row r="700" spans="1:4">
      <c r="A700" s="258" t="s">
        <v>702</v>
      </c>
      <c r="B700" s="259" t="e">
        <f ca="1">IF(ISTEXT(([0]!P_1_12.2.1.9 [0]!Qté)),0,([0]!P_1_12.2.1.9 [0]!Qté))</f>
        <v>#REF!</v>
      </c>
      <c r="C700" s="260" t="e">
        <f ca="1">([0]!P_1_12.2.1.9 [0]!PU)</f>
        <v>#REF!</v>
      </c>
      <c r="D700" s="260" t="e">
        <f ca="1">IF(ISTEXT(([0]!P_1_12.2.1.9 [0]!MT)),0,([0]!P_1_12.2.1.9 [0]!MT))</f>
        <v>#REF!</v>
      </c>
    </row>
    <row r="701" spans="1:4">
      <c r="A701" s="258" t="s">
        <v>703</v>
      </c>
      <c r="B701" s="259" t="e">
        <f ca="1">IF(ISTEXT(([0]!P_1_12.2.2.1 [0]!Qté)),0,([0]!P_1_12.2.2.1 [0]!Qté))</f>
        <v>#REF!</v>
      </c>
      <c r="C701" s="260" t="e">
        <f ca="1">([0]!P_1_12.2.2.1 [0]!PU)</f>
        <v>#REF!</v>
      </c>
      <c r="D701" s="260" t="e">
        <f ca="1">IF(ISTEXT(([0]!P_1_12.2.2.1 [0]!MT)),0,([0]!P_1_12.2.2.1 [0]!MT))</f>
        <v>#REF!</v>
      </c>
    </row>
    <row r="702" spans="1:4">
      <c r="A702" s="258" t="s">
        <v>704</v>
      </c>
      <c r="B702" s="259" t="e">
        <f ca="1">IF(ISTEXT(([0]!P_1_12.2.2.2 [0]!Qté)),0,([0]!P_1_12.2.2.2 [0]!Qté))</f>
        <v>#REF!</v>
      </c>
      <c r="C702" s="260" t="e">
        <f ca="1">([0]!P_1_12.2.2.2 [0]!PU)</f>
        <v>#REF!</v>
      </c>
      <c r="D702" s="260" t="e">
        <f ca="1">IF(ISTEXT(([0]!P_1_12.2.2.2 [0]!MT)),0,([0]!P_1_12.2.2.2 [0]!MT))</f>
        <v>#REF!</v>
      </c>
    </row>
    <row r="703" spans="1:4">
      <c r="A703" s="258" t="s">
        <v>705</v>
      </c>
      <c r="B703" s="259" t="e">
        <f ca="1">IF(ISTEXT(([0]!P_1_12.2.2.3 [0]!Qté)),0,([0]!P_1_12.2.2.3 [0]!Qté))</f>
        <v>#REF!</v>
      </c>
      <c r="C703" s="260" t="e">
        <f ca="1">([0]!P_1_12.2.2.3 [0]!PU)</f>
        <v>#REF!</v>
      </c>
      <c r="D703" s="260" t="e">
        <f ca="1">IF(ISTEXT(([0]!P_1_12.2.2.3 [0]!MT)),0,([0]!P_1_12.2.2.3 [0]!MT))</f>
        <v>#REF!</v>
      </c>
    </row>
    <row r="704" spans="1:4">
      <c r="A704" s="258" t="s">
        <v>706</v>
      </c>
      <c r="B704" s="259" t="e">
        <f ca="1">IF(ISTEXT(([0]!P_1_12.2.2.4 [0]!Qté)),0,([0]!P_1_12.2.2.4 [0]!Qté))</f>
        <v>#REF!</v>
      </c>
      <c r="C704" s="260" t="e">
        <f ca="1">([0]!P_1_12.2.2.4 [0]!PU)</f>
        <v>#REF!</v>
      </c>
      <c r="D704" s="260" t="e">
        <f ca="1">IF(ISTEXT(([0]!P_1_12.2.2.4 [0]!MT)),0,([0]!P_1_12.2.2.4 [0]!MT))</f>
        <v>#REF!</v>
      </c>
    </row>
    <row r="705" spans="1:4">
      <c r="A705" s="258" t="s">
        <v>707</v>
      </c>
      <c r="B705" s="259" t="e">
        <f ca="1">IF(ISTEXT(([0]!P_1_12.2.2.5 [0]!Qté)),0,([0]!P_1_12.2.2.5 [0]!Qté))</f>
        <v>#REF!</v>
      </c>
      <c r="C705" s="260" t="e">
        <f ca="1">([0]!P_1_12.2.2.5 [0]!PU)</f>
        <v>#REF!</v>
      </c>
      <c r="D705" s="260" t="e">
        <f ca="1">IF(ISTEXT(([0]!P_1_12.2.2.5 [0]!MT)),0,([0]!P_1_12.2.2.5 [0]!MT))</f>
        <v>#REF!</v>
      </c>
    </row>
    <row r="706" spans="1:4">
      <c r="A706" s="258" t="s">
        <v>708</v>
      </c>
      <c r="B706" s="259" t="e">
        <f ca="1">IF(ISTEXT(([0]!P_1_12.2.3 [0]!Qté)),0,([0]!P_1_12.2.3 [0]!Qté))</f>
        <v>#REF!</v>
      </c>
      <c r="C706" s="260" t="e">
        <f ca="1">([0]!P_1_12.2.3 [0]!PU)</f>
        <v>#REF!</v>
      </c>
      <c r="D706" s="260" t="e">
        <f ca="1">IF(ISTEXT(([0]!P_1_12.2.3 [0]!MT)),0,([0]!P_1_12.2.3 [0]!MT))</f>
        <v>#REF!</v>
      </c>
    </row>
    <row r="707" spans="1:4">
      <c r="A707" s="258" t="s">
        <v>709</v>
      </c>
      <c r="B707" s="259" t="e">
        <f ca="1">IF(ISTEXT(([0]!P_1_12.2.4 [0]!Qté)),0,([0]!P_1_12.2.4 [0]!Qté))</f>
        <v>#REF!</v>
      </c>
      <c r="C707" s="260" t="e">
        <f ca="1">([0]!P_1_12.2.4 [0]!PU)</f>
        <v>#REF!</v>
      </c>
      <c r="D707" s="260" t="e">
        <f ca="1">IF(ISTEXT(([0]!P_1_12.2.4 [0]!MT)),0,([0]!P_1_12.2.4 [0]!MT))</f>
        <v>#REF!</v>
      </c>
    </row>
    <row r="708" spans="1:4">
      <c r="A708" s="258" t="s">
        <v>710</v>
      </c>
      <c r="B708" s="259" t="e">
        <f ca="1">IF(ISTEXT(([0]!P_1_12.3.1 [0]!Qté)),0,([0]!P_1_12.3.1 [0]!Qté))</f>
        <v>#REF!</v>
      </c>
      <c r="C708" s="260" t="e">
        <f ca="1">([0]!P_1_12.3.1 [0]!PU)</f>
        <v>#REF!</v>
      </c>
      <c r="D708" s="260" t="e">
        <f ca="1">IF(ISTEXT(([0]!P_1_12.3.1 [0]!MT)),0,([0]!P_1_12.3.1 [0]!MT))</f>
        <v>#REF!</v>
      </c>
    </row>
    <row r="709" spans="1:4">
      <c r="A709" s="258" t="s">
        <v>711</v>
      </c>
      <c r="B709" s="259" t="e">
        <f ca="1">IF(ISTEXT(([0]!P_1_12.3.2 [0]!Qté)),0,([0]!P_1_12.3.2 [0]!Qté))</f>
        <v>#REF!</v>
      </c>
      <c r="C709" s="260" t="e">
        <f ca="1">([0]!P_1_12.3.2 [0]!PU)</f>
        <v>#REF!</v>
      </c>
      <c r="D709" s="260" t="e">
        <f ca="1">IF(ISTEXT(([0]!P_1_12.3.2 [0]!MT)),0,([0]!P_1_12.3.2 [0]!MT))</f>
        <v>#REF!</v>
      </c>
    </row>
    <row r="710" spans="1:4">
      <c r="A710" s="258" t="s">
        <v>712</v>
      </c>
      <c r="B710" s="259" t="e">
        <f ca="1">IF(ISTEXT(([0]!P_1_12.3.3 [0]!Qté)),0,([0]!P_1_12.3.3 [0]!Qté))</f>
        <v>#REF!</v>
      </c>
      <c r="C710" s="260" t="e">
        <f ca="1">([0]!P_1_12.3.3 [0]!PU)</f>
        <v>#REF!</v>
      </c>
      <c r="D710" s="260" t="e">
        <f ca="1">IF(ISTEXT(([0]!P_1_12.3.3 [0]!MT)),0,([0]!P_1_12.3.3 [0]!MT))</f>
        <v>#REF!</v>
      </c>
    </row>
    <row r="711" spans="1:4">
      <c r="A711" s="258" t="s">
        <v>713</v>
      </c>
      <c r="B711" s="259" t="e">
        <f ca="1">IF(ISTEXT(([0]!P_1_12.3.4 [0]!Qté)),0,([0]!P_1_12.3.4 [0]!Qté))</f>
        <v>#REF!</v>
      </c>
      <c r="C711" s="260" t="e">
        <f ca="1">([0]!P_1_12.3.4 [0]!PU)</f>
        <v>#REF!</v>
      </c>
      <c r="D711" s="260" t="e">
        <f ca="1">IF(ISTEXT(([0]!P_1_12.3.4 [0]!MT)),0,([0]!P_1_12.3.4 [0]!MT))</f>
        <v>#REF!</v>
      </c>
    </row>
    <row r="712" spans="1:4">
      <c r="A712" s="258" t="s">
        <v>714</v>
      </c>
      <c r="B712" s="259" t="e">
        <f ca="1">IF(ISTEXT(([0]!P_1_12.4.1 [0]!Qté)),0,([0]!P_1_12.4.1 [0]!Qté))</f>
        <v>#REF!</v>
      </c>
      <c r="C712" s="260" t="e">
        <f ca="1">([0]!P_1_12.4.1 [0]!PU)</f>
        <v>#REF!</v>
      </c>
      <c r="D712" s="260" t="e">
        <f ca="1">IF(ISTEXT(([0]!P_1_12.4.1 [0]!MT)),0,([0]!P_1_12.4.1 [0]!MT))</f>
        <v>#REF!</v>
      </c>
    </row>
    <row r="713" spans="1:4">
      <c r="A713" s="258" t="s">
        <v>715</v>
      </c>
      <c r="B713" s="259" t="e">
        <f ca="1">IF(ISTEXT(([0]!P_1_12.4.2 [0]!Qté)),0,([0]!P_1_12.4.2 [0]!Qté))</f>
        <v>#REF!</v>
      </c>
      <c r="C713" s="260" t="e">
        <f ca="1">([0]!P_1_12.4.2 [0]!PU)</f>
        <v>#REF!</v>
      </c>
      <c r="D713" s="260" t="e">
        <f ca="1">IF(ISTEXT(([0]!P_1_12.4.2 [0]!MT)),0,([0]!P_1_12.4.2 [0]!MT))</f>
        <v>#REF!</v>
      </c>
    </row>
    <row r="714" spans="1:4">
      <c r="A714" s="258" t="s">
        <v>716</v>
      </c>
      <c r="B714" s="259" t="e">
        <f ca="1">IF(ISTEXT(([0]!P_1_12.4.3 [0]!Qté)),0,([0]!P_1_12.4.3 [0]!Qté))</f>
        <v>#REF!</v>
      </c>
      <c r="C714" s="260" t="e">
        <f ca="1">([0]!P_1_12.4.3 [0]!PU)</f>
        <v>#REF!</v>
      </c>
      <c r="D714" s="260" t="e">
        <f ca="1">IF(ISTEXT(([0]!P_1_12.4.3 [0]!MT)),0,([0]!P_1_12.4.3 [0]!MT))</f>
        <v>#REF!</v>
      </c>
    </row>
    <row r="715" spans="1:4">
      <c r="A715" s="258" t="s">
        <v>717</v>
      </c>
      <c r="B715" s="259" t="e">
        <f ca="1">IF(ISTEXT(([0]!P_1_12.4.4 [0]!Qté)),0,([0]!P_1_12.4.4 [0]!Qté))</f>
        <v>#REF!</v>
      </c>
      <c r="C715" s="260" t="e">
        <f ca="1">([0]!P_1_12.4.4 [0]!PU)</f>
        <v>#REF!</v>
      </c>
      <c r="D715" s="260" t="e">
        <f ca="1">IF(ISTEXT(([0]!P_1_12.4.4 [0]!MT)),0,([0]!P_1_12.4.4 [0]!MT))</f>
        <v>#REF!</v>
      </c>
    </row>
    <row r="716" spans="1:4">
      <c r="A716" s="258" t="s">
        <v>718</v>
      </c>
      <c r="B716" s="259" t="e">
        <f ca="1">IF(ISTEXT(([0]!P_1_12.4.5 [0]!Qté)),0,([0]!P_1_12.4.5 [0]!Qté))</f>
        <v>#REF!</v>
      </c>
      <c r="C716" s="260" t="e">
        <f ca="1">([0]!P_1_12.4.5 [0]!PU)</f>
        <v>#REF!</v>
      </c>
      <c r="D716" s="260" t="e">
        <f ca="1">IF(ISTEXT(([0]!P_1_12.4.5 [0]!MT)),0,([0]!P_1_12.4.5 [0]!MT))</f>
        <v>#REF!</v>
      </c>
    </row>
    <row r="717" spans="1:4">
      <c r="A717" s="258" t="s">
        <v>719</v>
      </c>
      <c r="B717" s="259" t="e">
        <f ca="1">IF(ISTEXT(([0]!P_1_12.4.6 [0]!Qté)),0,([0]!P_1_12.4.6 [0]!Qté))</f>
        <v>#REF!</v>
      </c>
      <c r="C717" s="260" t="e">
        <f ca="1">([0]!P_1_12.4.6 [0]!PU)</f>
        <v>#REF!</v>
      </c>
      <c r="D717" s="260" t="e">
        <f ca="1">IF(ISTEXT(([0]!P_1_12.4.6 [0]!MT)),0,([0]!P_1_12.4.6 [0]!MT))</f>
        <v>#REF!</v>
      </c>
    </row>
    <row r="718" spans="1:4">
      <c r="A718" s="258" t="s">
        <v>720</v>
      </c>
      <c r="B718" s="259" t="e">
        <f ca="1">IF(ISTEXT(([0]!P_1_12.4.7 [0]!Qté)),0,([0]!P_1_12.4.7 [0]!Qté))</f>
        <v>#REF!</v>
      </c>
      <c r="C718" s="260" t="e">
        <f ca="1">([0]!P_1_12.4.7 [0]!PU)</f>
        <v>#REF!</v>
      </c>
      <c r="D718" s="260" t="e">
        <f ca="1">IF(ISTEXT(([0]!P_1_12.4.7 [0]!MT)),0,([0]!P_1_12.4.7 [0]!MT))</f>
        <v>#REF!</v>
      </c>
    </row>
    <row r="719" spans="1:4">
      <c r="A719" s="258" t="s">
        <v>721</v>
      </c>
      <c r="B719" s="259" t="e">
        <f ca="1">IF(ISTEXT(([0]!P_1_12.4.8 [0]!Qté)),0,([0]!P_1_12.4.8 [0]!Qté))</f>
        <v>#REF!</v>
      </c>
      <c r="C719" s="260" t="e">
        <f ca="1">([0]!P_1_12.4.8 [0]!PU)</f>
        <v>#REF!</v>
      </c>
      <c r="D719" s="260" t="e">
        <f ca="1">IF(ISTEXT(([0]!P_1_12.4.8 [0]!MT)),0,([0]!P_1_12.4.8 [0]!MT))</f>
        <v>#REF!</v>
      </c>
    </row>
    <row r="720" spans="1:4">
      <c r="A720" s="258" t="s">
        <v>722</v>
      </c>
      <c r="B720" s="259" t="e">
        <f ca="1">IF(ISTEXT(([0]!P_1_12.5.1 [0]!Qté)),0,([0]!P_1_12.5.1 [0]!Qté))</f>
        <v>#REF!</v>
      </c>
      <c r="C720" s="260" t="e">
        <f ca="1">([0]!P_1_12.5.1 [0]!PU)</f>
        <v>#REF!</v>
      </c>
      <c r="D720" s="260" t="e">
        <f ca="1">IF(ISTEXT(([0]!P_1_12.5.1 [0]!MT)),0,([0]!P_1_12.5.1 [0]!MT))</f>
        <v>#REF!</v>
      </c>
    </row>
    <row r="721" spans="1:4">
      <c r="A721" s="258" t="s">
        <v>723</v>
      </c>
      <c r="B721" s="259" t="e">
        <f ca="1">IF(ISTEXT(([0]!P_1_12.5.2 [0]!Qté)),0,([0]!P_1_12.5.2 [0]!Qté))</f>
        <v>#REF!</v>
      </c>
      <c r="C721" s="260" t="e">
        <f ca="1">([0]!P_1_12.5.2 [0]!PU)</f>
        <v>#REF!</v>
      </c>
      <c r="D721" s="260" t="e">
        <f ca="1">IF(ISTEXT(([0]!P_1_12.5.2 [0]!MT)),0,([0]!P_1_12.5.2 [0]!MT))</f>
        <v>#REF!</v>
      </c>
    </row>
    <row r="722" spans="1:4">
      <c r="A722" s="258" t="s">
        <v>724</v>
      </c>
      <c r="B722" s="259" t="e">
        <f ca="1">IF(ISTEXT(([0]!P_1_12.5.3 [0]!Qté)),0,([0]!P_1_12.5.3 [0]!Qté))</f>
        <v>#REF!</v>
      </c>
      <c r="C722" s="260" t="e">
        <f ca="1">([0]!P_1_12.5.3 [0]!PU)</f>
        <v>#REF!</v>
      </c>
      <c r="D722" s="260" t="e">
        <f ca="1">IF(ISTEXT(([0]!P_1_12.5.3 [0]!MT)),0,([0]!P_1_12.5.3 [0]!MT))</f>
        <v>#REF!</v>
      </c>
    </row>
    <row r="723" spans="1:4">
      <c r="A723" s="258" t="s">
        <v>725</v>
      </c>
      <c r="B723" s="259" t="e">
        <f ca="1">IF(ISTEXT(([0]!P_1_12.5.4 [0]!Qté)),0,([0]!P_1_12.5.4 [0]!Qté))</f>
        <v>#REF!</v>
      </c>
      <c r="C723" s="260" t="e">
        <f ca="1">([0]!P_1_12.5.4 [0]!PU)</f>
        <v>#REF!</v>
      </c>
      <c r="D723" s="260" t="e">
        <f ca="1">IF(ISTEXT(([0]!P_1_12.5.4 [0]!MT)),0,([0]!P_1_12.5.4 [0]!MT))</f>
        <v>#REF!</v>
      </c>
    </row>
    <row r="724" spans="1:4">
      <c r="A724" s="258" t="s">
        <v>726</v>
      </c>
      <c r="B724" s="259" t="e">
        <f ca="1">IF(ISTEXT(([0]!P_1_12.5.5 [0]!Qté)),0,([0]!P_1_12.5.5 [0]!Qté))</f>
        <v>#REF!</v>
      </c>
      <c r="C724" s="260" t="e">
        <f ca="1">([0]!P_1_12.5.5 [0]!PU)</f>
        <v>#REF!</v>
      </c>
      <c r="D724" s="260" t="e">
        <f ca="1">IF(ISTEXT(([0]!P_1_12.5.5 [0]!MT)),0,([0]!P_1_12.5.5 [0]!MT))</f>
        <v>#REF!</v>
      </c>
    </row>
    <row r="725" spans="1:4">
      <c r="A725" s="258" t="s">
        <v>727</v>
      </c>
      <c r="B725" s="259" t="e">
        <f ca="1">IF(ISTEXT(([0]!P_1_12.5.6 [0]!Qté)),0,([0]!P_1_12.5.6 [0]!Qté))</f>
        <v>#REF!</v>
      </c>
      <c r="C725" s="260" t="e">
        <f ca="1">([0]!P_1_12.5.6 [0]!PU)</f>
        <v>#REF!</v>
      </c>
      <c r="D725" s="260" t="e">
        <f ca="1">IF(ISTEXT(([0]!P_1_12.5.6 [0]!MT)),0,([0]!P_1_12.5.6 [0]!MT))</f>
        <v>#REF!</v>
      </c>
    </row>
    <row r="726" spans="1:4">
      <c r="A726" s="258" t="s">
        <v>728</v>
      </c>
      <c r="B726" s="259" t="e">
        <f ca="1">IF(ISTEXT(([0]!P_1_12.6.1 [0]!Qté)),0,([0]!P_1_12.6.1 [0]!Qté))</f>
        <v>#REF!</v>
      </c>
      <c r="C726" s="260" t="e">
        <f ca="1">([0]!P_1_12.6.1 [0]!PU)</f>
        <v>#REF!</v>
      </c>
      <c r="D726" s="260" t="e">
        <f ca="1">IF(ISTEXT(([0]!P_1_12.6.1 [0]!MT)),0,([0]!P_1_12.6.1 [0]!MT))</f>
        <v>#REF!</v>
      </c>
    </row>
    <row r="727" spans="1:4">
      <c r="A727" s="258" t="s">
        <v>729</v>
      </c>
      <c r="B727" s="259" t="e">
        <f ca="1">IF(ISTEXT(([0]!P_1_12.6.2 [0]!Qté)),0,([0]!P_1_12.6.2 [0]!Qté))</f>
        <v>#REF!</v>
      </c>
      <c r="C727" s="260" t="e">
        <f ca="1">([0]!P_1_12.6.2 [0]!PU)</f>
        <v>#REF!</v>
      </c>
      <c r="D727" s="260" t="e">
        <f ca="1">IF(ISTEXT(([0]!P_1_12.6.2 [0]!MT)),0,([0]!P_1_12.6.2 [0]!MT))</f>
        <v>#REF!</v>
      </c>
    </row>
    <row r="728" spans="1:4">
      <c r="A728" s="258" t="s">
        <v>730</v>
      </c>
      <c r="B728" s="259" t="e">
        <f ca="1">IF(ISTEXT(([0]!P_1_12.6.3.1 [0]!Qté)),0,([0]!P_1_12.6.3.1 [0]!Qté))</f>
        <v>#REF!</v>
      </c>
      <c r="C728" s="260" t="e">
        <f ca="1">([0]!P_1_12.6.3.1 [0]!PU)</f>
        <v>#REF!</v>
      </c>
      <c r="D728" s="260" t="e">
        <f ca="1">IF(ISTEXT(([0]!P_1_12.6.3.1 [0]!MT)),0,([0]!P_1_12.6.3.1 [0]!MT))</f>
        <v>#REF!</v>
      </c>
    </row>
    <row r="729" spans="1:4">
      <c r="A729" s="258" t="s">
        <v>731</v>
      </c>
      <c r="B729" s="259" t="e">
        <f ca="1">IF(ISTEXT(([0]!P_1_12.6.3.2 [0]!Qté)),0,([0]!P_1_12.6.3.2 [0]!Qté))</f>
        <v>#REF!</v>
      </c>
      <c r="C729" s="260" t="e">
        <f ca="1">([0]!P_1_12.6.3.2 [0]!PU)</f>
        <v>#REF!</v>
      </c>
      <c r="D729" s="260" t="e">
        <f ca="1">IF(ISTEXT(([0]!P_1_12.6.3.2 [0]!MT)),0,([0]!P_1_12.6.3.2 [0]!MT))</f>
        <v>#REF!</v>
      </c>
    </row>
    <row r="730" spans="1:4">
      <c r="A730" s="258" t="s">
        <v>732</v>
      </c>
      <c r="B730" s="259" t="e">
        <f ca="1">IF(ISTEXT(([0]!P_1_12.6.3.3 [0]!Qté)),0,([0]!P_1_12.6.3.3 [0]!Qté))</f>
        <v>#REF!</v>
      </c>
      <c r="C730" s="260" t="e">
        <f ca="1">([0]!P_1_12.6.3.3 [0]!PU)</f>
        <v>#REF!</v>
      </c>
      <c r="D730" s="260" t="e">
        <f ca="1">IF(ISTEXT(([0]!P_1_12.6.3.3 [0]!MT)),0,([0]!P_1_12.6.3.3 [0]!MT))</f>
        <v>#REF!</v>
      </c>
    </row>
    <row r="731" spans="1:4">
      <c r="A731" s="258" t="s">
        <v>733</v>
      </c>
      <c r="B731" s="259" t="e">
        <f ca="1">IF(ISTEXT(([0]!P_1_12.6.3.4 [0]!Qté)),0,([0]!P_1_12.6.3.4 [0]!Qté))</f>
        <v>#REF!</v>
      </c>
      <c r="C731" s="260" t="e">
        <f ca="1">([0]!P_1_12.6.3.4 [0]!PU)</f>
        <v>#REF!</v>
      </c>
      <c r="D731" s="260" t="e">
        <f ca="1">IF(ISTEXT(([0]!P_1_12.6.3.4 [0]!MT)),0,([0]!P_1_12.6.3.4 [0]!MT))</f>
        <v>#REF!</v>
      </c>
    </row>
    <row r="732" spans="1:4">
      <c r="A732" s="258" t="s">
        <v>734</v>
      </c>
      <c r="B732" s="259" t="e">
        <f ca="1">IF(ISTEXT(([0]!P_1_12.6.3.5 [0]!Qté)),0,([0]!P_1_12.6.3.5 [0]!Qté))</f>
        <v>#REF!</v>
      </c>
      <c r="C732" s="260" t="e">
        <f ca="1">([0]!P_1_12.6.3.5 [0]!PU)</f>
        <v>#REF!</v>
      </c>
      <c r="D732" s="260" t="e">
        <f ca="1">IF(ISTEXT(([0]!P_1_12.6.3.5 [0]!MT)),0,([0]!P_1_12.6.3.5 [0]!MT))</f>
        <v>#REF!</v>
      </c>
    </row>
    <row r="733" spans="1:4">
      <c r="A733" s="258" t="s">
        <v>735</v>
      </c>
      <c r="B733" s="259" t="e">
        <f ca="1">IF(ISTEXT(([0]!P_1_12.6.3.6 [0]!Qté)),0,([0]!P_1_12.6.3.6 [0]!Qté))</f>
        <v>#REF!</v>
      </c>
      <c r="C733" s="260" t="e">
        <f ca="1">([0]!P_1_12.6.3.6 [0]!PU)</f>
        <v>#REF!</v>
      </c>
      <c r="D733" s="260" t="e">
        <f ca="1">IF(ISTEXT(([0]!P_1_12.6.3.6 [0]!MT)),0,([0]!P_1_12.6.3.6 [0]!MT))</f>
        <v>#REF!</v>
      </c>
    </row>
    <row r="734" spans="1:4">
      <c r="A734" s="258" t="s">
        <v>736</v>
      </c>
      <c r="B734" s="259" t="e">
        <f ca="1">IF(ISTEXT(([0]!P_1_12.6.3.7 [0]!Qté)),0,([0]!P_1_12.6.3.7 [0]!Qté))</f>
        <v>#REF!</v>
      </c>
      <c r="C734" s="260" t="e">
        <f ca="1">([0]!P_1_12.6.3.7 [0]!PU)</f>
        <v>#REF!</v>
      </c>
      <c r="D734" s="260" t="e">
        <f ca="1">IF(ISTEXT(([0]!P_1_12.6.3.7 [0]!MT)),0,([0]!P_1_12.6.3.7 [0]!MT))</f>
        <v>#REF!</v>
      </c>
    </row>
    <row r="735" spans="1:4">
      <c r="A735" s="258" t="s">
        <v>737</v>
      </c>
      <c r="B735" s="259" t="e">
        <f ca="1">IF(ISTEXT(([0]!P_1_12.7.1 [0]!Qté)),0,([0]!P_1_12.7.1 [0]!Qté))</f>
        <v>#REF!</v>
      </c>
      <c r="C735" s="260" t="e">
        <f ca="1">([0]!P_1_12.7.1 [0]!PU)</f>
        <v>#REF!</v>
      </c>
      <c r="D735" s="260" t="e">
        <f ca="1">IF(ISTEXT(([0]!P_1_12.7.1 [0]!MT)),0,([0]!P_1_12.7.1 [0]!MT))</f>
        <v>#REF!</v>
      </c>
    </row>
    <row r="736" spans="1:4">
      <c r="A736" s="258" t="s">
        <v>738</v>
      </c>
      <c r="B736" s="259" t="e">
        <f ca="1">IF(ISTEXT(([0]!P_1_12.7.2 [0]!Qté)),0,([0]!P_1_12.7.2 [0]!Qté))</f>
        <v>#REF!</v>
      </c>
      <c r="C736" s="260" t="e">
        <f ca="1">([0]!P_1_12.7.2 [0]!PU)</f>
        <v>#REF!</v>
      </c>
      <c r="D736" s="260" t="e">
        <f ca="1">IF(ISTEXT(([0]!P_1_12.7.2 [0]!MT)),0,([0]!P_1_12.7.2 [0]!MT))</f>
        <v>#REF!</v>
      </c>
    </row>
    <row r="737" spans="1:4">
      <c r="A737" s="258" t="s">
        <v>739</v>
      </c>
      <c r="B737" s="259" t="e">
        <f ca="1">IF(ISTEXT(([0]!P_1_12.7.3 [0]!Qté)),0,([0]!P_1_12.7.3 [0]!Qté))</f>
        <v>#REF!</v>
      </c>
      <c r="C737" s="260" t="e">
        <f ca="1">([0]!P_1_12.7.3 [0]!PU)</f>
        <v>#REF!</v>
      </c>
      <c r="D737" s="260" t="e">
        <f ca="1">IF(ISTEXT(([0]!P_1_12.7.3 [0]!MT)),0,([0]!P_1_12.7.3 [0]!MT))</f>
        <v>#REF!</v>
      </c>
    </row>
    <row r="738" spans="1:4">
      <c r="A738" s="258" t="s">
        <v>740</v>
      </c>
      <c r="B738" s="259" t="e">
        <f ca="1">IF(ISTEXT(([0]!P_1_12.7.4 [0]!Qté)),0,([0]!P_1_12.7.4 [0]!Qté))</f>
        <v>#REF!</v>
      </c>
      <c r="C738" s="260" t="e">
        <f ca="1">([0]!P_1_12.7.4 [0]!PU)</f>
        <v>#REF!</v>
      </c>
      <c r="D738" s="260" t="e">
        <f ca="1">IF(ISTEXT(([0]!P_1_12.7.4 [0]!MT)),0,([0]!P_1_12.7.4 [0]!MT))</f>
        <v>#REF!</v>
      </c>
    </row>
    <row r="739" spans="1:4">
      <c r="A739" s="258" t="s">
        <v>741</v>
      </c>
      <c r="B739" s="259" t="e">
        <f ca="1">IF(ISTEXT(([0]!P_1_12.7.5 [0]!Qté)),0,([0]!P_1_12.7.5 [0]!Qté))</f>
        <v>#REF!</v>
      </c>
      <c r="C739" s="260" t="e">
        <f ca="1">([0]!P_1_12.7.5 [0]!PU)</f>
        <v>#REF!</v>
      </c>
      <c r="D739" s="260" t="e">
        <f ca="1">IF(ISTEXT(([0]!P_1_12.7.5 [0]!MT)),0,([0]!P_1_12.7.5 [0]!MT))</f>
        <v>#REF!</v>
      </c>
    </row>
    <row r="740" spans="1:4">
      <c r="A740" s="258" t="s">
        <v>742</v>
      </c>
      <c r="B740" s="259" t="e">
        <f ca="1">IF(ISTEXT(([0]!P_1_12.7.6 [0]!Qté)),0,([0]!P_1_12.7.6 [0]!Qté))</f>
        <v>#REF!</v>
      </c>
      <c r="C740" s="260" t="e">
        <f ca="1">([0]!P_1_12.7.6 [0]!PU)</f>
        <v>#REF!</v>
      </c>
      <c r="D740" s="260" t="e">
        <f ca="1">IF(ISTEXT(([0]!P_1_12.7.6 [0]!MT)),0,([0]!P_1_12.7.6 [0]!MT))</f>
        <v>#REF!</v>
      </c>
    </row>
    <row r="741" spans="1:4">
      <c r="A741" s="258" t="s">
        <v>743</v>
      </c>
      <c r="B741" s="259" t="e">
        <f ca="1">IF(ISTEXT(([0]!P_1_12.7.7 [0]!Qté)),0,([0]!P_1_12.7.7 [0]!Qté))</f>
        <v>#REF!</v>
      </c>
      <c r="C741" s="260" t="e">
        <f ca="1">([0]!P_1_12.7.7 [0]!PU)</f>
        <v>#REF!</v>
      </c>
      <c r="D741" s="260" t="e">
        <f ca="1">IF(ISTEXT(([0]!P_1_12.7.7 [0]!MT)),0,([0]!P_1_12.7.7 [0]!MT))</f>
        <v>#REF!</v>
      </c>
    </row>
    <row r="742" spans="1:4">
      <c r="A742" s="258" t="s">
        <v>744</v>
      </c>
      <c r="B742" s="259" t="e">
        <f ca="1">IF(ISTEXT(([0]!P_1_12.7.8 [0]!Qté)),0,([0]!P_1_12.7.8 [0]!Qté))</f>
        <v>#REF!</v>
      </c>
      <c r="C742" s="260" t="e">
        <f ca="1">([0]!P_1_12.7.8 [0]!PU)</f>
        <v>#REF!</v>
      </c>
      <c r="D742" s="260" t="e">
        <f ca="1">IF(ISTEXT(([0]!P_1_12.7.8 [0]!MT)),0,([0]!P_1_12.7.8 [0]!MT))</f>
        <v>#REF!</v>
      </c>
    </row>
    <row r="743" spans="1:4">
      <c r="A743" s="258" t="s">
        <v>745</v>
      </c>
      <c r="B743" s="259" t="e">
        <f ca="1">IF(ISTEXT(([0]!P_1_12.7.9 [0]!Qté)),0,([0]!P_1_12.7.9 [0]!Qté))</f>
        <v>#REF!</v>
      </c>
      <c r="C743" s="260" t="e">
        <f ca="1">([0]!P_1_12.7.9 [0]!PU)</f>
        <v>#REF!</v>
      </c>
      <c r="D743" s="260" t="e">
        <f ca="1">IF(ISTEXT(([0]!P_1_12.7.9 [0]!MT)),0,([0]!P_1_12.7.9 [0]!MT))</f>
        <v>#REF!</v>
      </c>
    </row>
    <row r="744" spans="1:4">
      <c r="A744" s="258" t="s">
        <v>746</v>
      </c>
      <c r="B744" s="259" t="e">
        <f ca="1">IF(ISTEXT(([0]!P_1_12.7.10 [0]!Qté)),0,([0]!P_1_12.7.10 [0]!Qté))</f>
        <v>#REF!</v>
      </c>
      <c r="C744" s="260" t="e">
        <f ca="1">([0]!P_1_12.7.10 [0]!PU)</f>
        <v>#REF!</v>
      </c>
      <c r="D744" s="260" t="e">
        <f ca="1">IF(ISTEXT(([0]!P_1_12.7.10 [0]!MT)),0,([0]!P_1_12.7.10 [0]!MT))</f>
        <v>#REF!</v>
      </c>
    </row>
    <row r="745" spans="1:4">
      <c r="A745" s="258" t="s">
        <v>747</v>
      </c>
      <c r="B745" s="259" t="e">
        <f ca="1">IF(ISTEXT(([0]!P_1_12.8.1 [0]!Qté)),0,([0]!P_1_12.8.1 [0]!Qté))</f>
        <v>#REF!</v>
      </c>
      <c r="C745" s="260" t="e">
        <f ca="1">([0]!P_1_12.8.1 [0]!PU)</f>
        <v>#REF!</v>
      </c>
      <c r="D745" s="260" t="e">
        <f ca="1">IF(ISTEXT(([0]!P_1_12.8.1 [0]!MT)),0,([0]!P_1_12.8.1 [0]!MT))</f>
        <v>#REF!</v>
      </c>
    </row>
    <row r="746" spans="1:4">
      <c r="A746" s="258" t="s">
        <v>748</v>
      </c>
      <c r="B746" s="259" t="e">
        <f ca="1">IF(ISTEXT(([0]!P_1_12.8.2 [0]!Qté)),0,([0]!P_1_12.8.2 [0]!Qté))</f>
        <v>#REF!</v>
      </c>
      <c r="C746" s="260" t="e">
        <f ca="1">([0]!P_1_12.8.2 [0]!PU)</f>
        <v>#REF!</v>
      </c>
      <c r="D746" s="260" t="e">
        <f ca="1">IF(ISTEXT(([0]!P_1_12.8.2 [0]!MT)),0,([0]!P_1_12.8.2 [0]!MT))</f>
        <v>#REF!</v>
      </c>
    </row>
    <row r="747" spans="1:4">
      <c r="A747" s="258" t="s">
        <v>749</v>
      </c>
      <c r="B747" s="259" t="e">
        <f ca="1">IF(ISTEXT(([0]!P_1_12.8.3 [0]!Qté)),0,([0]!P_1_12.8.3 [0]!Qté))</f>
        <v>#REF!</v>
      </c>
      <c r="C747" s="260" t="e">
        <f ca="1">([0]!P_1_12.8.3 [0]!PU)</f>
        <v>#REF!</v>
      </c>
      <c r="D747" s="260" t="e">
        <f ca="1">IF(ISTEXT(([0]!P_1_12.8.3 [0]!MT)),0,([0]!P_1_12.8.3 [0]!MT))</f>
        <v>#REF!</v>
      </c>
    </row>
    <row r="748" spans="1:4">
      <c r="A748" s="258" t="s">
        <v>750</v>
      </c>
      <c r="B748" s="259" t="e">
        <f ca="1">IF(ISTEXT(([0]!P_1_12.8.4 [0]!Qté)),0,([0]!P_1_12.8.4 [0]!Qté))</f>
        <v>#REF!</v>
      </c>
      <c r="C748" s="260" t="e">
        <f ca="1">([0]!P_1_12.8.4 [0]!PU)</f>
        <v>#REF!</v>
      </c>
      <c r="D748" s="260" t="e">
        <f ca="1">IF(ISTEXT(([0]!P_1_12.8.4 [0]!MT)),0,([0]!P_1_12.8.4 [0]!MT))</f>
        <v>#REF!</v>
      </c>
    </row>
    <row r="749" spans="1:4">
      <c r="A749" s="258" t="s">
        <v>751</v>
      </c>
      <c r="B749" s="259" t="e">
        <f ca="1">IF(ISTEXT(([0]!P_1_12.9.1.1 [0]!Qté)),0,([0]!P_1_12.9.1.1 [0]!Qté))</f>
        <v>#REF!</v>
      </c>
      <c r="C749" s="260" t="e">
        <f ca="1">([0]!P_1_12.9.1.1 [0]!PU)</f>
        <v>#REF!</v>
      </c>
      <c r="D749" s="260" t="e">
        <f ca="1">IF(ISTEXT(([0]!P_1_12.9.1.1 [0]!MT)),0,([0]!P_1_12.9.1.1 [0]!MT))</f>
        <v>#REF!</v>
      </c>
    </row>
    <row r="750" spans="1:4">
      <c r="A750" s="258" t="s">
        <v>752</v>
      </c>
      <c r="B750" s="259" t="e">
        <f ca="1">IF(ISTEXT(([0]!P_1_12.9.1.2 [0]!Qté)),0,([0]!P_1_12.9.1.2 [0]!Qté))</f>
        <v>#REF!</v>
      </c>
      <c r="C750" s="260" t="e">
        <f ca="1">([0]!P_1_12.9.1.2 [0]!PU)</f>
        <v>#REF!</v>
      </c>
      <c r="D750" s="260" t="e">
        <f ca="1">IF(ISTEXT(([0]!P_1_12.9.1.2 [0]!MT)),0,([0]!P_1_12.9.1.2 [0]!MT))</f>
        <v>#REF!</v>
      </c>
    </row>
    <row r="751" spans="1:4">
      <c r="A751" s="258" t="s">
        <v>753</v>
      </c>
      <c r="B751" s="259" t="e">
        <f ca="1">IF(ISTEXT(([0]!P_1_12.9.1.3 [0]!Qté)),0,([0]!P_1_12.9.1.3 [0]!Qté))</f>
        <v>#REF!</v>
      </c>
      <c r="C751" s="260" t="e">
        <f ca="1">([0]!P_1_12.9.1.3 [0]!PU)</f>
        <v>#REF!</v>
      </c>
      <c r="D751" s="260" t="e">
        <f ca="1">IF(ISTEXT(([0]!P_1_12.9.1.3 [0]!MT)),0,([0]!P_1_12.9.1.3 [0]!MT))</f>
        <v>#REF!</v>
      </c>
    </row>
    <row r="752" spans="1:4">
      <c r="A752" s="258" t="s">
        <v>754</v>
      </c>
      <c r="B752" s="259" t="e">
        <f ca="1">IF(ISTEXT(([0]!P_1_12.9.1.4 [0]!Qté)),0,([0]!P_1_12.9.1.4 [0]!Qté))</f>
        <v>#REF!</v>
      </c>
      <c r="C752" s="260" t="e">
        <f ca="1">([0]!P_1_12.9.1.4 [0]!PU)</f>
        <v>#REF!</v>
      </c>
      <c r="D752" s="260" t="e">
        <f ca="1">IF(ISTEXT(([0]!P_1_12.9.1.4 [0]!MT)),0,([0]!P_1_12.9.1.4 [0]!MT))</f>
        <v>#REF!</v>
      </c>
    </row>
    <row r="753" spans="1:4">
      <c r="A753" s="258" t="s">
        <v>755</v>
      </c>
      <c r="B753" s="259" t="e">
        <f ca="1">IF(ISTEXT(([0]!P_1_12.9.1.5 [0]!Qté)),0,([0]!P_1_12.9.1.5 [0]!Qté))</f>
        <v>#REF!</v>
      </c>
      <c r="C753" s="260" t="e">
        <f ca="1">([0]!P_1_12.9.1.5 [0]!PU)</f>
        <v>#REF!</v>
      </c>
      <c r="D753" s="260" t="e">
        <f ca="1">IF(ISTEXT(([0]!P_1_12.9.1.5 [0]!MT)),0,([0]!P_1_12.9.1.5 [0]!MT))</f>
        <v>#REF!</v>
      </c>
    </row>
    <row r="754" spans="1:4">
      <c r="A754" s="258" t="s">
        <v>756</v>
      </c>
      <c r="B754" s="259" t="e">
        <f ca="1">IF(ISTEXT(([0]!P_1_12.9.2.1 [0]!Qté)),0,([0]!P_1_12.9.2.1 [0]!Qté))</f>
        <v>#REF!</v>
      </c>
      <c r="C754" s="260" t="e">
        <f ca="1">([0]!P_1_12.9.2.1 [0]!PU)</f>
        <v>#REF!</v>
      </c>
      <c r="D754" s="260" t="e">
        <f ca="1">IF(ISTEXT(([0]!P_1_12.9.2.1 [0]!MT)),0,([0]!P_1_12.9.2.1 [0]!MT))</f>
        <v>#REF!</v>
      </c>
    </row>
    <row r="755" spans="1:4">
      <c r="A755" s="258" t="s">
        <v>757</v>
      </c>
      <c r="B755" s="259" t="e">
        <f ca="1">IF(ISTEXT(([0]!P_1_12.9.2.2 [0]!Qté)),0,([0]!P_1_12.9.2.2 [0]!Qté))</f>
        <v>#REF!</v>
      </c>
      <c r="C755" s="260" t="e">
        <f ca="1">([0]!P_1_12.9.2.2 [0]!PU)</f>
        <v>#REF!</v>
      </c>
      <c r="D755" s="260" t="e">
        <f ca="1">IF(ISTEXT(([0]!P_1_12.9.2.2 [0]!MT)),0,([0]!P_1_12.9.2.2 [0]!MT))</f>
        <v>#REF!</v>
      </c>
    </row>
    <row r="756" spans="1:4">
      <c r="A756" s="258" t="s">
        <v>758</v>
      </c>
      <c r="B756" s="259" t="e">
        <f ca="1">IF(ISTEXT(([0]!P_1_12.9.2.3 [0]!Qté)),0,([0]!P_1_12.9.2.3 [0]!Qté))</f>
        <v>#REF!</v>
      </c>
      <c r="C756" s="260" t="e">
        <f ca="1">([0]!P_1_12.9.2.3 [0]!PU)</f>
        <v>#REF!</v>
      </c>
      <c r="D756" s="260" t="e">
        <f ca="1">IF(ISTEXT(([0]!P_1_12.9.2.3 [0]!MT)),0,([0]!P_1_12.9.2.3 [0]!MT))</f>
        <v>#REF!</v>
      </c>
    </row>
    <row r="757" spans="1:4">
      <c r="A757" s="258" t="s">
        <v>759</v>
      </c>
      <c r="B757" s="259" t="e">
        <f ca="1">IF(ISTEXT(([0]!P_1_12.9.2.4 [0]!Qté)),0,([0]!P_1_12.9.2.4 [0]!Qté))</f>
        <v>#REF!</v>
      </c>
      <c r="C757" s="260" t="e">
        <f ca="1">([0]!P_1_12.9.2.4 [0]!PU)</f>
        <v>#REF!</v>
      </c>
      <c r="D757" s="260" t="e">
        <f ca="1">IF(ISTEXT(([0]!P_1_12.9.2.4 [0]!MT)),0,([0]!P_1_12.9.2.4 [0]!MT))</f>
        <v>#REF!</v>
      </c>
    </row>
    <row r="758" spans="1:4">
      <c r="A758" s="258" t="s">
        <v>760</v>
      </c>
      <c r="B758" s="259" t="e">
        <f ca="1">IF(ISTEXT(([0]!P_1_12.9.2.5 [0]!Qté)),0,([0]!P_1_12.9.2.5 [0]!Qté))</f>
        <v>#REF!</v>
      </c>
      <c r="C758" s="260" t="e">
        <f ca="1">([0]!P_1_12.9.2.5 [0]!PU)</f>
        <v>#REF!</v>
      </c>
      <c r="D758" s="260" t="e">
        <f ca="1">IF(ISTEXT(([0]!P_1_12.9.2.5 [0]!MT)),0,([0]!P_1_12.9.2.5 [0]!MT))</f>
        <v>#REF!</v>
      </c>
    </row>
    <row r="759" spans="1:4">
      <c r="A759" s="258" t="s">
        <v>761</v>
      </c>
      <c r="B759" s="259" t="e">
        <f ca="1">IF(ISTEXT(([0]!P_1_12.9.2.6 [0]!Qté)),0,([0]!P_1_12.9.2.6 [0]!Qté))</f>
        <v>#REF!</v>
      </c>
      <c r="C759" s="260" t="e">
        <f ca="1">([0]!P_1_12.9.2.6 [0]!PU)</f>
        <v>#REF!</v>
      </c>
      <c r="D759" s="260" t="e">
        <f ca="1">IF(ISTEXT(([0]!P_1_12.9.2.6 [0]!MT)),0,([0]!P_1_12.9.2.6 [0]!MT))</f>
        <v>#REF!</v>
      </c>
    </row>
    <row r="760" spans="1:4">
      <c r="A760" s="258" t="s">
        <v>762</v>
      </c>
      <c r="B760" s="259" t="e">
        <f ca="1">IF(ISTEXT(([0]!P_1_12.9.2.7 [0]!Qté)),0,([0]!P_1_12.9.2.7 [0]!Qté))</f>
        <v>#REF!</v>
      </c>
      <c r="C760" s="260" t="e">
        <f ca="1">([0]!P_1_12.9.2.7 [0]!PU)</f>
        <v>#REF!</v>
      </c>
      <c r="D760" s="260" t="e">
        <f ca="1">IF(ISTEXT(([0]!P_1_12.9.2.7 [0]!MT)),0,([0]!P_1_12.9.2.7 [0]!MT))</f>
        <v>#REF!</v>
      </c>
    </row>
    <row r="761" spans="1:4">
      <c r="A761" s="258" t="s">
        <v>763</v>
      </c>
      <c r="B761" s="259" t="e">
        <f ca="1">IF(ISTEXT(([0]!P_1_12.9.2.8 [0]!Qté)),0,([0]!P_1_12.9.2.8 [0]!Qté))</f>
        <v>#REF!</v>
      </c>
      <c r="C761" s="260" t="e">
        <f ca="1">([0]!P_1_12.9.2.8 [0]!PU)</f>
        <v>#REF!</v>
      </c>
      <c r="D761" s="260" t="e">
        <f ca="1">IF(ISTEXT(([0]!P_1_12.9.2.8 [0]!MT)),0,([0]!P_1_12.9.2.8 [0]!MT))</f>
        <v>#REF!</v>
      </c>
    </row>
    <row r="762" spans="1:4">
      <c r="A762" s="258" t="s">
        <v>764</v>
      </c>
      <c r="B762" s="259" t="e">
        <f ca="1">IF(ISTEXT(([0]!P_1_12.9.3.1 [0]!Qté)),0,([0]!P_1_12.9.3.1 [0]!Qté))</f>
        <v>#REF!</v>
      </c>
      <c r="C762" s="260" t="e">
        <f ca="1">([0]!P_1_12.9.3.1 [0]!PU)</f>
        <v>#REF!</v>
      </c>
      <c r="D762" s="260" t="e">
        <f ca="1">IF(ISTEXT(([0]!P_1_12.9.3.1 [0]!MT)),0,([0]!P_1_12.9.3.1 [0]!MT))</f>
        <v>#REF!</v>
      </c>
    </row>
    <row r="763" spans="1:4">
      <c r="A763" s="258" t="s">
        <v>765</v>
      </c>
      <c r="B763" s="259" t="e">
        <f ca="1">IF(ISTEXT(([0]!P_1_12.9.3.2 [0]!Qté)),0,([0]!P_1_12.9.3.2 [0]!Qté))</f>
        <v>#REF!</v>
      </c>
      <c r="C763" s="260" t="e">
        <f ca="1">([0]!P_1_12.9.3.2 [0]!PU)</f>
        <v>#REF!</v>
      </c>
      <c r="D763" s="260" t="e">
        <f ca="1">IF(ISTEXT(([0]!P_1_12.9.3.2 [0]!MT)),0,([0]!P_1_12.9.3.2 [0]!MT))</f>
        <v>#REF!</v>
      </c>
    </row>
    <row r="764" spans="1:4">
      <c r="A764" s="258" t="s">
        <v>766</v>
      </c>
      <c r="B764" s="259" t="e">
        <f ca="1">IF(ISTEXT(([0]!P_1_12.9.3.3 [0]!Qté)),0,([0]!P_1_12.9.3.3 [0]!Qté))</f>
        <v>#REF!</v>
      </c>
      <c r="C764" s="260" t="e">
        <f ca="1">([0]!P_1_12.9.3.3 [0]!PU)</f>
        <v>#REF!</v>
      </c>
      <c r="D764" s="260" t="e">
        <f ca="1">IF(ISTEXT(([0]!P_1_12.9.3.3 [0]!MT)),0,([0]!P_1_12.9.3.3 [0]!MT))</f>
        <v>#REF!</v>
      </c>
    </row>
    <row r="765" spans="1:4">
      <c r="A765" s="258" t="s">
        <v>767</v>
      </c>
      <c r="B765" s="259" t="e">
        <f ca="1">IF(ISTEXT(([0]!P_1_12.9.4.1 [0]!Qté)),0,([0]!P_1_12.9.4.1 [0]!Qté))</f>
        <v>#REF!</v>
      </c>
      <c r="C765" s="260" t="e">
        <f ca="1">([0]!P_1_12.9.4.1 [0]!PU)</f>
        <v>#REF!</v>
      </c>
      <c r="D765" s="260" t="e">
        <f ca="1">IF(ISTEXT(([0]!P_1_12.9.4.1 [0]!MT)),0,([0]!P_1_12.9.4.1 [0]!MT))</f>
        <v>#REF!</v>
      </c>
    </row>
    <row r="766" spans="1:4">
      <c r="A766" s="258" t="s">
        <v>768</v>
      </c>
      <c r="B766" s="259" t="e">
        <f ca="1">IF(ISTEXT(([0]!P_1_12.9.4.2 [0]!Qté)),0,([0]!P_1_12.9.4.2 [0]!Qté))</f>
        <v>#REF!</v>
      </c>
      <c r="C766" s="260" t="e">
        <f ca="1">([0]!P_1_12.9.4.2 [0]!PU)</f>
        <v>#REF!</v>
      </c>
      <c r="D766" s="260" t="e">
        <f ca="1">IF(ISTEXT(([0]!P_1_12.9.4.2 [0]!MT)),0,([0]!P_1_12.9.4.2 [0]!MT))</f>
        <v>#REF!</v>
      </c>
    </row>
    <row r="767" spans="1:4">
      <c r="A767" s="258" t="s">
        <v>769</v>
      </c>
      <c r="B767" s="259" t="e">
        <f ca="1">IF(ISTEXT(([0]!P_1_12.9.4.3 [0]!Qté)),0,([0]!P_1_12.9.4.3 [0]!Qté))</f>
        <v>#REF!</v>
      </c>
      <c r="C767" s="260" t="e">
        <f ca="1">([0]!P_1_12.9.4.3 [0]!PU)</f>
        <v>#REF!</v>
      </c>
      <c r="D767" s="260" t="e">
        <f ca="1">IF(ISTEXT(([0]!P_1_12.9.4.3 [0]!MT)),0,([0]!P_1_12.9.4.3 [0]!MT))</f>
        <v>#REF!</v>
      </c>
    </row>
    <row r="768" spans="1:4">
      <c r="A768" s="258" t="s">
        <v>770</v>
      </c>
      <c r="B768" s="259" t="e">
        <f ca="1">IF(ISTEXT(([0]!P_1_12.9.4.4 [0]!Qté)),0,([0]!P_1_12.9.4.4 [0]!Qté))</f>
        <v>#REF!</v>
      </c>
      <c r="C768" s="260" t="e">
        <f ca="1">([0]!P_1_12.9.4.4 [0]!PU)</f>
        <v>#REF!</v>
      </c>
      <c r="D768" s="260" t="e">
        <f ca="1">IF(ISTEXT(([0]!P_1_12.9.4.4 [0]!MT)),0,([0]!P_1_12.9.4.4 [0]!MT))</f>
        <v>#REF!</v>
      </c>
    </row>
    <row r="769" spans="1:4">
      <c r="A769" s="258" t="s">
        <v>771</v>
      </c>
      <c r="B769" s="259" t="e">
        <f ca="1">IF(ISTEXT(([0]!P_1_12.9.4.5 [0]!Qté)),0,([0]!P_1_12.9.4.5 [0]!Qté))</f>
        <v>#REF!</v>
      </c>
      <c r="C769" s="260" t="e">
        <f ca="1">([0]!P_1_12.9.4.5 [0]!PU)</f>
        <v>#REF!</v>
      </c>
      <c r="D769" s="260" t="e">
        <f ca="1">IF(ISTEXT(([0]!P_1_12.9.4.5 [0]!MT)),0,([0]!P_1_12.9.4.5 [0]!MT))</f>
        <v>#REF!</v>
      </c>
    </row>
    <row r="770" spans="1:4">
      <c r="A770" s="258" t="s">
        <v>772</v>
      </c>
      <c r="B770" s="259" t="e">
        <f ca="1">IF(ISTEXT(([0]!P_1_12.9.4.6 [0]!Qté)),0,([0]!P_1_12.9.4.6 [0]!Qté))</f>
        <v>#REF!</v>
      </c>
      <c r="C770" s="260" t="e">
        <f ca="1">([0]!P_1_12.9.4.6 [0]!PU)</f>
        <v>#REF!</v>
      </c>
      <c r="D770" s="260" t="e">
        <f ca="1">IF(ISTEXT(([0]!P_1_12.9.4.6 [0]!MT)),0,([0]!P_1_12.9.4.6 [0]!MT))</f>
        <v>#REF!</v>
      </c>
    </row>
    <row r="771" spans="1:4">
      <c r="A771" s="258" t="s">
        <v>773</v>
      </c>
      <c r="B771" s="259" t="e">
        <f ca="1">IF(ISTEXT(([0]!P_1_12.9.4.7 [0]!Qté)),0,([0]!P_1_12.9.4.7 [0]!Qté))</f>
        <v>#REF!</v>
      </c>
      <c r="C771" s="260" t="e">
        <f ca="1">([0]!P_1_12.9.4.7 [0]!PU)</f>
        <v>#REF!</v>
      </c>
      <c r="D771" s="260" t="e">
        <f ca="1">IF(ISTEXT(([0]!P_1_12.9.4.7 [0]!MT)),0,([0]!P_1_12.9.4.7 [0]!MT))</f>
        <v>#REF!</v>
      </c>
    </row>
    <row r="772" spans="1:4">
      <c r="A772" s="258" t="s">
        <v>774</v>
      </c>
      <c r="B772" s="259" t="e">
        <f ca="1">IF(ISTEXT(([0]!P_1_12.9.4.8 [0]!Qté)),0,([0]!P_1_12.9.4.8 [0]!Qté))</f>
        <v>#REF!</v>
      </c>
      <c r="C772" s="260" t="e">
        <f ca="1">([0]!P_1_12.9.4.8 [0]!PU)</f>
        <v>#REF!</v>
      </c>
      <c r="D772" s="260" t="e">
        <f ca="1">IF(ISTEXT(([0]!P_1_12.9.4.8 [0]!MT)),0,([0]!P_1_12.9.4.8 [0]!MT))</f>
        <v>#REF!</v>
      </c>
    </row>
    <row r="773" spans="1:4">
      <c r="A773" s="258" t="s">
        <v>775</v>
      </c>
      <c r="B773" s="259" t="e">
        <f ca="1">IF(ISTEXT(([0]!P_1_12.9.4.9 [0]!Qté)),0,([0]!P_1_12.9.4.9 [0]!Qté))</f>
        <v>#REF!</v>
      </c>
      <c r="C773" s="260" t="e">
        <f ca="1">([0]!P_1_12.9.4.9 [0]!PU)</f>
        <v>#REF!</v>
      </c>
      <c r="D773" s="260" t="e">
        <f ca="1">IF(ISTEXT(([0]!P_1_12.9.4.9 [0]!MT)),0,([0]!P_1_12.9.4.9 [0]!MT))</f>
        <v>#REF!</v>
      </c>
    </row>
    <row r="774" spans="1:4">
      <c r="A774" s="258" t="s">
        <v>776</v>
      </c>
      <c r="B774" s="259" t="e">
        <f ca="1">IF(ISTEXT(([0]!P_1_12.9.4.10 [0]!Qté)),0,([0]!P_1_12.9.4.10 [0]!Qté))</f>
        <v>#REF!</v>
      </c>
      <c r="C774" s="260" t="e">
        <f ca="1">([0]!P_1_12.9.4.10 [0]!PU)</f>
        <v>#REF!</v>
      </c>
      <c r="D774" s="260" t="e">
        <f ca="1">IF(ISTEXT(([0]!P_1_12.9.4.10 [0]!MT)),0,([0]!P_1_12.9.4.10 [0]!MT))</f>
        <v>#REF!</v>
      </c>
    </row>
    <row r="775" spans="1:4">
      <c r="A775" s="258" t="s">
        <v>777</v>
      </c>
      <c r="B775" s="259" t="e">
        <f ca="1">IF(ISTEXT(([0]!P_1_12.9.4.11 [0]!Qté)),0,([0]!P_1_12.9.4.11 [0]!Qté))</f>
        <v>#REF!</v>
      </c>
      <c r="C775" s="260" t="e">
        <f ca="1">([0]!P_1_12.9.4.11 [0]!PU)</f>
        <v>#REF!</v>
      </c>
      <c r="D775" s="260" t="e">
        <f ca="1">IF(ISTEXT(([0]!P_1_12.9.4.11 [0]!MT)),0,([0]!P_1_12.9.4.11 [0]!MT))</f>
        <v>#REF!</v>
      </c>
    </row>
    <row r="776" spans="1:4">
      <c r="A776" s="258" t="s">
        <v>778</v>
      </c>
      <c r="B776" s="259" t="e">
        <f ca="1">IF(ISTEXT(([0]!P_1_12.9.4.12 [0]!Qté)),0,([0]!P_1_12.9.4.12 [0]!Qté))</f>
        <v>#REF!</v>
      </c>
      <c r="C776" s="260" t="e">
        <f ca="1">([0]!P_1_12.9.4.12 [0]!PU)</f>
        <v>#REF!</v>
      </c>
      <c r="D776" s="260" t="e">
        <f ca="1">IF(ISTEXT(([0]!P_1_12.9.4.12 [0]!MT)),0,([0]!P_1_12.9.4.12 [0]!MT))</f>
        <v>#REF!</v>
      </c>
    </row>
    <row r="777" spans="1:4">
      <c r="A777" s="258" t="s">
        <v>779</v>
      </c>
      <c r="B777" s="259" t="e">
        <f ca="1">IF(ISTEXT(([0]!P_1_12.9.4.13 [0]!Qté)),0,([0]!P_1_12.9.4.13 [0]!Qté))</f>
        <v>#REF!</v>
      </c>
      <c r="C777" s="260" t="e">
        <f ca="1">([0]!P_1_12.9.4.13 [0]!PU)</f>
        <v>#REF!</v>
      </c>
      <c r="D777" s="260" t="e">
        <f ca="1">IF(ISTEXT(([0]!P_1_12.9.4.13 [0]!MT)),0,([0]!P_1_12.9.4.13 [0]!MT))</f>
        <v>#REF!</v>
      </c>
    </row>
    <row r="778" spans="1:4">
      <c r="A778" s="258" t="s">
        <v>780</v>
      </c>
      <c r="B778" s="259" t="e">
        <f ca="1">IF(ISTEXT(([0]!P_1_12.9.4.14 [0]!Qté)),0,([0]!P_1_12.9.4.14 [0]!Qté))</f>
        <v>#REF!</v>
      </c>
      <c r="C778" s="260" t="e">
        <f ca="1">([0]!P_1_12.9.4.14 [0]!PU)</f>
        <v>#REF!</v>
      </c>
      <c r="D778" s="260" t="e">
        <f ca="1">IF(ISTEXT(([0]!P_1_12.9.4.14 [0]!MT)),0,([0]!P_1_12.9.4.14 [0]!MT))</f>
        <v>#REF!</v>
      </c>
    </row>
    <row r="779" spans="1:4">
      <c r="A779" s="258" t="s">
        <v>781</v>
      </c>
      <c r="B779" s="259" t="e">
        <f ca="1">IF(ISTEXT(([0]!P_1_12.9.4.15 [0]!Qté)),0,([0]!P_1_12.9.4.15 [0]!Qté))</f>
        <v>#REF!</v>
      </c>
      <c r="C779" s="260" t="e">
        <f ca="1">([0]!P_1_12.9.4.15 [0]!PU)</f>
        <v>#REF!</v>
      </c>
      <c r="D779" s="260" t="e">
        <f ca="1">IF(ISTEXT(([0]!P_1_12.9.4.15 [0]!MT)),0,([0]!P_1_12.9.4.15 [0]!MT))</f>
        <v>#REF!</v>
      </c>
    </row>
    <row r="780" spans="1:4">
      <c r="A780" s="258" t="s">
        <v>782</v>
      </c>
      <c r="B780" s="259" t="e">
        <f ca="1">IF(ISTEXT(([0]!P_1_12.9.4.16 [0]!Qté)),0,([0]!P_1_12.9.4.16 [0]!Qté))</f>
        <v>#REF!</v>
      </c>
      <c r="C780" s="260" t="e">
        <f ca="1">([0]!P_1_12.9.4.16 [0]!PU)</f>
        <v>#REF!</v>
      </c>
      <c r="D780" s="260" t="e">
        <f ca="1">IF(ISTEXT(([0]!P_1_12.9.4.16 [0]!MT)),0,([0]!P_1_12.9.4.16 [0]!MT))</f>
        <v>#REF!</v>
      </c>
    </row>
    <row r="781" spans="1:4">
      <c r="A781" s="258" t="s">
        <v>783</v>
      </c>
      <c r="B781" s="259" t="e">
        <f ca="1">IF(ISTEXT(([0]!P_1_12.9.4.17 [0]!Qté)),0,([0]!P_1_12.9.4.17 [0]!Qté))</f>
        <v>#REF!</v>
      </c>
      <c r="C781" s="260" t="e">
        <f ca="1">([0]!P_1_12.9.4.17 [0]!PU)</f>
        <v>#REF!</v>
      </c>
      <c r="D781" s="260" t="e">
        <f ca="1">IF(ISTEXT(([0]!P_1_12.9.4.17 [0]!MT)),0,([0]!P_1_12.9.4.17 [0]!MT))</f>
        <v>#REF!</v>
      </c>
    </row>
    <row r="782" spans="1:4">
      <c r="A782" s="258" t="s">
        <v>784</v>
      </c>
      <c r="B782" s="259" t="e">
        <f ca="1">IF(ISTEXT(([0]!P_1_12.9.4.18 [0]!Qté)),0,([0]!P_1_12.9.4.18 [0]!Qté))</f>
        <v>#REF!</v>
      </c>
      <c r="C782" s="260" t="e">
        <f ca="1">([0]!P_1_12.9.4.18 [0]!PU)</f>
        <v>#REF!</v>
      </c>
      <c r="D782" s="260" t="e">
        <f ca="1">IF(ISTEXT(([0]!P_1_12.9.4.18 [0]!MT)),0,([0]!P_1_12.9.4.18 [0]!MT))</f>
        <v>#REF!</v>
      </c>
    </row>
    <row r="783" spans="1:4">
      <c r="A783" s="258" t="s">
        <v>785</v>
      </c>
      <c r="B783" s="259" t="e">
        <f ca="1">IF(ISTEXT(([0]!P_1_12.9.4.19 [0]!Qté)),0,([0]!P_1_12.9.4.19 [0]!Qté))</f>
        <v>#REF!</v>
      </c>
      <c r="C783" s="260" t="e">
        <f ca="1">([0]!P_1_12.9.4.19 [0]!PU)</f>
        <v>#REF!</v>
      </c>
      <c r="D783" s="260" t="e">
        <f ca="1">IF(ISTEXT(([0]!P_1_12.9.4.19 [0]!MT)),0,([0]!P_1_12.9.4.19 [0]!MT))</f>
        <v>#REF!</v>
      </c>
    </row>
    <row r="784" spans="1:4">
      <c r="A784" s="258" t="s">
        <v>786</v>
      </c>
      <c r="B784" s="259" t="e">
        <f ca="1">IF(ISTEXT(([0]!P_1_12.9.4.20 [0]!Qté)),0,([0]!P_1_12.9.4.20 [0]!Qté))</f>
        <v>#REF!</v>
      </c>
      <c r="C784" s="260" t="e">
        <f ca="1">([0]!P_1_12.9.4.20 [0]!PU)</f>
        <v>#REF!</v>
      </c>
      <c r="D784" s="260" t="e">
        <f ca="1">IF(ISTEXT(([0]!P_1_12.9.4.20 [0]!MT)),0,([0]!P_1_12.9.4.20 [0]!MT))</f>
        <v>#REF!</v>
      </c>
    </row>
    <row r="785" spans="1:4">
      <c r="A785" s="258" t="s">
        <v>787</v>
      </c>
      <c r="B785" s="259" t="e">
        <f ca="1">IF(ISTEXT(([0]!P_1_12.9.4.21 [0]!Qté)),0,([0]!P_1_12.9.4.21 [0]!Qté))</f>
        <v>#REF!</v>
      </c>
      <c r="C785" s="260" t="e">
        <f ca="1">([0]!P_1_12.9.4.21 [0]!PU)</f>
        <v>#REF!</v>
      </c>
      <c r="D785" s="260" t="e">
        <f ca="1">IF(ISTEXT(([0]!P_1_12.9.4.21 [0]!MT)),0,([0]!P_1_12.9.4.21 [0]!MT))</f>
        <v>#REF!</v>
      </c>
    </row>
    <row r="786" spans="1:4">
      <c r="A786" s="258" t="s">
        <v>788</v>
      </c>
      <c r="B786" s="259" t="e">
        <f ca="1">IF(ISTEXT(([0]!P_1_12.9.4.22 [0]!Qté)),0,([0]!P_1_12.9.4.22 [0]!Qté))</f>
        <v>#REF!</v>
      </c>
      <c r="C786" s="260" t="e">
        <f ca="1">([0]!P_1_12.9.4.22 [0]!PU)</f>
        <v>#REF!</v>
      </c>
      <c r="D786" s="260" t="e">
        <f ca="1">IF(ISTEXT(([0]!P_1_12.9.4.22 [0]!MT)),0,([0]!P_1_12.9.4.22 [0]!MT))</f>
        <v>#REF!</v>
      </c>
    </row>
    <row r="787" spans="1:4">
      <c r="A787" s="258" t="s">
        <v>789</v>
      </c>
      <c r="B787" s="259" t="e">
        <f ca="1">IF(ISTEXT(([0]!P_1_12.9.4.23 [0]!Qté)),0,([0]!P_1_12.9.4.23 [0]!Qté))</f>
        <v>#REF!</v>
      </c>
      <c r="C787" s="260" t="e">
        <f ca="1">([0]!P_1_12.9.4.23 [0]!PU)</f>
        <v>#REF!</v>
      </c>
      <c r="D787" s="260" t="e">
        <f ca="1">IF(ISTEXT(([0]!P_1_12.9.4.23 [0]!MT)),0,([0]!P_1_12.9.4.23 [0]!MT))</f>
        <v>#REF!</v>
      </c>
    </row>
    <row r="788" spans="1:4">
      <c r="A788" s="258" t="s">
        <v>790</v>
      </c>
      <c r="B788" s="259" t="e">
        <f ca="1">IF(ISTEXT(([0]!P_1_12.9.4.24 [0]!Qté)),0,([0]!P_1_12.9.4.24 [0]!Qté))</f>
        <v>#REF!</v>
      </c>
      <c r="C788" s="260" t="e">
        <f ca="1">([0]!P_1_12.9.4.24 [0]!PU)</f>
        <v>#REF!</v>
      </c>
      <c r="D788" s="260" t="e">
        <f ca="1">IF(ISTEXT(([0]!P_1_12.9.4.24 [0]!MT)),0,([0]!P_1_12.9.4.24 [0]!MT))</f>
        <v>#REF!</v>
      </c>
    </row>
    <row r="789" spans="1:4">
      <c r="A789" s="258" t="s">
        <v>791</v>
      </c>
      <c r="B789" s="259" t="e">
        <f ca="1">IF(ISTEXT(([0]!P_1_12.9.4.25 [0]!Qté)),0,([0]!P_1_12.9.4.25 [0]!Qté))</f>
        <v>#REF!</v>
      </c>
      <c r="C789" s="260" t="e">
        <f ca="1">([0]!P_1_12.9.4.25 [0]!PU)</f>
        <v>#REF!</v>
      </c>
      <c r="D789" s="260" t="e">
        <f ca="1">IF(ISTEXT(([0]!P_1_12.9.4.25 [0]!MT)),0,([0]!P_1_12.9.4.25 [0]!MT))</f>
        <v>#REF!</v>
      </c>
    </row>
    <row r="790" spans="1:4">
      <c r="A790" s="258" t="s">
        <v>792</v>
      </c>
      <c r="B790" s="259" t="e">
        <f ca="1">IF(ISTEXT(([0]!P_1_12.9.4.26 [0]!Qté)),0,([0]!P_1_12.9.4.26 [0]!Qté))</f>
        <v>#REF!</v>
      </c>
      <c r="C790" s="260" t="e">
        <f ca="1">([0]!P_1_12.9.4.26 [0]!PU)</f>
        <v>#REF!</v>
      </c>
      <c r="D790" s="260" t="e">
        <f ca="1">IF(ISTEXT(([0]!P_1_12.9.4.26 [0]!MT)),0,([0]!P_1_12.9.4.26 [0]!MT))</f>
        <v>#REF!</v>
      </c>
    </row>
    <row r="791" spans="1:4">
      <c r="A791" s="258" t="s">
        <v>793</v>
      </c>
      <c r="B791" s="259" t="e">
        <f ca="1">IF(ISTEXT(([0]!P_1_12.9.4.27 [0]!Qté)),0,([0]!P_1_12.9.4.27 [0]!Qté))</f>
        <v>#REF!</v>
      </c>
      <c r="C791" s="260" t="e">
        <f ca="1">([0]!P_1_12.9.4.27 [0]!PU)</f>
        <v>#REF!</v>
      </c>
      <c r="D791" s="260" t="e">
        <f ca="1">IF(ISTEXT(([0]!P_1_12.9.4.27 [0]!MT)),0,([0]!P_1_12.9.4.27 [0]!MT))</f>
        <v>#REF!</v>
      </c>
    </row>
    <row r="792" spans="1:4">
      <c r="A792" s="258" t="s">
        <v>794</v>
      </c>
      <c r="B792" s="259" t="e">
        <f ca="1">IF(ISTEXT(([0]!P_1_12.9.4.28 [0]!Qté)),0,([0]!P_1_12.9.4.28 [0]!Qté))</f>
        <v>#REF!</v>
      </c>
      <c r="C792" s="260" t="e">
        <f ca="1">([0]!P_1_12.9.4.28 [0]!PU)</f>
        <v>#REF!</v>
      </c>
      <c r="D792" s="260" t="e">
        <f ca="1">IF(ISTEXT(([0]!P_1_12.9.4.28 [0]!MT)),0,([0]!P_1_12.9.4.28 [0]!MT))</f>
        <v>#REF!</v>
      </c>
    </row>
    <row r="793" spans="1:4">
      <c r="A793" s="258" t="s">
        <v>795</v>
      </c>
      <c r="B793" s="259" t="e">
        <f ca="1">IF(ISTEXT(([0]!P_1_12.9.4.29.1 [0]!Qté)),0,([0]!P_1_12.9.4.29.1 [0]!Qté))</f>
        <v>#REF!</v>
      </c>
      <c r="C793" s="260" t="e">
        <f ca="1">([0]!P_1_12.9.4.29.1 [0]!PU)</f>
        <v>#REF!</v>
      </c>
      <c r="D793" s="260" t="e">
        <f ca="1">IF(ISTEXT(([0]!P_1_12.9.4.29.1 [0]!MT)),0,([0]!P_1_12.9.4.29.1 [0]!MT))</f>
        <v>#REF!</v>
      </c>
    </row>
    <row r="794" spans="1:4">
      <c r="A794" s="258" t="s">
        <v>796</v>
      </c>
      <c r="B794" s="259" t="e">
        <f ca="1">IF(ISTEXT(([0]!P_1_12.9.4.29.2 [0]!Qté)),0,([0]!P_1_12.9.4.29.2 [0]!Qté))</f>
        <v>#REF!</v>
      </c>
      <c r="C794" s="260" t="e">
        <f ca="1">([0]!P_1_12.9.4.29.2 [0]!PU)</f>
        <v>#REF!</v>
      </c>
      <c r="D794" s="260" t="e">
        <f ca="1">IF(ISTEXT(([0]!P_1_12.9.4.29.2 [0]!MT)),0,([0]!P_1_12.9.4.29.2 [0]!MT))</f>
        <v>#REF!</v>
      </c>
    </row>
    <row r="795" spans="1:4">
      <c r="A795" s="258" t="s">
        <v>797</v>
      </c>
      <c r="B795" s="259" t="e">
        <f ca="1">IF(ISTEXT(([0]!P_1_12.9.4.29.3 [0]!Qté)),0,([0]!P_1_12.9.4.29.3 [0]!Qté))</f>
        <v>#REF!</v>
      </c>
      <c r="C795" s="260" t="e">
        <f ca="1">([0]!P_1_12.9.4.29.3 [0]!PU)</f>
        <v>#REF!</v>
      </c>
      <c r="D795" s="260" t="e">
        <f ca="1">IF(ISTEXT(([0]!P_1_12.9.4.29.3 [0]!MT)),0,([0]!P_1_12.9.4.29.3 [0]!MT))</f>
        <v>#REF!</v>
      </c>
    </row>
    <row r="796" spans="1:4">
      <c r="A796" s="258" t="s">
        <v>798</v>
      </c>
      <c r="B796" s="259" t="e">
        <f ca="1">IF(ISTEXT(([0]!P_1_12.9.4.29.4 [0]!Qté)),0,([0]!P_1_12.9.4.29.4 [0]!Qté))</f>
        <v>#REF!</v>
      </c>
      <c r="C796" s="260" t="e">
        <f ca="1">([0]!P_1_12.9.4.29.4 [0]!PU)</f>
        <v>#REF!</v>
      </c>
      <c r="D796" s="260" t="e">
        <f ca="1">IF(ISTEXT(([0]!P_1_12.9.4.29.4 [0]!MT)),0,([0]!P_1_12.9.4.29.4 [0]!MT))</f>
        <v>#REF!</v>
      </c>
    </row>
    <row r="797" spans="1:4">
      <c r="A797" s="258" t="s">
        <v>799</v>
      </c>
      <c r="B797" s="259" t="e">
        <f ca="1">IF(ISTEXT(([0]!P_1_12.9.4.30.1 [0]!Qté)),0,([0]!P_1_12.9.4.30.1 [0]!Qté))</f>
        <v>#REF!</v>
      </c>
      <c r="C797" s="260" t="e">
        <f ca="1">([0]!P_1_12.9.4.30.1 [0]!PU)</f>
        <v>#REF!</v>
      </c>
      <c r="D797" s="260" t="e">
        <f ca="1">IF(ISTEXT(([0]!P_1_12.9.4.30.1 [0]!MT)),0,([0]!P_1_12.9.4.30.1 [0]!MT))</f>
        <v>#REF!</v>
      </c>
    </row>
    <row r="798" spans="1:4">
      <c r="A798" s="258" t="s">
        <v>800</v>
      </c>
      <c r="B798" s="259" t="e">
        <f ca="1">IF(ISTEXT(([0]!P_1_12.9.4.30.2 [0]!Qté)),0,([0]!P_1_12.9.4.30.2 [0]!Qté))</f>
        <v>#REF!</v>
      </c>
      <c r="C798" s="260" t="e">
        <f ca="1">([0]!P_1_12.9.4.30.2 [0]!PU)</f>
        <v>#REF!</v>
      </c>
      <c r="D798" s="260" t="e">
        <f ca="1">IF(ISTEXT(([0]!P_1_12.9.4.30.2 [0]!MT)),0,([0]!P_1_12.9.4.30.2 [0]!MT))</f>
        <v>#REF!</v>
      </c>
    </row>
    <row r="799" spans="1:4">
      <c r="A799" s="258" t="s">
        <v>801</v>
      </c>
      <c r="B799" s="259" t="e">
        <f ca="1">IF(ISTEXT(([0]!P_1_12.9.4.30.3 [0]!Qté)),0,([0]!P_1_12.9.4.30.3 [0]!Qté))</f>
        <v>#REF!</v>
      </c>
      <c r="C799" s="260" t="e">
        <f ca="1">([0]!P_1_12.9.4.30.3 [0]!PU)</f>
        <v>#REF!</v>
      </c>
      <c r="D799" s="260" t="e">
        <f ca="1">IF(ISTEXT(([0]!P_1_12.9.4.30.3 [0]!MT)),0,([0]!P_1_12.9.4.30.3 [0]!MT))</f>
        <v>#REF!</v>
      </c>
    </row>
    <row r="800" spans="1:4">
      <c r="A800" s="258" t="s">
        <v>802</v>
      </c>
      <c r="B800" s="259" t="e">
        <f ca="1">IF(ISTEXT(([0]!P_1_12.9.4.30.4 [0]!Qté)),0,([0]!P_1_12.9.4.30.4 [0]!Qté))</f>
        <v>#REF!</v>
      </c>
      <c r="C800" s="260" t="e">
        <f ca="1">([0]!P_1_12.9.4.30.4 [0]!PU)</f>
        <v>#REF!</v>
      </c>
      <c r="D800" s="260" t="e">
        <f ca="1">IF(ISTEXT(([0]!P_1_12.9.4.30.4 [0]!MT)),0,([0]!P_1_12.9.4.30.4 [0]!MT))</f>
        <v>#REF!</v>
      </c>
    </row>
    <row r="801" spans="1:4">
      <c r="A801" s="258" t="s">
        <v>803</v>
      </c>
      <c r="B801" s="259" t="e">
        <f ca="1">IF(ISTEXT(([0]!P_1_12.9.4.30.5 [0]!Qté)),0,([0]!P_1_12.9.4.30.5 [0]!Qté))</f>
        <v>#REF!</v>
      </c>
      <c r="C801" s="260" t="e">
        <f ca="1">([0]!P_1_12.9.4.30.5 [0]!PU)</f>
        <v>#REF!</v>
      </c>
      <c r="D801" s="260" t="e">
        <f ca="1">IF(ISTEXT(([0]!P_1_12.9.4.30.5 [0]!MT)),0,([0]!P_1_12.9.4.30.5 [0]!MT))</f>
        <v>#REF!</v>
      </c>
    </row>
    <row r="802" spans="1:4">
      <c r="A802" s="258" t="s">
        <v>804</v>
      </c>
      <c r="B802" s="259" t="e">
        <f ca="1">IF(ISTEXT(([0]!P_1_12.9.4.30.6 [0]!Qté)),0,([0]!P_1_12.9.4.30.6 [0]!Qté))</f>
        <v>#REF!</v>
      </c>
      <c r="C802" s="260" t="e">
        <f ca="1">([0]!P_1_12.9.4.30.6 [0]!PU)</f>
        <v>#REF!</v>
      </c>
      <c r="D802" s="260" t="e">
        <f ca="1">IF(ISTEXT(([0]!P_1_12.9.4.30.6 [0]!MT)),0,([0]!P_1_12.9.4.30.6 [0]!MT))</f>
        <v>#REF!</v>
      </c>
    </row>
    <row r="803" spans="1:4">
      <c r="A803" s="258" t="s">
        <v>805</v>
      </c>
      <c r="B803" s="259" t="e">
        <f ca="1">IF(ISTEXT(([0]!P_1_12.9.4.30.7 [0]!Qté)),0,([0]!P_1_12.9.4.30.7 [0]!Qté))</f>
        <v>#REF!</v>
      </c>
      <c r="C803" s="260" t="e">
        <f ca="1">([0]!P_1_12.9.4.30.7 [0]!PU)</f>
        <v>#REF!</v>
      </c>
      <c r="D803" s="260" t="e">
        <f ca="1">IF(ISTEXT(([0]!P_1_12.9.4.30.7 [0]!MT)),0,([0]!P_1_12.9.4.30.7 [0]!MT))</f>
        <v>#REF!</v>
      </c>
    </row>
    <row r="804" spans="1:4">
      <c r="A804" s="258" t="s">
        <v>806</v>
      </c>
      <c r="B804" s="259" t="e">
        <f ca="1">IF(ISTEXT(([0]!P_1_12.9.4.30.8 [0]!Qté)),0,([0]!P_1_12.9.4.30.8 [0]!Qté))</f>
        <v>#REF!</v>
      </c>
      <c r="C804" s="260" t="e">
        <f ca="1">([0]!P_1_12.9.4.30.8 [0]!PU)</f>
        <v>#REF!</v>
      </c>
      <c r="D804" s="260" t="e">
        <f ca="1">IF(ISTEXT(([0]!P_1_12.9.4.30.8 [0]!MT)),0,([0]!P_1_12.9.4.30.8 [0]!MT))</f>
        <v>#REF!</v>
      </c>
    </row>
    <row r="805" spans="1:4">
      <c r="A805" s="258" t="s">
        <v>807</v>
      </c>
      <c r="B805" s="259" t="e">
        <f ca="1">IF(ISTEXT(([0]!P_1_12.9.4.30.9 [0]!Qté)),0,([0]!P_1_12.9.4.30.9 [0]!Qté))</f>
        <v>#REF!</v>
      </c>
      <c r="C805" s="260" t="e">
        <f ca="1">([0]!P_1_12.9.4.30.9 [0]!PU)</f>
        <v>#REF!</v>
      </c>
      <c r="D805" s="260" t="e">
        <f ca="1">IF(ISTEXT(([0]!P_1_12.9.4.30.9 [0]!MT)),0,([0]!P_1_12.9.4.30.9 [0]!MT))</f>
        <v>#REF!</v>
      </c>
    </row>
    <row r="806" spans="1:4">
      <c r="A806" s="258" t="s">
        <v>808</v>
      </c>
      <c r="B806" s="259" t="e">
        <f ca="1">IF(ISTEXT(([0]!P_1_12.9.4.30.10 [0]!Qté)),0,([0]!P_1_12.9.4.30.10 [0]!Qté))</f>
        <v>#REF!</v>
      </c>
      <c r="C806" s="260" t="e">
        <f ca="1">([0]!P_1_12.9.4.30.10 [0]!PU)</f>
        <v>#REF!</v>
      </c>
      <c r="D806" s="260" t="e">
        <f ca="1">IF(ISTEXT(([0]!P_1_12.9.4.30.10 [0]!MT)),0,([0]!P_1_12.9.4.30.10 [0]!MT))</f>
        <v>#REF!</v>
      </c>
    </row>
    <row r="807" spans="1:4">
      <c r="A807" s="258" t="s">
        <v>809</v>
      </c>
      <c r="B807" s="259" t="e">
        <f ca="1">IF(ISTEXT(([0]!P_1_12.9.5.1.1 [0]!Qté)),0,([0]!P_1_12.9.5.1.1 [0]!Qté))</f>
        <v>#REF!</v>
      </c>
      <c r="C807" s="260" t="e">
        <f ca="1">([0]!P_1_12.9.5.1.1 [0]!PU)</f>
        <v>#REF!</v>
      </c>
      <c r="D807" s="260" t="e">
        <f ca="1">IF(ISTEXT(([0]!P_1_12.9.5.1.1 [0]!MT)),0,([0]!P_1_12.9.5.1.1 [0]!MT))</f>
        <v>#REF!</v>
      </c>
    </row>
    <row r="808" spans="1:4">
      <c r="A808" s="258" t="s">
        <v>810</v>
      </c>
      <c r="B808" s="259" t="e">
        <f ca="1">IF(ISTEXT(([0]!P_1_12.9.5.1.2 [0]!Qté)),0,([0]!P_1_12.9.5.1.2 [0]!Qté))</f>
        <v>#REF!</v>
      </c>
      <c r="C808" s="260" t="e">
        <f ca="1">([0]!P_1_12.9.5.1.2 [0]!PU)</f>
        <v>#REF!</v>
      </c>
      <c r="D808" s="260" t="e">
        <f ca="1">IF(ISTEXT(([0]!P_1_12.9.5.1.2 [0]!MT)),0,([0]!P_1_12.9.5.1.2 [0]!MT))</f>
        <v>#REF!</v>
      </c>
    </row>
    <row r="809" spans="1:4">
      <c r="A809" s="258" t="s">
        <v>811</v>
      </c>
      <c r="B809" s="259" t="e">
        <f ca="1">IF(ISTEXT(([0]!P_1_12.9.5.1.3 [0]!Qté)),0,([0]!P_1_12.9.5.1.3 [0]!Qté))</f>
        <v>#REF!</v>
      </c>
      <c r="C809" s="260" t="e">
        <f ca="1">([0]!P_1_12.9.5.1.3 [0]!PU)</f>
        <v>#REF!</v>
      </c>
      <c r="D809" s="260" t="e">
        <f ca="1">IF(ISTEXT(([0]!P_1_12.9.5.1.3 [0]!MT)),0,([0]!P_1_12.9.5.1.3 [0]!MT))</f>
        <v>#REF!</v>
      </c>
    </row>
    <row r="810" spans="1:4">
      <c r="A810" s="258" t="s">
        <v>812</v>
      </c>
      <c r="B810" s="259" t="e">
        <f ca="1">IF(ISTEXT(([0]!P_1_12.9.5.1.4 [0]!Qté)),0,([0]!P_1_12.9.5.1.4 [0]!Qté))</f>
        <v>#REF!</v>
      </c>
      <c r="C810" s="260" t="e">
        <f ca="1">([0]!P_1_12.9.5.1.4 [0]!PU)</f>
        <v>#REF!</v>
      </c>
      <c r="D810" s="260" t="e">
        <f ca="1">IF(ISTEXT(([0]!P_1_12.9.5.1.4 [0]!MT)),0,([0]!P_1_12.9.5.1.4 [0]!MT))</f>
        <v>#REF!</v>
      </c>
    </row>
    <row r="811" spans="1:4">
      <c r="A811" s="258" t="s">
        <v>813</v>
      </c>
      <c r="B811" s="259" t="e">
        <f ca="1">IF(ISTEXT(([0]!P_1_12.9.5.1.5 [0]!Qté)),0,([0]!P_1_12.9.5.1.5 [0]!Qté))</f>
        <v>#REF!</v>
      </c>
      <c r="C811" s="260" t="e">
        <f ca="1">([0]!P_1_12.9.5.1.5 [0]!PU)</f>
        <v>#REF!</v>
      </c>
      <c r="D811" s="260" t="e">
        <f ca="1">IF(ISTEXT(([0]!P_1_12.9.5.1.5 [0]!MT)),0,([0]!P_1_12.9.5.1.5 [0]!MT))</f>
        <v>#REF!</v>
      </c>
    </row>
    <row r="812" spans="1:4">
      <c r="A812" s="258" t="s">
        <v>814</v>
      </c>
      <c r="B812" s="259" t="e">
        <f ca="1">IF(ISTEXT(([0]!P_1_12.9.5.1.6 [0]!Qté)),0,([0]!P_1_12.9.5.1.6 [0]!Qté))</f>
        <v>#REF!</v>
      </c>
      <c r="C812" s="260" t="e">
        <f ca="1">([0]!P_1_12.9.5.1.6 [0]!PU)</f>
        <v>#REF!</v>
      </c>
      <c r="D812" s="260" t="e">
        <f ca="1">IF(ISTEXT(([0]!P_1_12.9.5.1.6 [0]!MT)),0,([0]!P_1_12.9.5.1.6 [0]!MT))</f>
        <v>#REF!</v>
      </c>
    </row>
    <row r="813" spans="1:4">
      <c r="A813" s="258" t="s">
        <v>815</v>
      </c>
      <c r="B813" s="259" t="e">
        <f ca="1">IF(ISTEXT(([0]!P_1_12.9.5.1.7 [0]!Qté)),0,([0]!P_1_12.9.5.1.7 [0]!Qté))</f>
        <v>#REF!</v>
      </c>
      <c r="C813" s="260" t="e">
        <f ca="1">([0]!P_1_12.9.5.1.7 [0]!PU)</f>
        <v>#REF!</v>
      </c>
      <c r="D813" s="260" t="e">
        <f ca="1">IF(ISTEXT(([0]!P_1_12.9.5.1.7 [0]!MT)),0,([0]!P_1_12.9.5.1.7 [0]!MT))</f>
        <v>#REF!</v>
      </c>
    </row>
    <row r="814" spans="1:4">
      <c r="A814" s="258" t="s">
        <v>816</v>
      </c>
      <c r="B814" s="259" t="e">
        <f ca="1">IF(ISTEXT(([0]!P_1_12.9.5.2.1 [0]!Qté)),0,([0]!P_1_12.9.5.2.1 [0]!Qté))</f>
        <v>#REF!</v>
      </c>
      <c r="C814" s="260" t="e">
        <f ca="1">([0]!P_1_12.9.5.2.1 [0]!PU)</f>
        <v>#REF!</v>
      </c>
      <c r="D814" s="260" t="e">
        <f ca="1">IF(ISTEXT(([0]!P_1_12.9.5.2.1 [0]!MT)),0,([0]!P_1_12.9.5.2.1 [0]!MT))</f>
        <v>#REF!</v>
      </c>
    </row>
    <row r="815" spans="1:4">
      <c r="A815" s="258" t="s">
        <v>817</v>
      </c>
      <c r="B815" s="259" t="e">
        <f ca="1">IF(ISTEXT(([0]!P_1_12.9.5.2.2 [0]!Qté)),0,([0]!P_1_12.9.5.2.2 [0]!Qté))</f>
        <v>#REF!</v>
      </c>
      <c r="C815" s="260" t="e">
        <f ca="1">([0]!P_1_12.9.5.2.2 [0]!PU)</f>
        <v>#REF!</v>
      </c>
      <c r="D815" s="260" t="e">
        <f ca="1">IF(ISTEXT(([0]!P_1_12.9.5.2.2 [0]!MT)),0,([0]!P_1_12.9.5.2.2 [0]!MT))</f>
        <v>#REF!</v>
      </c>
    </row>
    <row r="816" spans="1:4">
      <c r="A816" s="258" t="s">
        <v>818</v>
      </c>
      <c r="B816" s="259" t="e">
        <f ca="1">IF(ISTEXT(([0]!P_1_12.9.5.2.3 [0]!Qté)),0,([0]!P_1_12.9.5.2.3 [0]!Qté))</f>
        <v>#REF!</v>
      </c>
      <c r="C816" s="260" t="e">
        <f ca="1">([0]!P_1_12.9.5.2.3 [0]!PU)</f>
        <v>#REF!</v>
      </c>
      <c r="D816" s="260" t="e">
        <f ca="1">IF(ISTEXT(([0]!P_1_12.9.5.2.3 [0]!MT)),0,([0]!P_1_12.9.5.2.3 [0]!MT))</f>
        <v>#REF!</v>
      </c>
    </row>
    <row r="817" spans="1:4">
      <c r="A817" s="258" t="s">
        <v>819</v>
      </c>
      <c r="B817" s="259" t="e">
        <f ca="1">IF(ISTEXT(([0]!P_1_12.9.5.2.4 [0]!Qté)),0,([0]!P_1_12.9.5.2.4 [0]!Qté))</f>
        <v>#REF!</v>
      </c>
      <c r="C817" s="260" t="e">
        <f ca="1">([0]!P_1_12.9.5.2.4 [0]!PU)</f>
        <v>#REF!</v>
      </c>
      <c r="D817" s="260" t="e">
        <f ca="1">IF(ISTEXT(([0]!P_1_12.9.5.2.4 [0]!MT)),0,([0]!P_1_12.9.5.2.4 [0]!MT))</f>
        <v>#REF!</v>
      </c>
    </row>
    <row r="818" spans="1:4">
      <c r="A818" s="258" t="s">
        <v>820</v>
      </c>
      <c r="B818" s="259" t="e">
        <f ca="1">IF(ISTEXT(([0]!P_1_12.9.5.2.5 [0]!Qté)),0,([0]!P_1_12.9.5.2.5 [0]!Qté))</f>
        <v>#REF!</v>
      </c>
      <c r="C818" s="260" t="e">
        <f ca="1">([0]!P_1_12.9.5.2.5 [0]!PU)</f>
        <v>#REF!</v>
      </c>
      <c r="D818" s="260" t="e">
        <f ca="1">IF(ISTEXT(([0]!P_1_12.9.5.2.5 [0]!MT)),0,([0]!P_1_12.9.5.2.5 [0]!MT))</f>
        <v>#REF!</v>
      </c>
    </row>
    <row r="819" spans="1:4">
      <c r="A819" s="258" t="s">
        <v>821</v>
      </c>
      <c r="B819" s="259" t="e">
        <f ca="1">IF(ISTEXT(([0]!P_1_12.9.5.2.6 [0]!Qté)),0,([0]!P_1_12.9.5.2.6 [0]!Qté))</f>
        <v>#REF!</v>
      </c>
      <c r="C819" s="260" t="e">
        <f ca="1">([0]!P_1_12.9.5.2.6 [0]!PU)</f>
        <v>#REF!</v>
      </c>
      <c r="D819" s="260" t="e">
        <f ca="1">IF(ISTEXT(([0]!P_1_12.9.5.2.6 [0]!MT)),0,([0]!P_1_12.9.5.2.6 [0]!MT))</f>
        <v>#REF!</v>
      </c>
    </row>
    <row r="820" spans="1:4">
      <c r="A820" s="258" t="s">
        <v>822</v>
      </c>
      <c r="B820" s="259" t="e">
        <f ca="1">IF(ISTEXT(([0]!P_1_12.9.5.3.1 [0]!Qté)),0,([0]!P_1_12.9.5.3.1 [0]!Qté))</f>
        <v>#REF!</v>
      </c>
      <c r="C820" s="260" t="e">
        <f ca="1">([0]!P_1_12.9.5.3.1 [0]!PU)</f>
        <v>#REF!</v>
      </c>
      <c r="D820" s="260" t="e">
        <f ca="1">IF(ISTEXT(([0]!P_1_12.9.5.3.1 [0]!MT)),0,([0]!P_1_12.9.5.3.1 [0]!MT))</f>
        <v>#REF!</v>
      </c>
    </row>
    <row r="821" spans="1:4">
      <c r="A821" s="258" t="s">
        <v>823</v>
      </c>
      <c r="B821" s="259" t="e">
        <f ca="1">IF(ISTEXT(([0]!P_1_12.9.5.3.2 [0]!Qté)),0,([0]!P_1_12.9.5.3.2 [0]!Qté))</f>
        <v>#REF!</v>
      </c>
      <c r="C821" s="260" t="e">
        <f ca="1">([0]!P_1_12.9.5.3.2 [0]!PU)</f>
        <v>#REF!</v>
      </c>
      <c r="D821" s="260" t="e">
        <f ca="1">IF(ISTEXT(([0]!P_1_12.9.5.3.2 [0]!MT)),0,([0]!P_1_12.9.5.3.2 [0]!MT))</f>
        <v>#REF!</v>
      </c>
    </row>
    <row r="822" spans="1:4">
      <c r="A822" s="258" t="s">
        <v>824</v>
      </c>
      <c r="B822" s="259" t="e">
        <f ca="1">IF(ISTEXT(([0]!P_1_12.9.5.3.3 [0]!Qté)),0,([0]!P_1_12.9.5.3.3 [0]!Qté))</f>
        <v>#REF!</v>
      </c>
      <c r="C822" s="260" t="e">
        <f ca="1">([0]!P_1_12.9.5.3.3 [0]!PU)</f>
        <v>#REF!</v>
      </c>
      <c r="D822" s="260" t="e">
        <f ca="1">IF(ISTEXT(([0]!P_1_12.9.5.3.3 [0]!MT)),0,([0]!P_1_12.9.5.3.3 [0]!MT))</f>
        <v>#REF!</v>
      </c>
    </row>
    <row r="823" spans="1:4">
      <c r="A823" s="258" t="s">
        <v>825</v>
      </c>
      <c r="B823" s="259" t="e">
        <f ca="1">IF(ISTEXT(([0]!P_1_12.9.6.1 [0]!Qté)),0,([0]!P_1_12.9.6.1 [0]!Qté))</f>
        <v>#REF!</v>
      </c>
      <c r="C823" s="260" t="e">
        <f ca="1">([0]!P_1_12.9.6.1 [0]!PU)</f>
        <v>#REF!</v>
      </c>
      <c r="D823" s="260" t="e">
        <f ca="1">IF(ISTEXT(([0]!P_1_12.9.6.1 [0]!MT)),0,([0]!P_1_12.9.6.1 [0]!MT))</f>
        <v>#REF!</v>
      </c>
    </row>
    <row r="824" spans="1:4">
      <c r="A824" s="258" t="s">
        <v>826</v>
      </c>
      <c r="B824" s="259" t="e">
        <f ca="1">IF(ISTEXT(([0]!P_1_12.9.6.2 [0]!Qté)),0,([0]!P_1_12.9.6.2 [0]!Qté))</f>
        <v>#REF!</v>
      </c>
      <c r="C824" s="260" t="e">
        <f ca="1">([0]!P_1_12.9.6.2 [0]!PU)</f>
        <v>#REF!</v>
      </c>
      <c r="D824" s="260" t="e">
        <f ca="1">IF(ISTEXT(([0]!P_1_12.9.6.2 [0]!MT)),0,([0]!P_1_12.9.6.2 [0]!MT))</f>
        <v>#REF!</v>
      </c>
    </row>
    <row r="825" spans="1:4">
      <c r="A825" s="258" t="s">
        <v>827</v>
      </c>
      <c r="B825" s="259" t="e">
        <f ca="1">IF(ISTEXT(([0]!P_1_12.9.6.3 [0]!Qté)),0,([0]!P_1_12.9.6.3 [0]!Qté))</f>
        <v>#REF!</v>
      </c>
      <c r="C825" s="260" t="e">
        <f ca="1">([0]!P_1_12.9.6.3 [0]!PU)</f>
        <v>#REF!</v>
      </c>
      <c r="D825" s="260" t="e">
        <f ca="1">IF(ISTEXT(([0]!P_1_12.9.6.3 [0]!MT)),0,([0]!P_1_12.9.6.3 [0]!MT))</f>
        <v>#REF!</v>
      </c>
    </row>
    <row r="826" spans="1:4">
      <c r="A826" s="258" t="s">
        <v>828</v>
      </c>
      <c r="B826" s="259" t="e">
        <f ca="1">IF(ISTEXT(([0]!P_1_12.9.6.4 [0]!Qté)),0,([0]!P_1_12.9.6.4 [0]!Qté))</f>
        <v>#REF!</v>
      </c>
      <c r="C826" s="260" t="e">
        <f ca="1">([0]!P_1_12.9.6.4 [0]!PU)</f>
        <v>#REF!</v>
      </c>
      <c r="D826" s="260" t="e">
        <f ca="1">IF(ISTEXT(([0]!P_1_12.9.6.4 [0]!MT)),0,([0]!P_1_12.9.6.4 [0]!MT))</f>
        <v>#REF!</v>
      </c>
    </row>
    <row r="827" spans="1:4">
      <c r="A827" s="258" t="s">
        <v>829</v>
      </c>
      <c r="B827" s="259" t="e">
        <f ca="1">IF(ISTEXT(([0]!P_1_12.9.7.1 [0]!Qté)),0,([0]!P_1_12.9.7.1 [0]!Qté))</f>
        <v>#REF!</v>
      </c>
      <c r="C827" s="260" t="e">
        <f ca="1">([0]!P_1_12.9.7.1 [0]!PU)</f>
        <v>#REF!</v>
      </c>
      <c r="D827" s="260" t="e">
        <f ca="1">IF(ISTEXT(([0]!P_1_12.9.7.1 [0]!MT)),0,([0]!P_1_12.9.7.1 [0]!MT))</f>
        <v>#REF!</v>
      </c>
    </row>
    <row r="828" spans="1:4">
      <c r="A828" s="258" t="s">
        <v>830</v>
      </c>
      <c r="B828" s="259" t="e">
        <f ca="1">IF(ISTEXT(([0]!P_1_12.9.7.2 [0]!Qté)),0,([0]!P_1_12.9.7.2 [0]!Qté))</f>
        <v>#REF!</v>
      </c>
      <c r="C828" s="260" t="e">
        <f ca="1">([0]!P_1_12.9.7.2 [0]!PU)</f>
        <v>#REF!</v>
      </c>
      <c r="D828" s="260" t="e">
        <f ca="1">IF(ISTEXT(([0]!P_1_12.9.7.2 [0]!MT)),0,([0]!P_1_12.9.7.2 [0]!MT))</f>
        <v>#REF!</v>
      </c>
    </row>
    <row r="829" spans="1:4">
      <c r="A829" s="258" t="s">
        <v>831</v>
      </c>
      <c r="B829" s="259" t="e">
        <f ca="1">IF(ISTEXT(([0]!P_1_12.9.7.3 [0]!Qté)),0,([0]!P_1_12.9.7.3 [0]!Qté))</f>
        <v>#REF!</v>
      </c>
      <c r="C829" s="260" t="e">
        <f ca="1">([0]!P_1_12.9.7.3 [0]!PU)</f>
        <v>#REF!</v>
      </c>
      <c r="D829" s="260" t="e">
        <f ca="1">IF(ISTEXT(([0]!P_1_12.9.7.3 [0]!MT)),0,([0]!P_1_12.9.7.3 [0]!MT))</f>
        <v>#REF!</v>
      </c>
    </row>
    <row r="830" spans="1:4">
      <c r="A830" s="258" t="s">
        <v>832</v>
      </c>
      <c r="B830" s="259" t="e">
        <f ca="1">IF(ISTEXT(([0]!P_1_12.9.7.4 [0]!Qté)),0,([0]!P_1_12.9.7.4 [0]!Qté))</f>
        <v>#REF!</v>
      </c>
      <c r="C830" s="260" t="e">
        <f ca="1">([0]!P_1_12.9.7.4 [0]!PU)</f>
        <v>#REF!</v>
      </c>
      <c r="D830" s="260" t="e">
        <f ca="1">IF(ISTEXT(([0]!P_1_12.9.7.4 [0]!MT)),0,([0]!P_1_12.9.7.4 [0]!MT))</f>
        <v>#REF!</v>
      </c>
    </row>
    <row r="831" spans="1:4">
      <c r="A831" s="258" t="s">
        <v>833</v>
      </c>
      <c r="B831" s="259" t="e">
        <f ca="1">IF(ISTEXT(([0]!P_1_12.10.1 [0]!Qté)),0,([0]!P_1_12.10.1 [0]!Qté))</f>
        <v>#REF!</v>
      </c>
      <c r="C831" s="260" t="e">
        <f ca="1">([0]!P_1_12.10.1 [0]!PU)</f>
        <v>#REF!</v>
      </c>
      <c r="D831" s="260" t="e">
        <f ca="1">IF(ISTEXT(([0]!P_1_12.10.1 [0]!MT)),0,([0]!P_1_12.10.1 [0]!MT))</f>
        <v>#REF!</v>
      </c>
    </row>
    <row r="832" spans="1:4">
      <c r="A832" s="258" t="s">
        <v>834</v>
      </c>
      <c r="B832" s="259" t="e">
        <f ca="1">IF(ISTEXT(([0]!P_1_12.10.2 [0]!Qté)),0,([0]!P_1_12.10.2 [0]!Qté))</f>
        <v>#REF!</v>
      </c>
      <c r="C832" s="260" t="e">
        <f ca="1">([0]!P_1_12.10.2 [0]!PU)</f>
        <v>#REF!</v>
      </c>
      <c r="D832" s="260" t="e">
        <f ca="1">IF(ISTEXT(([0]!P_1_12.10.2 [0]!MT)),0,([0]!P_1_12.10.2 [0]!MT))</f>
        <v>#REF!</v>
      </c>
    </row>
    <row r="833" spans="1:4">
      <c r="A833" s="258" t="s">
        <v>835</v>
      </c>
      <c r="B833" s="259" t="e">
        <f ca="1">IF(ISTEXT(([0]!P_1_12.10.3 [0]!Qté)),0,([0]!P_1_12.10.3 [0]!Qté))</f>
        <v>#REF!</v>
      </c>
      <c r="C833" s="260" t="e">
        <f ca="1">([0]!P_1_12.10.3 [0]!PU)</f>
        <v>#REF!</v>
      </c>
      <c r="D833" s="260" t="e">
        <f ca="1">IF(ISTEXT(([0]!P_1_12.10.3 [0]!MT)),0,([0]!P_1_12.10.3 [0]!MT))</f>
        <v>#REF!</v>
      </c>
    </row>
    <row r="834" spans="1:4">
      <c r="A834" s="258" t="s">
        <v>836</v>
      </c>
      <c r="B834" s="259" t="e">
        <f ca="1">IF(ISTEXT(([0]!P_1_12.10.4 [0]!Qté)),0,([0]!P_1_12.10.4 [0]!Qté))</f>
        <v>#REF!</v>
      </c>
      <c r="C834" s="260" t="e">
        <f ca="1">([0]!P_1_12.10.4 [0]!PU)</f>
        <v>#REF!</v>
      </c>
      <c r="D834" s="260" t="e">
        <f ca="1">IF(ISTEXT(([0]!P_1_12.10.4 [0]!MT)),0,([0]!P_1_12.10.4 [0]!MT))</f>
        <v>#REF!</v>
      </c>
    </row>
    <row r="835" spans="1:4">
      <c r="A835" s="258" t="s">
        <v>837</v>
      </c>
      <c r="B835" s="259" t="e">
        <f ca="1">IF(ISTEXT(([0]!P_1_12.10.5 [0]!Qté)),0,([0]!P_1_12.10.5 [0]!Qté))</f>
        <v>#REF!</v>
      </c>
      <c r="C835" s="260" t="e">
        <f ca="1">([0]!P_1_12.10.5 [0]!PU)</f>
        <v>#REF!</v>
      </c>
      <c r="D835" s="260" t="e">
        <f ca="1">IF(ISTEXT(([0]!P_1_12.10.5 [0]!MT)),0,([0]!P_1_12.10.5 [0]!MT))</f>
        <v>#REF!</v>
      </c>
    </row>
    <row r="836" spans="1:4">
      <c r="A836" s="258" t="s">
        <v>838</v>
      </c>
      <c r="B836" s="259" t="e">
        <f ca="1">IF(ISTEXT(([0]!P_1_12.11.1 [0]!Qté)),0,([0]!P_1_12.11.1 [0]!Qté))</f>
        <v>#REF!</v>
      </c>
      <c r="C836" s="260" t="e">
        <f ca="1">([0]!P_1_12.11.1 [0]!PU)</f>
        <v>#REF!</v>
      </c>
      <c r="D836" s="260" t="e">
        <f ca="1">IF(ISTEXT(([0]!P_1_12.11.1 [0]!MT)),0,([0]!P_1_12.11.1 [0]!MT))</f>
        <v>#REF!</v>
      </c>
    </row>
    <row r="837" spans="1:4">
      <c r="A837" s="258" t="s">
        <v>839</v>
      </c>
      <c r="B837" s="259" t="e">
        <f ca="1">IF(ISTEXT(([0]!P_1_12.11.2 [0]!Qté)),0,([0]!P_1_12.11.2 [0]!Qté))</f>
        <v>#REF!</v>
      </c>
      <c r="C837" s="260" t="e">
        <f ca="1">([0]!P_1_12.11.2 [0]!PU)</f>
        <v>#REF!</v>
      </c>
      <c r="D837" s="260" t="e">
        <f ca="1">IF(ISTEXT(([0]!P_1_12.11.2 [0]!MT)),0,([0]!P_1_12.11.2 [0]!MT))</f>
        <v>#REF!</v>
      </c>
    </row>
    <row r="838" spans="1:4">
      <c r="A838" s="258" t="s">
        <v>840</v>
      </c>
      <c r="B838" s="259" t="e">
        <f ca="1">IF(ISTEXT(([0]!P_1_12.11.3 [0]!Qté)),0,([0]!P_1_12.11.3 [0]!Qté))</f>
        <v>#REF!</v>
      </c>
      <c r="C838" s="260" t="e">
        <f ca="1">([0]!P_1_12.11.3 [0]!PU)</f>
        <v>#REF!</v>
      </c>
      <c r="D838" s="260" t="e">
        <f ca="1">IF(ISTEXT(([0]!P_1_12.11.3 [0]!MT)),0,([0]!P_1_12.11.3 [0]!MT))</f>
        <v>#REF!</v>
      </c>
    </row>
    <row r="839" spans="1:4">
      <c r="A839" s="258" t="s">
        <v>841</v>
      </c>
      <c r="B839" s="259" t="e">
        <f ca="1">IF(ISTEXT(([0]!P_1_12.11.4 [0]!Qté)),0,([0]!P_1_12.11.4 [0]!Qté))</f>
        <v>#REF!</v>
      </c>
      <c r="C839" s="260" t="e">
        <f ca="1">([0]!P_1_12.11.4 [0]!PU)</f>
        <v>#REF!</v>
      </c>
      <c r="D839" s="260" t="e">
        <f ca="1">IF(ISTEXT(([0]!P_1_12.11.4 [0]!MT)),0,([0]!P_1_12.11.4 [0]!MT))</f>
        <v>#REF!</v>
      </c>
    </row>
    <row r="840" spans="1:4">
      <c r="A840" s="258" t="s">
        <v>842</v>
      </c>
      <c r="B840" s="259" t="e">
        <f ca="1">IF(ISTEXT(([0]!P_1_13.1.1 [0]!Qté)),0,([0]!P_1_13.1.1 [0]!Qté))</f>
        <v>#REF!</v>
      </c>
      <c r="C840" s="260" t="e">
        <f ca="1">([0]!P_1_13.1.1 [0]!PU)</f>
        <v>#REF!</v>
      </c>
      <c r="D840" s="260" t="e">
        <f ca="1">IF(ISTEXT(([0]!P_1_13.1.1 [0]!MT)),0,([0]!P_1_13.1.1 [0]!MT))</f>
        <v>#REF!</v>
      </c>
    </row>
    <row r="841" spans="1:4">
      <c r="A841" s="258" t="s">
        <v>843</v>
      </c>
      <c r="B841" s="259" t="e">
        <f ca="1">IF(ISTEXT(([0]!P_1_13.1.2 [0]!Qté)),0,([0]!P_1_13.1.2 [0]!Qté))</f>
        <v>#REF!</v>
      </c>
      <c r="C841" s="260" t="e">
        <f ca="1">([0]!P_1_13.1.2 [0]!PU)</f>
        <v>#REF!</v>
      </c>
      <c r="D841" s="260" t="e">
        <f ca="1">IF(ISTEXT(([0]!P_1_13.1.2 [0]!MT)),0,([0]!P_1_13.1.2 [0]!MT))</f>
        <v>#REF!</v>
      </c>
    </row>
    <row r="842" spans="1:4">
      <c r="A842" s="258" t="s">
        <v>844</v>
      </c>
      <c r="B842" s="259" t="e">
        <f ca="1">IF(ISTEXT(([0]!P_1_13.1.3 [0]!Qté)),0,([0]!P_1_13.1.3 [0]!Qté))</f>
        <v>#REF!</v>
      </c>
      <c r="C842" s="260" t="e">
        <f ca="1">([0]!P_1_13.1.3 [0]!PU)</f>
        <v>#REF!</v>
      </c>
      <c r="D842" s="260" t="e">
        <f ca="1">IF(ISTEXT(([0]!P_1_13.1.3 [0]!MT)),0,([0]!P_1_13.1.3 [0]!MT))</f>
        <v>#REF!</v>
      </c>
    </row>
    <row r="843" spans="1:4">
      <c r="A843" s="258" t="s">
        <v>845</v>
      </c>
      <c r="B843" s="259" t="e">
        <f ca="1">IF(ISTEXT(([0]!P_1_13.1.4 [0]!Qté)),0,([0]!P_1_13.1.4 [0]!Qté))</f>
        <v>#REF!</v>
      </c>
      <c r="C843" s="260" t="e">
        <f ca="1">([0]!P_1_13.1.4 [0]!PU)</f>
        <v>#REF!</v>
      </c>
      <c r="D843" s="260" t="e">
        <f ca="1">IF(ISTEXT(([0]!P_1_13.1.4 [0]!MT)),0,([0]!P_1_13.1.4 [0]!MT))</f>
        <v>#REF!</v>
      </c>
    </row>
    <row r="844" spans="1:4">
      <c r="A844" s="258" t="s">
        <v>846</v>
      </c>
      <c r="B844" s="259" t="e">
        <f ca="1">IF(ISTEXT(([0]!P_1_13.1.5 [0]!Qté)),0,([0]!P_1_13.1.5 [0]!Qté))</f>
        <v>#REF!</v>
      </c>
      <c r="C844" s="260" t="e">
        <f ca="1">([0]!P_1_13.1.5 [0]!PU)</f>
        <v>#REF!</v>
      </c>
      <c r="D844" s="260" t="e">
        <f ca="1">IF(ISTEXT(([0]!P_1_13.1.5 [0]!MT)),0,([0]!P_1_13.1.5 [0]!MT))</f>
        <v>#REF!</v>
      </c>
    </row>
    <row r="845" spans="1:4">
      <c r="A845" s="258" t="s">
        <v>847</v>
      </c>
      <c r="B845" s="259" t="e">
        <f ca="1">IF(ISTEXT(([0]!P_1_13.1.6 [0]!Qté)),0,([0]!P_1_13.1.6 [0]!Qté))</f>
        <v>#REF!</v>
      </c>
      <c r="C845" s="260" t="e">
        <f ca="1">([0]!P_1_13.1.6 [0]!PU)</f>
        <v>#REF!</v>
      </c>
      <c r="D845" s="260" t="e">
        <f ca="1">IF(ISTEXT(([0]!P_1_13.1.6 [0]!MT)),0,([0]!P_1_13.1.6 [0]!MT))</f>
        <v>#REF!</v>
      </c>
    </row>
    <row r="846" spans="1:4">
      <c r="A846" s="258" t="s">
        <v>848</v>
      </c>
      <c r="B846" s="259" t="e">
        <f ca="1">IF(ISTEXT(([0]!P_1_13.1.7 [0]!Qté)),0,([0]!P_1_13.1.7 [0]!Qté))</f>
        <v>#REF!</v>
      </c>
      <c r="C846" s="260" t="e">
        <f ca="1">([0]!P_1_13.1.7 [0]!PU)</f>
        <v>#REF!</v>
      </c>
      <c r="D846" s="260" t="e">
        <f ca="1">IF(ISTEXT(([0]!P_1_13.1.7 [0]!MT)),0,([0]!P_1_13.1.7 [0]!MT))</f>
        <v>#REF!</v>
      </c>
    </row>
    <row r="847" spans="1:4">
      <c r="A847" s="258" t="s">
        <v>849</v>
      </c>
      <c r="B847" s="259" t="e">
        <f ca="1">IF(ISTEXT(([0]!P_1_13.1.8 [0]!Qté)),0,([0]!P_1_13.1.8 [0]!Qté))</f>
        <v>#REF!</v>
      </c>
      <c r="C847" s="260" t="e">
        <f ca="1">([0]!P_1_13.1.8 [0]!PU)</f>
        <v>#REF!</v>
      </c>
      <c r="D847" s="260" t="e">
        <f ca="1">IF(ISTEXT(([0]!P_1_13.1.8 [0]!MT)),0,([0]!P_1_13.1.8 [0]!MT))</f>
        <v>#REF!</v>
      </c>
    </row>
    <row r="848" spans="1:4">
      <c r="A848" s="258" t="s">
        <v>850</v>
      </c>
      <c r="B848" s="259" t="e">
        <f ca="1">IF(ISTEXT(([0]!P_1_13.1.9 [0]!Qté)),0,([0]!P_1_13.1.9 [0]!Qté))</f>
        <v>#REF!</v>
      </c>
      <c r="C848" s="260" t="e">
        <f ca="1">([0]!P_1_13.1.9 [0]!PU)</f>
        <v>#REF!</v>
      </c>
      <c r="D848" s="260" t="e">
        <f ca="1">IF(ISTEXT(([0]!P_1_13.1.9 [0]!MT)),0,([0]!P_1_13.1.9 [0]!MT))</f>
        <v>#REF!</v>
      </c>
    </row>
    <row r="849" spans="1:4">
      <c r="A849" s="258" t="s">
        <v>851</v>
      </c>
      <c r="B849" s="259" t="e">
        <f ca="1">IF(ISTEXT(([0]!P_1_13.1.10 [0]!Qté)),0,([0]!P_1_13.1.10 [0]!Qté))</f>
        <v>#REF!</v>
      </c>
      <c r="C849" s="260" t="e">
        <f ca="1">([0]!P_1_13.1.10 [0]!PU)</f>
        <v>#REF!</v>
      </c>
      <c r="D849" s="260" t="e">
        <f ca="1">IF(ISTEXT(([0]!P_1_13.1.10 [0]!MT)),0,([0]!P_1_13.1.10 [0]!MT))</f>
        <v>#REF!</v>
      </c>
    </row>
    <row r="850" spans="1:4">
      <c r="A850" s="258" t="s">
        <v>852</v>
      </c>
      <c r="B850" s="259" t="e">
        <f ca="1">IF(ISTEXT(([0]!P_1_13.1.11 [0]!Qté)),0,([0]!P_1_13.1.11 [0]!Qté))</f>
        <v>#REF!</v>
      </c>
      <c r="C850" s="260" t="e">
        <f ca="1">([0]!P_1_13.1.11 [0]!PU)</f>
        <v>#REF!</v>
      </c>
      <c r="D850" s="260" t="e">
        <f ca="1">IF(ISTEXT(([0]!P_1_13.1.11 [0]!MT)),0,([0]!P_1_13.1.11 [0]!MT))</f>
        <v>#REF!</v>
      </c>
    </row>
    <row r="851" spans="1:4">
      <c r="A851" s="258" t="s">
        <v>853</v>
      </c>
      <c r="B851" s="259" t="e">
        <f ca="1">IF(ISTEXT(([0]!P_1_13.1.12 [0]!Qté)),0,([0]!P_1_13.1.12 [0]!Qté))</f>
        <v>#REF!</v>
      </c>
      <c r="C851" s="260" t="e">
        <f ca="1">([0]!P_1_13.1.12 [0]!PU)</f>
        <v>#REF!</v>
      </c>
      <c r="D851" s="260" t="e">
        <f ca="1">IF(ISTEXT(([0]!P_1_13.1.12 [0]!MT)),0,([0]!P_1_13.1.12 [0]!MT))</f>
        <v>#REF!</v>
      </c>
    </row>
    <row r="852" spans="1:4">
      <c r="A852" s="258" t="s">
        <v>854</v>
      </c>
      <c r="B852" s="259" t="e">
        <f ca="1">IF(ISTEXT(([0]!P_1_13.1.13 [0]!Qté)),0,([0]!P_1_13.1.13 [0]!Qté))</f>
        <v>#REF!</v>
      </c>
      <c r="C852" s="260" t="e">
        <f ca="1">([0]!P_1_13.1.13 [0]!PU)</f>
        <v>#REF!</v>
      </c>
      <c r="D852" s="260" t="e">
        <f ca="1">IF(ISTEXT(([0]!P_1_13.1.13 [0]!MT)),0,([0]!P_1_13.1.13 [0]!MT))</f>
        <v>#REF!</v>
      </c>
    </row>
    <row r="853" spans="1:4">
      <c r="A853" s="258" t="s">
        <v>855</v>
      </c>
      <c r="B853" s="259" t="e">
        <f ca="1">IF(ISTEXT(([0]!P_1_13.2.1 [0]!Qté)),0,([0]!P_1_13.2.1 [0]!Qté))</f>
        <v>#REF!</v>
      </c>
      <c r="C853" s="260" t="e">
        <f ca="1">([0]!P_1_13.2.1 [0]!PU)</f>
        <v>#REF!</v>
      </c>
      <c r="D853" s="260" t="e">
        <f ca="1">IF(ISTEXT(([0]!P_1_13.2.1 [0]!MT)),0,([0]!P_1_13.2.1 [0]!MT))</f>
        <v>#REF!</v>
      </c>
    </row>
    <row r="854" spans="1:4">
      <c r="A854" s="258" t="s">
        <v>856</v>
      </c>
      <c r="B854" s="259" t="e">
        <f ca="1">IF(ISTEXT(([0]!P_1_13.2.2 [0]!Qté)),0,([0]!P_1_13.2.2 [0]!Qté))</f>
        <v>#REF!</v>
      </c>
      <c r="C854" s="260" t="e">
        <f ca="1">([0]!P_1_13.2.2 [0]!PU)</f>
        <v>#REF!</v>
      </c>
      <c r="D854" s="260" t="e">
        <f ca="1">IF(ISTEXT(([0]!P_1_13.2.2 [0]!MT)),0,([0]!P_1_13.2.2 [0]!MT))</f>
        <v>#REF!</v>
      </c>
    </row>
    <row r="855" spans="1:4">
      <c r="A855" s="258" t="s">
        <v>857</v>
      </c>
      <c r="B855" s="259" t="e">
        <f ca="1">IF(ISTEXT(([0]!P_1_13.2.3 [0]!Qté)),0,([0]!P_1_13.2.3 [0]!Qté))</f>
        <v>#REF!</v>
      </c>
      <c r="C855" s="260" t="e">
        <f ca="1">([0]!P_1_13.2.3 [0]!PU)</f>
        <v>#REF!</v>
      </c>
      <c r="D855" s="260" t="e">
        <f ca="1">IF(ISTEXT(([0]!P_1_13.2.3 [0]!MT)),0,([0]!P_1_13.2.3 [0]!MT))</f>
        <v>#REF!</v>
      </c>
    </row>
    <row r="856" spans="1:4">
      <c r="A856" s="258" t="s">
        <v>858</v>
      </c>
      <c r="B856" s="259" t="e">
        <f ca="1">IF(ISTEXT(([0]!P_1_13.2.4 [0]!Qté)),0,([0]!P_1_13.2.4 [0]!Qté))</f>
        <v>#REF!</v>
      </c>
      <c r="C856" s="260" t="e">
        <f ca="1">([0]!P_1_13.2.4 [0]!PU)</f>
        <v>#REF!</v>
      </c>
      <c r="D856" s="260" t="e">
        <f ca="1">IF(ISTEXT(([0]!P_1_13.2.4 [0]!MT)),0,([0]!P_1_13.2.4 [0]!MT))</f>
        <v>#REF!</v>
      </c>
    </row>
    <row r="857" spans="1:4">
      <c r="A857" s="258" t="s">
        <v>859</v>
      </c>
      <c r="B857" s="259" t="e">
        <f ca="1">IF(ISTEXT(([0]!P_1_13.2.5 [0]!Qté)),0,([0]!P_1_13.2.5 [0]!Qté))</f>
        <v>#REF!</v>
      </c>
      <c r="C857" s="260" t="e">
        <f ca="1">([0]!P_1_13.2.5 [0]!PU)</f>
        <v>#REF!</v>
      </c>
      <c r="D857" s="260" t="e">
        <f ca="1">IF(ISTEXT(([0]!P_1_13.2.5 [0]!MT)),0,([0]!P_1_13.2.5 [0]!MT))</f>
        <v>#REF!</v>
      </c>
    </row>
    <row r="858" spans="1:4">
      <c r="A858" s="258" t="s">
        <v>860</v>
      </c>
      <c r="B858" s="259" t="e">
        <f ca="1">IF(ISTEXT(([0]!P_1_13.2.6 [0]!Qté)),0,([0]!P_1_13.2.6 [0]!Qté))</f>
        <v>#REF!</v>
      </c>
      <c r="C858" s="260" t="e">
        <f ca="1">([0]!P_1_13.2.6 [0]!PU)</f>
        <v>#REF!</v>
      </c>
      <c r="D858" s="260" t="e">
        <f ca="1">IF(ISTEXT(([0]!P_1_13.2.6 [0]!MT)),0,([0]!P_1_13.2.6 [0]!MT))</f>
        <v>#REF!</v>
      </c>
    </row>
    <row r="859" spans="1:4">
      <c r="A859" s="258" t="s">
        <v>861</v>
      </c>
      <c r="B859" s="259" t="e">
        <f ca="1">IF(ISTEXT(([0]!P_1_13.2.7 [0]!Qté)),0,([0]!P_1_13.2.7 [0]!Qté))</f>
        <v>#REF!</v>
      </c>
      <c r="C859" s="260" t="e">
        <f ca="1">([0]!P_1_13.2.7 [0]!PU)</f>
        <v>#REF!</v>
      </c>
      <c r="D859" s="260" t="e">
        <f ca="1">IF(ISTEXT(([0]!P_1_13.2.7 [0]!MT)),0,([0]!P_1_13.2.7 [0]!MT))</f>
        <v>#REF!</v>
      </c>
    </row>
    <row r="860" spans="1:4">
      <c r="A860" s="258" t="s">
        <v>862</v>
      </c>
      <c r="B860" s="259" t="e">
        <f ca="1">IF(ISTEXT(([0]!P_1_13.2.8 [0]!Qté)),0,([0]!P_1_13.2.8 [0]!Qté))</f>
        <v>#REF!</v>
      </c>
      <c r="C860" s="260" t="e">
        <f ca="1">([0]!P_1_13.2.8 [0]!PU)</f>
        <v>#REF!</v>
      </c>
      <c r="D860" s="260" t="e">
        <f ca="1">IF(ISTEXT(([0]!P_1_13.2.8 [0]!MT)),0,([0]!P_1_13.2.8 [0]!MT))</f>
        <v>#REF!</v>
      </c>
    </row>
    <row r="861" spans="1:4">
      <c r="A861" s="258" t="s">
        <v>863</v>
      </c>
      <c r="B861" s="259" t="e">
        <f ca="1">IF(ISTEXT(([0]!P_1_13.2.9 [0]!Qté)),0,([0]!P_1_13.2.9 [0]!Qté))</f>
        <v>#REF!</v>
      </c>
      <c r="C861" s="260" t="e">
        <f ca="1">([0]!P_1_13.2.9 [0]!PU)</f>
        <v>#REF!</v>
      </c>
      <c r="D861" s="260" t="e">
        <f ca="1">IF(ISTEXT(([0]!P_1_13.2.9 [0]!MT)),0,([0]!P_1_13.2.9 [0]!MT))</f>
        <v>#REF!</v>
      </c>
    </row>
    <row r="862" spans="1:4">
      <c r="A862" s="258" t="s">
        <v>864</v>
      </c>
      <c r="B862" s="259" t="e">
        <f ca="1">IF(ISTEXT(([0]!P_1_13.2.10 [0]!Qté)),0,([0]!P_1_13.2.10 [0]!Qté))</f>
        <v>#REF!</v>
      </c>
      <c r="C862" s="260" t="e">
        <f ca="1">([0]!P_1_13.2.10 [0]!PU)</f>
        <v>#REF!</v>
      </c>
      <c r="D862" s="260" t="e">
        <f ca="1">IF(ISTEXT(([0]!P_1_13.2.10 [0]!MT)),0,([0]!P_1_13.2.10 [0]!MT))</f>
        <v>#REF!</v>
      </c>
    </row>
    <row r="863" spans="1:4">
      <c r="A863" s="258" t="s">
        <v>865</v>
      </c>
      <c r="B863" s="259" t="e">
        <f ca="1">IF(ISTEXT(([0]!P_1_13.3.1 [0]!Qté)),0,([0]!P_1_13.3.1 [0]!Qté))</f>
        <v>#REF!</v>
      </c>
      <c r="C863" s="260" t="e">
        <f ca="1">([0]!P_1_13.3.1 [0]!PU)</f>
        <v>#REF!</v>
      </c>
      <c r="D863" s="260" t="e">
        <f ca="1">IF(ISTEXT(([0]!P_1_13.3.1 [0]!MT)),0,([0]!P_1_13.3.1 [0]!MT))</f>
        <v>#REF!</v>
      </c>
    </row>
    <row r="864" spans="1:4">
      <c r="A864" s="258" t="s">
        <v>866</v>
      </c>
      <c r="B864" s="259" t="e">
        <f ca="1">IF(ISTEXT(([0]!P_1_13.3.2 [0]!Qté)),0,([0]!P_1_13.3.2 [0]!Qté))</f>
        <v>#REF!</v>
      </c>
      <c r="C864" s="260" t="e">
        <f ca="1">([0]!P_1_13.3.2 [0]!PU)</f>
        <v>#REF!</v>
      </c>
      <c r="D864" s="260" t="e">
        <f ca="1">IF(ISTEXT(([0]!P_1_13.3.2 [0]!MT)),0,([0]!P_1_13.3.2 [0]!MT))</f>
        <v>#REF!</v>
      </c>
    </row>
    <row r="865" spans="1:4">
      <c r="A865" s="258" t="s">
        <v>867</v>
      </c>
      <c r="B865" s="259" t="e">
        <f ca="1">IF(ISTEXT(([0]!P_1_13.3.3 [0]!Qté)),0,([0]!P_1_13.3.3 [0]!Qté))</f>
        <v>#REF!</v>
      </c>
      <c r="C865" s="260" t="e">
        <f ca="1">([0]!P_1_13.3.3 [0]!PU)</f>
        <v>#REF!</v>
      </c>
      <c r="D865" s="260" t="e">
        <f ca="1">IF(ISTEXT(([0]!P_1_13.3.3 [0]!MT)),0,([0]!P_1_13.3.3 [0]!MT))</f>
        <v>#REF!</v>
      </c>
    </row>
    <row r="866" spans="1:4">
      <c r="A866" s="258" t="s">
        <v>868</v>
      </c>
      <c r="B866" s="259" t="e">
        <f ca="1">IF(ISTEXT(([0]!P_1_13.3.4 [0]!Qté)),0,([0]!P_1_13.3.4 [0]!Qté))</f>
        <v>#REF!</v>
      </c>
      <c r="C866" s="260" t="e">
        <f ca="1">([0]!P_1_13.3.4 [0]!PU)</f>
        <v>#REF!</v>
      </c>
      <c r="D866" s="260" t="e">
        <f ca="1">IF(ISTEXT(([0]!P_1_13.3.4 [0]!MT)),0,([0]!P_1_13.3.4 [0]!MT))</f>
        <v>#REF!</v>
      </c>
    </row>
    <row r="867" spans="1:4">
      <c r="A867" s="258" t="s">
        <v>869</v>
      </c>
      <c r="B867" s="259" t="e">
        <f ca="1">IF(ISTEXT(([0]!P_1_13.3.5 [0]!Qté)),0,([0]!P_1_13.3.5 [0]!Qté))</f>
        <v>#REF!</v>
      </c>
      <c r="C867" s="260" t="e">
        <f ca="1">([0]!P_1_13.3.5 [0]!PU)</f>
        <v>#REF!</v>
      </c>
      <c r="D867" s="260" t="e">
        <f ca="1">IF(ISTEXT(([0]!P_1_13.3.5 [0]!MT)),0,([0]!P_1_13.3.5 [0]!MT))</f>
        <v>#REF!</v>
      </c>
    </row>
    <row r="868" spans="1:4">
      <c r="A868" s="258" t="s">
        <v>870</v>
      </c>
      <c r="B868" s="259" t="e">
        <f ca="1">IF(ISTEXT(([0]!P_1_13.3.6 [0]!Qté)),0,([0]!P_1_13.3.6 [0]!Qté))</f>
        <v>#REF!</v>
      </c>
      <c r="C868" s="260" t="e">
        <f ca="1">([0]!P_1_13.3.6 [0]!PU)</f>
        <v>#REF!</v>
      </c>
      <c r="D868" s="260" t="e">
        <f ca="1">IF(ISTEXT(([0]!P_1_13.3.6 [0]!MT)),0,([0]!P_1_13.3.6 [0]!MT))</f>
        <v>#REF!</v>
      </c>
    </row>
    <row r="869" spans="1:4">
      <c r="A869" s="258" t="s">
        <v>871</v>
      </c>
      <c r="B869" s="259" t="e">
        <f ca="1">IF(ISTEXT(([0]!P_1_13.3.7 [0]!Qté)),0,([0]!P_1_13.3.7 [0]!Qté))</f>
        <v>#REF!</v>
      </c>
      <c r="C869" s="260" t="e">
        <f ca="1">([0]!P_1_13.3.7 [0]!PU)</f>
        <v>#REF!</v>
      </c>
      <c r="D869" s="260" t="e">
        <f ca="1">IF(ISTEXT(([0]!P_1_13.3.7 [0]!MT)),0,([0]!P_1_13.3.7 [0]!MT))</f>
        <v>#REF!</v>
      </c>
    </row>
    <row r="870" spans="1:4">
      <c r="A870" s="258" t="s">
        <v>872</v>
      </c>
      <c r="B870" s="259" t="e">
        <f ca="1">IF(ISTEXT(([0]!P_1_13.3.8 [0]!Qté)),0,([0]!P_1_13.3.8 [0]!Qté))</f>
        <v>#REF!</v>
      </c>
      <c r="C870" s="260" t="e">
        <f ca="1">([0]!P_1_13.3.8 [0]!PU)</f>
        <v>#REF!</v>
      </c>
      <c r="D870" s="260" t="e">
        <f ca="1">IF(ISTEXT(([0]!P_1_13.3.8 [0]!MT)),0,([0]!P_1_13.3.8 [0]!MT))</f>
        <v>#REF!</v>
      </c>
    </row>
    <row r="871" spans="1:4">
      <c r="A871" s="258" t="s">
        <v>873</v>
      </c>
      <c r="B871" s="259" t="e">
        <f ca="1">IF(ISTEXT(([0]!P_1_13.3.9 [0]!Qté)),0,([0]!P_1_13.3.9 [0]!Qté))</f>
        <v>#REF!</v>
      </c>
      <c r="C871" s="260" t="e">
        <f ca="1">([0]!P_1_13.3.9 [0]!PU)</f>
        <v>#REF!</v>
      </c>
      <c r="D871" s="260" t="e">
        <f ca="1">IF(ISTEXT(([0]!P_1_13.3.9 [0]!MT)),0,([0]!P_1_13.3.9 [0]!MT))</f>
        <v>#REF!</v>
      </c>
    </row>
    <row r="872" spans="1:4">
      <c r="A872" s="258" t="s">
        <v>874</v>
      </c>
      <c r="B872" s="259" t="e">
        <f ca="1">IF(ISTEXT(([0]!P_1_13.3.10 [0]!Qté)),0,([0]!P_1_13.3.10 [0]!Qté))</f>
        <v>#REF!</v>
      </c>
      <c r="C872" s="260" t="e">
        <f ca="1">([0]!P_1_13.3.10 [0]!PU)</f>
        <v>#REF!</v>
      </c>
      <c r="D872" s="260" t="e">
        <f ca="1">IF(ISTEXT(([0]!P_1_13.3.10 [0]!MT)),0,([0]!P_1_13.3.10 [0]!MT))</f>
        <v>#REF!</v>
      </c>
    </row>
    <row r="873" spans="1:4">
      <c r="A873" s="258" t="s">
        <v>875</v>
      </c>
      <c r="B873" s="259" t="e">
        <f ca="1">IF(ISTEXT(([0]!P_1_13.4.1 [0]!Qté)),0,([0]!P_1_13.4.1 [0]!Qté))</f>
        <v>#REF!</v>
      </c>
      <c r="C873" s="260" t="e">
        <f ca="1">([0]!P_1_13.4.1 [0]!PU)</f>
        <v>#REF!</v>
      </c>
      <c r="D873" s="260" t="e">
        <f ca="1">IF(ISTEXT(([0]!P_1_13.4.1 [0]!MT)),0,([0]!P_1_13.4.1 [0]!MT))</f>
        <v>#REF!</v>
      </c>
    </row>
    <row r="874" spans="1:4">
      <c r="A874" s="258" t="s">
        <v>876</v>
      </c>
      <c r="B874" s="259" t="e">
        <f ca="1">IF(ISTEXT(([0]!P_1_13.4.2 [0]!Qté)),0,([0]!P_1_13.4.2 [0]!Qté))</f>
        <v>#REF!</v>
      </c>
      <c r="C874" s="260" t="e">
        <f ca="1">([0]!P_1_13.4.2 [0]!PU)</f>
        <v>#REF!</v>
      </c>
      <c r="D874" s="260" t="e">
        <f ca="1">IF(ISTEXT(([0]!P_1_13.4.2 [0]!MT)),0,([0]!P_1_13.4.2 [0]!MT))</f>
        <v>#REF!</v>
      </c>
    </row>
    <row r="875" spans="1:4">
      <c r="A875" s="258" t="s">
        <v>877</v>
      </c>
      <c r="B875" s="259" t="e">
        <f ca="1">IF(ISTEXT(([0]!P_1_13.4.3 [0]!Qté)),0,([0]!P_1_13.4.3 [0]!Qté))</f>
        <v>#REF!</v>
      </c>
      <c r="C875" s="260" t="e">
        <f ca="1">([0]!P_1_13.4.3 [0]!PU)</f>
        <v>#REF!</v>
      </c>
      <c r="D875" s="260" t="e">
        <f ca="1">IF(ISTEXT(([0]!P_1_13.4.3 [0]!MT)),0,([0]!P_1_13.4.3 [0]!MT))</f>
        <v>#REF!</v>
      </c>
    </row>
    <row r="876" spans="1:4">
      <c r="A876" s="258" t="s">
        <v>878</v>
      </c>
      <c r="B876" s="259" t="e">
        <f ca="1">IF(ISTEXT(([0]!P_1_13.5.1 [0]!Qté)),0,([0]!P_1_13.5.1 [0]!Qté))</f>
        <v>#REF!</v>
      </c>
      <c r="C876" s="260" t="e">
        <f ca="1">([0]!P_1_13.5.1 [0]!PU)</f>
        <v>#REF!</v>
      </c>
      <c r="D876" s="260" t="e">
        <f ca="1">IF(ISTEXT(([0]!P_1_13.5.1 [0]!MT)),0,([0]!P_1_13.5.1 [0]!MT))</f>
        <v>#REF!</v>
      </c>
    </row>
    <row r="877" spans="1:4">
      <c r="A877" s="258" t="s">
        <v>879</v>
      </c>
      <c r="B877" s="259" t="e">
        <f ca="1">IF(ISTEXT(([0]!P_1_13.5.2 [0]!Qté)),0,([0]!P_1_13.5.2 [0]!Qté))</f>
        <v>#REF!</v>
      </c>
      <c r="C877" s="260" t="e">
        <f ca="1">([0]!P_1_13.5.2 [0]!PU)</f>
        <v>#REF!</v>
      </c>
      <c r="D877" s="260" t="e">
        <f ca="1">IF(ISTEXT(([0]!P_1_13.5.2 [0]!MT)),0,([0]!P_1_13.5.2 [0]!MT))</f>
        <v>#REF!</v>
      </c>
    </row>
    <row r="878" spans="1:4">
      <c r="A878" s="258" t="s">
        <v>880</v>
      </c>
      <c r="B878" s="259" t="e">
        <f ca="1">IF(ISTEXT(([0]!P_1_13.5.3 [0]!Qté)),0,([0]!P_1_13.5.3 [0]!Qté))</f>
        <v>#REF!</v>
      </c>
      <c r="C878" s="260" t="e">
        <f ca="1">([0]!P_1_13.5.3 [0]!PU)</f>
        <v>#REF!</v>
      </c>
      <c r="D878" s="260" t="e">
        <f ca="1">IF(ISTEXT(([0]!P_1_13.5.3 [0]!MT)),0,([0]!P_1_13.5.3 [0]!MT))</f>
        <v>#REF!</v>
      </c>
    </row>
    <row r="879" spans="1:4">
      <c r="A879" s="258" t="s">
        <v>881</v>
      </c>
      <c r="B879" s="259" t="e">
        <f ca="1">IF(ISTEXT(([0]!P_1_13.5.4 [0]!Qté)),0,([0]!P_1_13.5.4 [0]!Qté))</f>
        <v>#REF!</v>
      </c>
      <c r="C879" s="260" t="e">
        <f ca="1">([0]!P_1_13.5.4 [0]!PU)</f>
        <v>#REF!</v>
      </c>
      <c r="D879" s="260" t="e">
        <f ca="1">IF(ISTEXT(([0]!P_1_13.5.4 [0]!MT)),0,([0]!P_1_13.5.4 [0]!MT))</f>
        <v>#REF!</v>
      </c>
    </row>
    <row r="880" spans="1:4">
      <c r="A880" s="258" t="s">
        <v>882</v>
      </c>
      <c r="B880" s="259" t="e">
        <f ca="1">IF(ISTEXT(([0]!P_1_13.6.1 [0]!Qté)),0,([0]!P_1_13.6.1 [0]!Qté))</f>
        <v>#REF!</v>
      </c>
      <c r="C880" s="260" t="e">
        <f ca="1">([0]!P_1_13.6.1 [0]!PU)</f>
        <v>#REF!</v>
      </c>
      <c r="D880" s="260" t="e">
        <f ca="1">IF(ISTEXT(([0]!P_1_13.6.1 [0]!MT)),0,([0]!P_1_13.6.1 [0]!MT))</f>
        <v>#REF!</v>
      </c>
    </row>
    <row r="881" spans="1:4">
      <c r="A881" s="258" t="s">
        <v>883</v>
      </c>
      <c r="B881" s="259" t="e">
        <f ca="1">IF(ISTEXT(([0]!P_1_13.6.2 [0]!Qté)),0,([0]!P_1_13.6.2 [0]!Qté))</f>
        <v>#REF!</v>
      </c>
      <c r="C881" s="260" t="e">
        <f ca="1">([0]!P_1_13.6.2 [0]!PU)</f>
        <v>#REF!</v>
      </c>
      <c r="D881" s="260" t="e">
        <f ca="1">IF(ISTEXT(([0]!P_1_13.6.2 [0]!MT)),0,([0]!P_1_13.6.2 [0]!MT))</f>
        <v>#REF!</v>
      </c>
    </row>
    <row r="882" spans="1:4">
      <c r="A882" s="258" t="s">
        <v>884</v>
      </c>
      <c r="B882" s="259" t="e">
        <f ca="1">IF(ISTEXT(([0]!P_1_13.6.3 [0]!Qté)),0,([0]!P_1_13.6.3 [0]!Qté))</f>
        <v>#REF!</v>
      </c>
      <c r="C882" s="260" t="e">
        <f ca="1">([0]!P_1_13.6.3 [0]!PU)</f>
        <v>#REF!</v>
      </c>
      <c r="D882" s="260" t="e">
        <f ca="1">IF(ISTEXT(([0]!P_1_13.6.3 [0]!MT)),0,([0]!P_1_13.6.3 [0]!MT))</f>
        <v>#REF!</v>
      </c>
    </row>
    <row r="883" spans="1:4">
      <c r="A883" s="258" t="s">
        <v>885</v>
      </c>
      <c r="B883" s="259" t="e">
        <f ca="1">IF(ISTEXT(([0]!P_1_13.6.4 [0]!Qté)),0,([0]!P_1_13.6.4 [0]!Qté))</f>
        <v>#REF!</v>
      </c>
      <c r="C883" s="260" t="e">
        <f ca="1">([0]!P_1_13.6.4 [0]!PU)</f>
        <v>#REF!</v>
      </c>
      <c r="D883" s="260" t="e">
        <f ca="1">IF(ISTEXT(([0]!P_1_13.6.4 [0]!MT)),0,([0]!P_1_13.6.4 [0]!MT))</f>
        <v>#REF!</v>
      </c>
    </row>
    <row r="884" spans="1:4">
      <c r="A884" s="258" t="s">
        <v>886</v>
      </c>
      <c r="B884" s="259" t="e">
        <f ca="1">IF(ISTEXT(([0]!P_1_13.6.5 [0]!Qté)),0,([0]!P_1_13.6.5 [0]!Qté))</f>
        <v>#REF!</v>
      </c>
      <c r="C884" s="260" t="e">
        <f ca="1">([0]!P_1_13.6.5 [0]!PU)</f>
        <v>#REF!</v>
      </c>
      <c r="D884" s="260" t="e">
        <f ca="1">IF(ISTEXT(([0]!P_1_13.6.5 [0]!MT)),0,([0]!P_1_13.6.5 [0]!MT))</f>
        <v>#REF!</v>
      </c>
    </row>
    <row r="885" spans="1:4">
      <c r="A885" s="258" t="s">
        <v>887</v>
      </c>
      <c r="B885" s="259" t="e">
        <f ca="1">IF(ISTEXT(([0]!P_1_13.6.6 [0]!Qté)),0,([0]!P_1_13.6.6 [0]!Qté))</f>
        <v>#REF!</v>
      </c>
      <c r="C885" s="260" t="e">
        <f ca="1">([0]!P_1_13.6.6 [0]!PU)</f>
        <v>#REF!</v>
      </c>
      <c r="D885" s="260" t="e">
        <f ca="1">IF(ISTEXT(([0]!P_1_13.6.6 [0]!MT)),0,([0]!P_1_13.6.6 [0]!MT))</f>
        <v>#REF!</v>
      </c>
    </row>
    <row r="886" spans="1:4">
      <c r="A886" s="258" t="s">
        <v>888</v>
      </c>
      <c r="B886" s="259" t="e">
        <f ca="1">IF(ISTEXT(([0]!P_1_13.6.7 [0]!Qté)),0,([0]!P_1_13.6.7 [0]!Qté))</f>
        <v>#REF!</v>
      </c>
      <c r="C886" s="260" t="e">
        <f ca="1">([0]!P_1_13.6.7 [0]!PU)</f>
        <v>#REF!</v>
      </c>
      <c r="D886" s="260" t="e">
        <f ca="1">IF(ISTEXT(([0]!P_1_13.6.7 [0]!MT)),0,([0]!P_1_13.6.7 [0]!MT))</f>
        <v>#REF!</v>
      </c>
    </row>
    <row r="887" spans="1:4">
      <c r="A887" s="258" t="s">
        <v>889</v>
      </c>
      <c r="B887" s="259" t="e">
        <f ca="1">IF(ISTEXT(([0]!P_1_13.6.8 [0]!Qté)),0,([0]!P_1_13.6.8 [0]!Qté))</f>
        <v>#REF!</v>
      </c>
      <c r="C887" s="260" t="e">
        <f ca="1">([0]!P_1_13.6.8 [0]!PU)</f>
        <v>#REF!</v>
      </c>
      <c r="D887" s="260" t="e">
        <f ca="1">IF(ISTEXT(([0]!P_1_13.6.8 [0]!MT)),0,([0]!P_1_13.6.8 [0]!MT))</f>
        <v>#REF!</v>
      </c>
    </row>
    <row r="888" spans="1:4">
      <c r="A888" s="258" t="s">
        <v>890</v>
      </c>
      <c r="B888" s="259" t="e">
        <f ca="1">IF(ISTEXT(([0]!P_1_13.6.9 [0]!Qté)),0,([0]!P_1_13.6.9 [0]!Qté))</f>
        <v>#REF!</v>
      </c>
      <c r="C888" s="260" t="e">
        <f ca="1">([0]!P_1_13.6.9 [0]!PU)</f>
        <v>#REF!</v>
      </c>
      <c r="D888" s="260" t="e">
        <f ca="1">IF(ISTEXT(([0]!P_1_13.6.9 [0]!MT)),0,([0]!P_1_13.6.9 [0]!MT))</f>
        <v>#REF!</v>
      </c>
    </row>
    <row r="889" spans="1:4">
      <c r="A889" s="258" t="s">
        <v>891</v>
      </c>
      <c r="B889" s="259" t="e">
        <f ca="1">IF(ISTEXT(([0]!P_1_13.6.10 [0]!Qté)),0,([0]!P_1_13.6.10 [0]!Qté))</f>
        <v>#REF!</v>
      </c>
      <c r="C889" s="260" t="e">
        <f ca="1">([0]!P_1_13.6.10 [0]!PU)</f>
        <v>#REF!</v>
      </c>
      <c r="D889" s="260" t="e">
        <f ca="1">IF(ISTEXT(([0]!P_1_13.6.10 [0]!MT)),0,([0]!P_1_13.6.10 [0]!MT))</f>
        <v>#REF!</v>
      </c>
    </row>
    <row r="890" spans="1:4">
      <c r="A890" s="258" t="s">
        <v>892</v>
      </c>
      <c r="B890" s="259" t="e">
        <f ca="1">IF(ISTEXT(([0]!P_1_13.6.11 [0]!Qté)),0,([0]!P_1_13.6.11 [0]!Qté))</f>
        <v>#REF!</v>
      </c>
      <c r="C890" s="260" t="e">
        <f ca="1">([0]!P_1_13.6.11 [0]!PU)</f>
        <v>#REF!</v>
      </c>
      <c r="D890" s="260" t="e">
        <f ca="1">IF(ISTEXT(([0]!P_1_13.6.11 [0]!MT)),0,([0]!P_1_13.6.11 [0]!MT))</f>
        <v>#REF!</v>
      </c>
    </row>
    <row r="891" spans="1:4">
      <c r="A891" s="258" t="s">
        <v>893</v>
      </c>
      <c r="B891" s="259" t="e">
        <f ca="1">IF(ISTEXT(([0]!P_1_13.6.12 [0]!Qté)),0,([0]!P_1_13.6.12 [0]!Qté))</f>
        <v>#REF!</v>
      </c>
      <c r="C891" s="260" t="e">
        <f ca="1">([0]!P_1_13.6.12 [0]!PU)</f>
        <v>#REF!</v>
      </c>
      <c r="D891" s="260" t="e">
        <f ca="1">IF(ISTEXT(([0]!P_1_13.6.12 [0]!MT)),0,([0]!P_1_13.6.12 [0]!MT))</f>
        <v>#REF!</v>
      </c>
    </row>
    <row r="892" spans="1:4">
      <c r="A892" s="258" t="s">
        <v>894</v>
      </c>
      <c r="B892" s="259" t="e">
        <f ca="1">IF(ISTEXT(([0]!P_1_13.6.13 [0]!Qté)),0,([0]!P_1_13.6.13 [0]!Qté))</f>
        <v>#REF!</v>
      </c>
      <c r="C892" s="260" t="e">
        <f ca="1">([0]!P_1_13.6.13 [0]!PU)</f>
        <v>#REF!</v>
      </c>
      <c r="D892" s="260" t="e">
        <f ca="1">IF(ISTEXT(([0]!P_1_13.6.13 [0]!MT)),0,([0]!P_1_13.6.13 [0]!MT))</f>
        <v>#REF!</v>
      </c>
    </row>
    <row r="893" spans="1:4">
      <c r="A893" s="258" t="s">
        <v>895</v>
      </c>
      <c r="B893" s="259" t="e">
        <f ca="1">IF(ISTEXT(([0]!P_1_13.6.14 [0]!Qté)),0,([0]!P_1_13.6.14 [0]!Qté))</f>
        <v>#REF!</v>
      </c>
      <c r="C893" s="260" t="e">
        <f ca="1">([0]!P_1_13.6.14 [0]!PU)</f>
        <v>#REF!</v>
      </c>
      <c r="D893" s="260" t="e">
        <f ca="1">IF(ISTEXT(([0]!P_1_13.6.14 [0]!MT)),0,([0]!P_1_13.6.14 [0]!MT))</f>
        <v>#REF!</v>
      </c>
    </row>
    <row r="894" spans="1:4">
      <c r="A894" s="258" t="s">
        <v>896</v>
      </c>
      <c r="B894" s="259" t="e">
        <f ca="1">IF(ISTEXT(([0]!P_1_13.6.15 [0]!Qté)),0,([0]!P_1_13.6.15 [0]!Qté))</f>
        <v>#REF!</v>
      </c>
      <c r="C894" s="260" t="e">
        <f ca="1">([0]!P_1_13.6.15 [0]!PU)</f>
        <v>#REF!</v>
      </c>
      <c r="D894" s="260" t="e">
        <f ca="1">IF(ISTEXT(([0]!P_1_13.6.15 [0]!MT)),0,([0]!P_1_13.6.15 [0]!MT))</f>
        <v>#REF!</v>
      </c>
    </row>
    <row r="895" spans="1:4">
      <c r="A895" s="258" t="s">
        <v>897</v>
      </c>
      <c r="B895" s="259" t="e">
        <f ca="1">IF(ISTEXT(([0]!P_1_13.6.16 [0]!Qté)),0,([0]!P_1_13.6.16 [0]!Qté))</f>
        <v>#REF!</v>
      </c>
      <c r="C895" s="260" t="e">
        <f ca="1">([0]!P_1_13.6.16 [0]!PU)</f>
        <v>#REF!</v>
      </c>
      <c r="D895" s="260" t="e">
        <f ca="1">IF(ISTEXT(([0]!P_1_13.6.16 [0]!MT)),0,([0]!P_1_13.6.16 [0]!MT))</f>
        <v>#REF!</v>
      </c>
    </row>
    <row r="896" spans="1:4">
      <c r="A896" s="258" t="s">
        <v>898</v>
      </c>
      <c r="B896" s="259" t="e">
        <f ca="1">IF(ISTEXT(([0]!P_1_13.6.17 [0]!Qté)),0,([0]!P_1_13.6.17 [0]!Qté))</f>
        <v>#REF!</v>
      </c>
      <c r="C896" s="260" t="e">
        <f ca="1">([0]!P_1_13.6.17 [0]!PU)</f>
        <v>#REF!</v>
      </c>
      <c r="D896" s="260" t="e">
        <f ca="1">IF(ISTEXT(([0]!P_1_13.6.17 [0]!MT)),0,([0]!P_1_13.6.17 [0]!MT))</f>
        <v>#REF!</v>
      </c>
    </row>
    <row r="897" spans="1:4">
      <c r="A897" s="258" t="s">
        <v>899</v>
      </c>
      <c r="B897" s="259" t="e">
        <f ca="1">IF(ISTEXT(([0]!P_1_13.6.18 [0]!Qté)),0,([0]!P_1_13.6.18 [0]!Qté))</f>
        <v>#REF!</v>
      </c>
      <c r="C897" s="260" t="e">
        <f ca="1">([0]!P_1_13.6.18 [0]!PU)</f>
        <v>#REF!</v>
      </c>
      <c r="D897" s="260" t="e">
        <f ca="1">IF(ISTEXT(([0]!P_1_13.6.18 [0]!MT)),0,([0]!P_1_13.6.18 [0]!MT))</f>
        <v>#REF!</v>
      </c>
    </row>
    <row r="898" spans="1:4">
      <c r="A898" s="258" t="s">
        <v>900</v>
      </c>
      <c r="B898" s="259" t="e">
        <f ca="1">IF(ISTEXT(([0]!P_1_13.6.19 [0]!Qté)),0,([0]!P_1_13.6.19 [0]!Qté))</f>
        <v>#REF!</v>
      </c>
      <c r="C898" s="260" t="e">
        <f ca="1">([0]!P_1_13.6.19 [0]!PU)</f>
        <v>#REF!</v>
      </c>
      <c r="D898" s="260" t="e">
        <f ca="1">IF(ISTEXT(([0]!P_1_13.6.19 [0]!MT)),0,([0]!P_1_13.6.19 [0]!MT))</f>
        <v>#REF!</v>
      </c>
    </row>
    <row r="899" spans="1:4">
      <c r="A899" s="258" t="s">
        <v>901</v>
      </c>
      <c r="B899" s="259" t="e">
        <f ca="1">IF(ISTEXT(([0]!P_1_13.6.20 [0]!Qté)),0,([0]!P_1_13.6.20 [0]!Qté))</f>
        <v>#REF!</v>
      </c>
      <c r="C899" s="260" t="e">
        <f ca="1">([0]!P_1_13.6.20 [0]!PU)</f>
        <v>#REF!</v>
      </c>
      <c r="D899" s="260" t="e">
        <f ca="1">IF(ISTEXT(([0]!P_1_13.6.20 [0]!MT)),0,([0]!P_1_13.6.20 [0]!MT))</f>
        <v>#REF!</v>
      </c>
    </row>
    <row r="900" spans="1:4">
      <c r="A900" s="258" t="s">
        <v>902</v>
      </c>
      <c r="B900" s="259" t="e">
        <f ca="1">IF(ISTEXT(([0]!P_1_13.7.1 [0]!Qté)),0,([0]!P_1_13.7.1 [0]!Qté))</f>
        <v>#REF!</v>
      </c>
      <c r="C900" s="260" t="e">
        <f ca="1">([0]!P_1_13.7.1 [0]!PU)</f>
        <v>#REF!</v>
      </c>
      <c r="D900" s="260" t="e">
        <f ca="1">IF(ISTEXT(([0]!P_1_13.7.1 [0]!MT)),0,([0]!P_1_13.7.1 [0]!MT))</f>
        <v>#REF!</v>
      </c>
    </row>
    <row r="901" spans="1:4">
      <c r="A901" s="258" t="s">
        <v>903</v>
      </c>
      <c r="B901" s="259" t="e">
        <f ca="1">IF(ISTEXT(([0]!P_1_13.7.2 [0]!Qté)),0,([0]!P_1_13.7.2 [0]!Qté))</f>
        <v>#REF!</v>
      </c>
      <c r="C901" s="260" t="e">
        <f ca="1">([0]!P_1_13.7.2 [0]!PU)</f>
        <v>#REF!</v>
      </c>
      <c r="D901" s="260" t="e">
        <f ca="1">IF(ISTEXT(([0]!P_1_13.7.2 [0]!MT)),0,([0]!P_1_13.7.2 [0]!MT))</f>
        <v>#REF!</v>
      </c>
    </row>
    <row r="902" spans="1:4">
      <c r="A902" s="258" t="s">
        <v>904</v>
      </c>
      <c r="B902" s="259" t="e">
        <f ca="1">IF(ISTEXT(([0]!P_1_13.7.3 [0]!Qté)),0,([0]!P_1_13.7.3 [0]!Qté))</f>
        <v>#REF!</v>
      </c>
      <c r="C902" s="260" t="e">
        <f ca="1">([0]!P_1_13.7.3 [0]!PU)</f>
        <v>#REF!</v>
      </c>
      <c r="D902" s="260" t="e">
        <f ca="1">IF(ISTEXT(([0]!P_1_13.7.3 [0]!MT)),0,([0]!P_1_13.7.3 [0]!MT))</f>
        <v>#REF!</v>
      </c>
    </row>
    <row r="903" spans="1:4">
      <c r="A903" s="258" t="s">
        <v>905</v>
      </c>
      <c r="B903" s="259" t="e">
        <f ca="1">IF(ISTEXT(([0]!P_1_13.7.4 [0]!Qté)),0,([0]!P_1_13.7.4 [0]!Qté))</f>
        <v>#REF!</v>
      </c>
      <c r="C903" s="260" t="e">
        <f ca="1">([0]!P_1_13.7.4 [0]!PU)</f>
        <v>#REF!</v>
      </c>
      <c r="D903" s="260" t="e">
        <f ca="1">IF(ISTEXT(([0]!P_1_13.7.4 [0]!MT)),0,([0]!P_1_13.7.4 [0]!MT))</f>
        <v>#REF!</v>
      </c>
    </row>
    <row r="904" spans="1:4">
      <c r="A904" s="258" t="s">
        <v>906</v>
      </c>
      <c r="B904" s="259" t="e">
        <f ca="1">IF(ISTEXT(([0]!P_1_13.7.5 [0]!Qté)),0,([0]!P_1_13.7.5 [0]!Qté))</f>
        <v>#REF!</v>
      </c>
      <c r="C904" s="260" t="e">
        <f ca="1">([0]!P_1_13.7.5 [0]!PU)</f>
        <v>#REF!</v>
      </c>
      <c r="D904" s="260" t="e">
        <f ca="1">IF(ISTEXT(([0]!P_1_13.7.5 [0]!MT)),0,([0]!P_1_13.7.5 [0]!MT))</f>
        <v>#REF!</v>
      </c>
    </row>
    <row r="905" spans="1:4">
      <c r="A905" s="258" t="s">
        <v>907</v>
      </c>
      <c r="B905" s="259" t="e">
        <f ca="1">IF(ISTEXT(([0]!P_1_13.7.6 [0]!Qté)),0,([0]!P_1_13.7.6 [0]!Qté))</f>
        <v>#REF!</v>
      </c>
      <c r="C905" s="260" t="e">
        <f ca="1">([0]!P_1_13.7.6 [0]!PU)</f>
        <v>#REF!</v>
      </c>
      <c r="D905" s="260" t="e">
        <f ca="1">IF(ISTEXT(([0]!P_1_13.7.6 [0]!MT)),0,([0]!P_1_13.7.6 [0]!MT))</f>
        <v>#REF!</v>
      </c>
    </row>
    <row r="906" spans="1:4">
      <c r="A906" s="258" t="s">
        <v>908</v>
      </c>
      <c r="B906" s="259" t="e">
        <f ca="1">IF(ISTEXT(([0]!P_1_13.7.7 [0]!Qté)),0,([0]!P_1_13.7.7 [0]!Qté))</f>
        <v>#REF!</v>
      </c>
      <c r="C906" s="260" t="e">
        <f ca="1">([0]!P_1_13.7.7 [0]!PU)</f>
        <v>#REF!</v>
      </c>
      <c r="D906" s="260" t="e">
        <f ca="1">IF(ISTEXT(([0]!P_1_13.7.7 [0]!MT)),0,([0]!P_1_13.7.7 [0]!MT))</f>
        <v>#REF!</v>
      </c>
    </row>
    <row r="907" spans="1:4">
      <c r="A907" s="258" t="s">
        <v>909</v>
      </c>
      <c r="B907" s="259" t="e">
        <f ca="1">IF(ISTEXT(([0]!P_1_13.7.8 [0]!Qté)),0,([0]!P_1_13.7.8 [0]!Qté))</f>
        <v>#REF!</v>
      </c>
      <c r="C907" s="260" t="e">
        <f ca="1">([0]!P_1_13.7.8 [0]!PU)</f>
        <v>#REF!</v>
      </c>
      <c r="D907" s="260" t="e">
        <f ca="1">IF(ISTEXT(([0]!P_1_13.7.8 [0]!MT)),0,([0]!P_1_13.7.8 [0]!MT))</f>
        <v>#REF!</v>
      </c>
    </row>
    <row r="908" spans="1:4">
      <c r="A908" s="258" t="s">
        <v>910</v>
      </c>
      <c r="B908" s="259" t="e">
        <f ca="1">IF(ISTEXT(([0]!P_1_13.7.9 [0]!Qté)),0,([0]!P_1_13.7.9 [0]!Qté))</f>
        <v>#REF!</v>
      </c>
      <c r="C908" s="260" t="e">
        <f ca="1">([0]!P_1_13.7.9 [0]!PU)</f>
        <v>#REF!</v>
      </c>
      <c r="D908" s="260" t="e">
        <f ca="1">IF(ISTEXT(([0]!P_1_13.7.9 [0]!MT)),0,([0]!P_1_13.7.9 [0]!MT))</f>
        <v>#REF!</v>
      </c>
    </row>
    <row r="909" spans="1:4">
      <c r="A909" s="258" t="s">
        <v>911</v>
      </c>
      <c r="B909" s="259" t="e">
        <f ca="1">IF(ISTEXT(([0]!P_1_13.7.10 [0]!Qté)),0,([0]!P_1_13.7.10 [0]!Qté))</f>
        <v>#REF!</v>
      </c>
      <c r="C909" s="260" t="e">
        <f ca="1">([0]!P_1_13.7.10 [0]!PU)</f>
        <v>#REF!</v>
      </c>
      <c r="D909" s="260" t="e">
        <f ca="1">IF(ISTEXT(([0]!P_1_13.7.10 [0]!MT)),0,([0]!P_1_13.7.10 [0]!MT))</f>
        <v>#REF!</v>
      </c>
    </row>
    <row r="910" spans="1:4">
      <c r="A910" s="258" t="s">
        <v>912</v>
      </c>
      <c r="B910" s="259" t="e">
        <f ca="1">IF(ISTEXT(([0]!P_1_13.7.11 [0]!Qté)),0,([0]!P_1_13.7.11 [0]!Qté))</f>
        <v>#REF!</v>
      </c>
      <c r="C910" s="260" t="e">
        <f ca="1">([0]!P_1_13.7.11 [0]!PU)</f>
        <v>#REF!</v>
      </c>
      <c r="D910" s="260" t="e">
        <f ca="1">IF(ISTEXT(([0]!P_1_13.7.11 [0]!MT)),0,([0]!P_1_13.7.11 [0]!MT))</f>
        <v>#REF!</v>
      </c>
    </row>
    <row r="911" spans="1:4">
      <c r="A911" s="258" t="s">
        <v>913</v>
      </c>
      <c r="B911" s="259" t="e">
        <f ca="1">IF(ISTEXT(([0]!P_1_13.7.12 [0]!Qté)),0,([0]!P_1_13.7.12 [0]!Qté))</f>
        <v>#REF!</v>
      </c>
      <c r="C911" s="260" t="e">
        <f ca="1">([0]!P_1_13.7.12 [0]!PU)</f>
        <v>#REF!</v>
      </c>
      <c r="D911" s="260" t="e">
        <f ca="1">IF(ISTEXT(([0]!P_1_13.7.12 [0]!MT)),0,([0]!P_1_13.7.12 [0]!MT))</f>
        <v>#REF!</v>
      </c>
    </row>
    <row r="912" spans="1:4">
      <c r="A912" s="258" t="s">
        <v>914</v>
      </c>
      <c r="B912" s="259" t="e">
        <f ca="1">IF(ISTEXT(([0]!P_1_13.7.13 [0]!Qté)),0,([0]!P_1_13.7.13 [0]!Qté))</f>
        <v>#REF!</v>
      </c>
      <c r="C912" s="260" t="e">
        <f ca="1">([0]!P_1_13.7.13 [0]!PU)</f>
        <v>#REF!</v>
      </c>
      <c r="D912" s="260" t="e">
        <f ca="1">IF(ISTEXT(([0]!P_1_13.7.13 [0]!MT)),0,([0]!P_1_13.7.13 [0]!MT))</f>
        <v>#REF!</v>
      </c>
    </row>
    <row r="913" spans="1:4">
      <c r="A913" s="258" t="s">
        <v>915</v>
      </c>
      <c r="B913" s="259" t="e">
        <f ca="1">IF(ISTEXT(([0]!P_1_13.7.14 [0]!Qté)),0,([0]!P_1_13.7.14 [0]!Qté))</f>
        <v>#REF!</v>
      </c>
      <c r="C913" s="260" t="e">
        <f ca="1">([0]!P_1_13.7.14 [0]!PU)</f>
        <v>#REF!</v>
      </c>
      <c r="D913" s="260" t="e">
        <f ca="1">IF(ISTEXT(([0]!P_1_13.7.14 [0]!MT)),0,([0]!P_1_13.7.14 [0]!MT))</f>
        <v>#REF!</v>
      </c>
    </row>
    <row r="914" spans="1:4">
      <c r="A914" s="258" t="s">
        <v>916</v>
      </c>
      <c r="B914" s="259" t="e">
        <f ca="1">IF(ISTEXT(([0]!P_1_13.8.1 [0]!Qté)),0,([0]!P_1_13.8.1 [0]!Qté))</f>
        <v>#REF!</v>
      </c>
      <c r="C914" s="260" t="e">
        <f ca="1">([0]!P_1_13.8.1 [0]!PU)</f>
        <v>#REF!</v>
      </c>
      <c r="D914" s="260" t="e">
        <f ca="1">IF(ISTEXT(([0]!P_1_13.8.1 [0]!MT)),0,([0]!P_1_13.8.1 [0]!MT))</f>
        <v>#REF!</v>
      </c>
    </row>
    <row r="915" spans="1:4">
      <c r="A915" s="258" t="s">
        <v>917</v>
      </c>
      <c r="B915" s="259" t="e">
        <f ca="1">IF(ISTEXT(([0]!P_1_13.8.2 [0]!Qté)),0,([0]!P_1_13.8.2 [0]!Qté))</f>
        <v>#REF!</v>
      </c>
      <c r="C915" s="260" t="e">
        <f ca="1">([0]!P_1_13.8.2 [0]!PU)</f>
        <v>#REF!</v>
      </c>
      <c r="D915" s="260" t="e">
        <f ca="1">IF(ISTEXT(([0]!P_1_13.8.2 [0]!MT)),0,([0]!P_1_13.8.2 [0]!MT))</f>
        <v>#REF!</v>
      </c>
    </row>
    <row r="916" spans="1:4">
      <c r="A916" s="258" t="s">
        <v>918</v>
      </c>
      <c r="B916" s="259" t="e">
        <f ca="1">IF(ISTEXT(([0]!P_1_13.8.3 [0]!Qté)),0,([0]!P_1_13.8.3 [0]!Qté))</f>
        <v>#REF!</v>
      </c>
      <c r="C916" s="260" t="e">
        <f ca="1">([0]!P_1_13.8.3 [0]!PU)</f>
        <v>#REF!</v>
      </c>
      <c r="D916" s="260" t="e">
        <f ca="1">IF(ISTEXT(([0]!P_1_13.8.3 [0]!MT)),0,([0]!P_1_13.8.3 [0]!MT))</f>
        <v>#REF!</v>
      </c>
    </row>
    <row r="917" spans="1:4">
      <c r="A917" s="258" t="s">
        <v>919</v>
      </c>
      <c r="B917" s="259" t="e">
        <f ca="1">IF(ISTEXT(([0]!P_1_13.8.4 [0]!Qté)),0,([0]!P_1_13.8.4 [0]!Qté))</f>
        <v>#REF!</v>
      </c>
      <c r="C917" s="260" t="e">
        <f ca="1">([0]!P_1_13.8.4 [0]!PU)</f>
        <v>#REF!</v>
      </c>
      <c r="D917" s="260" t="e">
        <f ca="1">IF(ISTEXT(([0]!P_1_13.8.4 [0]!MT)),0,([0]!P_1_13.8.4 [0]!MT))</f>
        <v>#REF!</v>
      </c>
    </row>
    <row r="918" spans="1:4">
      <c r="A918" s="258" t="s">
        <v>920</v>
      </c>
      <c r="B918" s="259" t="e">
        <f ca="1">IF(ISTEXT(([0]!P_1_13.8.5 [0]!Qté)),0,([0]!P_1_13.8.5 [0]!Qté))</f>
        <v>#REF!</v>
      </c>
      <c r="C918" s="260" t="e">
        <f ca="1">([0]!P_1_13.8.5 [0]!PU)</f>
        <v>#REF!</v>
      </c>
      <c r="D918" s="260" t="e">
        <f ca="1">IF(ISTEXT(([0]!P_1_13.8.5 [0]!MT)),0,([0]!P_1_13.8.5 [0]!MT))</f>
        <v>#REF!</v>
      </c>
    </row>
    <row r="919" spans="1:4">
      <c r="A919" s="258" t="s">
        <v>921</v>
      </c>
      <c r="B919" s="259" t="e">
        <f ca="1">IF(ISTEXT(([0]!P_1_13.8.6 [0]!Qté)),0,([0]!P_1_13.8.6 [0]!Qté))</f>
        <v>#REF!</v>
      </c>
      <c r="C919" s="260" t="e">
        <f ca="1">([0]!P_1_13.8.6 [0]!PU)</f>
        <v>#REF!</v>
      </c>
      <c r="D919" s="260" t="e">
        <f ca="1">IF(ISTEXT(([0]!P_1_13.8.6 [0]!MT)),0,([0]!P_1_13.8.6 [0]!MT))</f>
        <v>#REF!</v>
      </c>
    </row>
    <row r="920" spans="1:4">
      <c r="A920" s="258" t="s">
        <v>922</v>
      </c>
      <c r="B920" s="259" t="e">
        <f ca="1">IF(ISTEXT(([0]!P_1_13.8.7 [0]!Qté)),0,([0]!P_1_13.8.7 [0]!Qté))</f>
        <v>#REF!</v>
      </c>
      <c r="C920" s="260" t="e">
        <f ca="1">([0]!P_1_13.8.7 [0]!PU)</f>
        <v>#REF!</v>
      </c>
      <c r="D920" s="260" t="e">
        <f ca="1">IF(ISTEXT(([0]!P_1_13.8.7 [0]!MT)),0,([0]!P_1_13.8.7 [0]!MT))</f>
        <v>#REF!</v>
      </c>
    </row>
    <row r="921" spans="1:4">
      <c r="A921" s="258" t="s">
        <v>923</v>
      </c>
      <c r="B921" s="259" t="e">
        <f ca="1">IF(ISTEXT(([0]!P_1_13.8.8 [0]!Qté)),0,([0]!P_1_13.8.8 [0]!Qté))</f>
        <v>#REF!</v>
      </c>
      <c r="C921" s="260" t="e">
        <f ca="1">([0]!P_1_13.8.8 [0]!PU)</f>
        <v>#REF!</v>
      </c>
      <c r="D921" s="260" t="e">
        <f ca="1">IF(ISTEXT(([0]!P_1_13.8.8 [0]!MT)),0,([0]!P_1_13.8.8 [0]!MT))</f>
        <v>#REF!</v>
      </c>
    </row>
    <row r="922" spans="1:4">
      <c r="A922" s="258" t="s">
        <v>924</v>
      </c>
      <c r="B922" s="259" t="e">
        <f ca="1">IF(ISTEXT(([0]!P_1_13.8.9 [0]!Qté)),0,([0]!P_1_13.8.9 [0]!Qté))</f>
        <v>#REF!</v>
      </c>
      <c r="C922" s="260" t="e">
        <f ca="1">([0]!P_1_13.8.9 [0]!PU)</f>
        <v>#REF!</v>
      </c>
      <c r="D922" s="260" t="e">
        <f ca="1">IF(ISTEXT(([0]!P_1_13.8.9 [0]!MT)),0,([0]!P_1_13.8.9 [0]!MT))</f>
        <v>#REF!</v>
      </c>
    </row>
    <row r="923" spans="1:4">
      <c r="A923" s="258" t="s">
        <v>925</v>
      </c>
      <c r="B923" s="259" t="e">
        <f ca="1">IF(ISTEXT(([0]!P_1_13.8.10 [0]!Qté)),0,([0]!P_1_13.8.10 [0]!Qté))</f>
        <v>#REF!</v>
      </c>
      <c r="C923" s="260" t="e">
        <f ca="1">([0]!P_1_13.8.10 [0]!PU)</f>
        <v>#REF!</v>
      </c>
      <c r="D923" s="260" t="e">
        <f ca="1">IF(ISTEXT(([0]!P_1_13.8.10 [0]!MT)),0,([0]!P_1_13.8.10 [0]!MT))</f>
        <v>#REF!</v>
      </c>
    </row>
    <row r="924" spans="1:4">
      <c r="A924" s="258" t="s">
        <v>926</v>
      </c>
      <c r="B924" s="259" t="e">
        <f ca="1">IF(ISTEXT(([0]!P_1_13.8.11 [0]!Qté)),0,([0]!P_1_13.8.11 [0]!Qté))</f>
        <v>#REF!</v>
      </c>
      <c r="C924" s="260" t="e">
        <f ca="1">([0]!P_1_13.8.11 [0]!PU)</f>
        <v>#REF!</v>
      </c>
      <c r="D924" s="260" t="e">
        <f ca="1">IF(ISTEXT(([0]!P_1_13.8.11 [0]!MT)),0,([0]!P_1_13.8.11 [0]!MT))</f>
        <v>#REF!</v>
      </c>
    </row>
    <row r="925" spans="1:4">
      <c r="A925" s="258" t="s">
        <v>927</v>
      </c>
      <c r="B925" s="259" t="e">
        <f ca="1">IF(ISTEXT(([0]!P_1_13.8.12 [0]!Qté)),0,([0]!P_1_13.8.12 [0]!Qté))</f>
        <v>#REF!</v>
      </c>
      <c r="C925" s="260" t="e">
        <f ca="1">([0]!P_1_13.8.12 [0]!PU)</f>
        <v>#REF!</v>
      </c>
      <c r="D925" s="260" t="e">
        <f ca="1">IF(ISTEXT(([0]!P_1_13.8.12 [0]!MT)),0,([0]!P_1_13.8.12 [0]!MT))</f>
        <v>#REF!</v>
      </c>
    </row>
    <row r="926" spans="1:4">
      <c r="A926" s="258" t="s">
        <v>928</v>
      </c>
      <c r="B926" s="259" t="e">
        <f ca="1">IF(ISTEXT(([0]!P_1_13.8.13 [0]!Qté)),0,([0]!P_1_13.8.13 [0]!Qté))</f>
        <v>#REF!</v>
      </c>
      <c r="C926" s="260" t="e">
        <f ca="1">([0]!P_1_13.8.13 [0]!PU)</f>
        <v>#REF!</v>
      </c>
      <c r="D926" s="260" t="e">
        <f ca="1">IF(ISTEXT(([0]!P_1_13.8.13 [0]!MT)),0,([0]!P_1_13.8.13 [0]!MT))</f>
        <v>#REF!</v>
      </c>
    </row>
    <row r="927" spans="1:4">
      <c r="A927" s="258" t="s">
        <v>929</v>
      </c>
      <c r="B927" s="259" t="e">
        <f ca="1">IF(ISTEXT(([0]!P_1_13.8.14 [0]!Qté)),0,([0]!P_1_13.8.14 [0]!Qté))</f>
        <v>#REF!</v>
      </c>
      <c r="C927" s="260" t="e">
        <f ca="1">([0]!P_1_13.8.14 [0]!PU)</f>
        <v>#REF!</v>
      </c>
      <c r="D927" s="260" t="e">
        <f ca="1">IF(ISTEXT(([0]!P_1_13.8.14 [0]!MT)),0,([0]!P_1_13.8.14 [0]!MT))</f>
        <v>#REF!</v>
      </c>
    </row>
    <row r="928" spans="1:4">
      <c r="A928" s="258" t="s">
        <v>930</v>
      </c>
      <c r="B928" s="259" t="e">
        <f ca="1">IF(ISTEXT(([0]!P_1_13.8.15 [0]!Qté)),0,([0]!P_1_13.8.15 [0]!Qté))</f>
        <v>#REF!</v>
      </c>
      <c r="C928" s="260" t="e">
        <f ca="1">([0]!P_1_13.8.15 [0]!PU)</f>
        <v>#REF!</v>
      </c>
      <c r="D928" s="260" t="e">
        <f ca="1">IF(ISTEXT(([0]!P_1_13.8.15 [0]!MT)),0,([0]!P_1_13.8.15 [0]!MT))</f>
        <v>#REF!</v>
      </c>
    </row>
    <row r="929" spans="1:4">
      <c r="A929" s="258" t="s">
        <v>931</v>
      </c>
      <c r="B929" s="259" t="e">
        <f ca="1">IF(ISTEXT(([0]!P_1_13.8.16 [0]!Qté)),0,([0]!P_1_13.8.16 [0]!Qté))</f>
        <v>#REF!</v>
      </c>
      <c r="C929" s="260" t="e">
        <f ca="1">([0]!P_1_13.8.16 [0]!PU)</f>
        <v>#REF!</v>
      </c>
      <c r="D929" s="260" t="e">
        <f ca="1">IF(ISTEXT(([0]!P_1_13.8.16 [0]!MT)),0,([0]!P_1_13.8.16 [0]!MT))</f>
        <v>#REF!</v>
      </c>
    </row>
    <row r="930" spans="1:4">
      <c r="A930" s="258" t="s">
        <v>932</v>
      </c>
      <c r="B930" s="259" t="e">
        <f ca="1">IF(ISTEXT(([0]!P_1_13.8.17 [0]!Qté)),0,([0]!P_1_13.8.17 [0]!Qté))</f>
        <v>#REF!</v>
      </c>
      <c r="C930" s="260" t="e">
        <f ca="1">([0]!P_1_13.8.17 [0]!PU)</f>
        <v>#REF!</v>
      </c>
      <c r="D930" s="260" t="e">
        <f ca="1">IF(ISTEXT(([0]!P_1_13.8.17 [0]!MT)),0,([0]!P_1_13.8.17 [0]!MT))</f>
        <v>#REF!</v>
      </c>
    </row>
    <row r="931" spans="1:4">
      <c r="A931" s="258" t="s">
        <v>933</v>
      </c>
      <c r="B931" s="259" t="e">
        <f ca="1">IF(ISTEXT(([0]!P_1_13.8.18 [0]!Qté)),0,([0]!P_1_13.8.18 [0]!Qté))</f>
        <v>#REF!</v>
      </c>
      <c r="C931" s="260" t="e">
        <f ca="1">([0]!P_1_13.8.18 [0]!PU)</f>
        <v>#REF!</v>
      </c>
      <c r="D931" s="260" t="e">
        <f ca="1">IF(ISTEXT(([0]!P_1_13.8.18 [0]!MT)),0,([0]!P_1_13.8.18 [0]!MT))</f>
        <v>#REF!</v>
      </c>
    </row>
    <row r="932" spans="1:4">
      <c r="A932" s="258" t="s">
        <v>934</v>
      </c>
      <c r="B932" s="259" t="e">
        <f ca="1">IF(ISTEXT(([0]!P_1_13.8.19 [0]!Qté)),0,([0]!P_1_13.8.19 [0]!Qté))</f>
        <v>#REF!</v>
      </c>
      <c r="C932" s="260" t="e">
        <f ca="1">([0]!P_1_13.8.19 [0]!PU)</f>
        <v>#REF!</v>
      </c>
      <c r="D932" s="260" t="e">
        <f ca="1">IF(ISTEXT(([0]!P_1_13.8.19 [0]!MT)),0,([0]!P_1_13.8.19 [0]!MT))</f>
        <v>#REF!</v>
      </c>
    </row>
    <row r="933" spans="1:4">
      <c r="A933" s="258" t="s">
        <v>935</v>
      </c>
      <c r="B933" s="259" t="e">
        <f ca="1">IF(ISTEXT(([0]!P_1_13.8.20 [0]!Qté)),0,([0]!P_1_13.8.20 [0]!Qté))</f>
        <v>#REF!</v>
      </c>
      <c r="C933" s="260" t="e">
        <f ca="1">([0]!P_1_13.8.20 [0]!PU)</f>
        <v>#REF!</v>
      </c>
      <c r="D933" s="260" t="e">
        <f ca="1">IF(ISTEXT(([0]!P_1_13.8.20 [0]!MT)),0,([0]!P_1_13.8.20 [0]!MT))</f>
        <v>#REF!</v>
      </c>
    </row>
    <row r="934" spans="1:4">
      <c r="A934" s="258" t="s">
        <v>936</v>
      </c>
      <c r="B934" s="259" t="e">
        <f ca="1">IF(ISTEXT(([0]!P_1_13.8.21 [0]!Qté)),0,([0]!P_1_13.8.21 [0]!Qté))</f>
        <v>#REF!</v>
      </c>
      <c r="C934" s="260" t="e">
        <f ca="1">([0]!P_1_13.8.21 [0]!PU)</f>
        <v>#REF!</v>
      </c>
      <c r="D934" s="260" t="e">
        <f ca="1">IF(ISTEXT(([0]!P_1_13.8.21 [0]!MT)),0,([0]!P_1_13.8.21 [0]!MT))</f>
        <v>#REF!</v>
      </c>
    </row>
    <row r="935" spans="1:4">
      <c r="A935" s="258" t="s">
        <v>937</v>
      </c>
      <c r="B935" s="259" t="e">
        <f ca="1">IF(ISTEXT(([0]!P_1_13.8.22 [0]!Qté)),0,([0]!P_1_13.8.22 [0]!Qté))</f>
        <v>#REF!</v>
      </c>
      <c r="C935" s="260" t="e">
        <f ca="1">([0]!P_1_13.8.22 [0]!PU)</f>
        <v>#REF!</v>
      </c>
      <c r="D935" s="260" t="e">
        <f ca="1">IF(ISTEXT(([0]!P_1_13.8.22 [0]!MT)),0,([0]!P_1_13.8.22 [0]!MT))</f>
        <v>#REF!</v>
      </c>
    </row>
    <row r="936" spans="1:4">
      <c r="A936" s="258" t="s">
        <v>938</v>
      </c>
      <c r="B936" s="259" t="e">
        <f ca="1">IF(ISTEXT(([0]!P_1_13.8.23 [0]!Qté)),0,([0]!P_1_13.8.23 [0]!Qté))</f>
        <v>#REF!</v>
      </c>
      <c r="C936" s="260" t="e">
        <f ca="1">([0]!P_1_13.8.23 [0]!PU)</f>
        <v>#REF!</v>
      </c>
      <c r="D936" s="260" t="e">
        <f ca="1">IF(ISTEXT(([0]!P_1_13.8.23 [0]!MT)),0,([0]!P_1_13.8.23 [0]!MT))</f>
        <v>#REF!</v>
      </c>
    </row>
    <row r="937" spans="1:4">
      <c r="A937" s="258" t="s">
        <v>939</v>
      </c>
      <c r="B937" s="259" t="e">
        <f ca="1">IF(ISTEXT(([0]!P_1_13.8.24 [0]!Qté)),0,([0]!P_1_13.8.24 [0]!Qté))</f>
        <v>#REF!</v>
      </c>
      <c r="C937" s="260" t="e">
        <f ca="1">([0]!P_1_13.8.24 [0]!PU)</f>
        <v>#REF!</v>
      </c>
      <c r="D937" s="260" t="e">
        <f ca="1">IF(ISTEXT(([0]!P_1_13.8.24 [0]!MT)),0,([0]!P_1_13.8.24 [0]!MT))</f>
        <v>#REF!</v>
      </c>
    </row>
    <row r="938" spans="1:4">
      <c r="A938" s="258" t="s">
        <v>940</v>
      </c>
      <c r="B938" s="259" t="e">
        <f ca="1">IF(ISTEXT(([0]!P_1_13.8.25 [0]!Qté)),0,([0]!P_1_13.8.25 [0]!Qté))</f>
        <v>#REF!</v>
      </c>
      <c r="C938" s="260" t="e">
        <f ca="1">([0]!P_1_13.8.25 [0]!PU)</f>
        <v>#REF!</v>
      </c>
      <c r="D938" s="260" t="e">
        <f ca="1">IF(ISTEXT(([0]!P_1_13.8.25 [0]!MT)),0,([0]!P_1_13.8.25 [0]!MT))</f>
        <v>#REF!</v>
      </c>
    </row>
    <row r="939" spans="1:4">
      <c r="A939" s="258" t="s">
        <v>941</v>
      </c>
      <c r="B939" s="259" t="e">
        <f ca="1">IF(ISTEXT(([0]!P_1_13.8.26 [0]!Qté)),0,([0]!P_1_13.8.26 [0]!Qté))</f>
        <v>#REF!</v>
      </c>
      <c r="C939" s="260" t="e">
        <f ca="1">([0]!P_1_13.8.26 [0]!PU)</f>
        <v>#REF!</v>
      </c>
      <c r="D939" s="260" t="e">
        <f ca="1">IF(ISTEXT(([0]!P_1_13.8.26 [0]!MT)),0,([0]!P_1_13.8.26 [0]!MT))</f>
        <v>#REF!</v>
      </c>
    </row>
    <row r="940" spans="1:4">
      <c r="A940" s="258" t="s">
        <v>942</v>
      </c>
      <c r="B940" s="259" t="e">
        <f ca="1">IF(ISTEXT(([0]!P_1_13.8.27 [0]!Qté)),0,([0]!P_1_13.8.27 [0]!Qté))</f>
        <v>#REF!</v>
      </c>
      <c r="C940" s="260" t="e">
        <f ca="1">([0]!P_1_13.8.27 [0]!PU)</f>
        <v>#REF!</v>
      </c>
      <c r="D940" s="260" t="e">
        <f ca="1">IF(ISTEXT(([0]!P_1_13.8.27 [0]!MT)),0,([0]!P_1_13.8.27 [0]!MT))</f>
        <v>#REF!</v>
      </c>
    </row>
    <row r="941" spans="1:4">
      <c r="A941" s="258" t="s">
        <v>943</v>
      </c>
      <c r="B941" s="259" t="e">
        <f ca="1">IF(ISTEXT(([0]!P_1_13.8.28 [0]!Qté)),0,([0]!P_1_13.8.28 [0]!Qté))</f>
        <v>#REF!</v>
      </c>
      <c r="C941" s="260" t="e">
        <f ca="1">([0]!P_1_13.8.28 [0]!PU)</f>
        <v>#REF!</v>
      </c>
      <c r="D941" s="260" t="e">
        <f ca="1">IF(ISTEXT(([0]!P_1_13.8.28 [0]!MT)),0,([0]!P_1_13.8.28 [0]!MT))</f>
        <v>#REF!</v>
      </c>
    </row>
    <row r="942" spans="1:4">
      <c r="A942" s="258" t="s">
        <v>944</v>
      </c>
      <c r="B942" s="259" t="e">
        <f ca="1">IF(ISTEXT(([0]!P_1_13.8.29 [0]!Qté)),0,([0]!P_1_13.8.29 [0]!Qté))</f>
        <v>#REF!</v>
      </c>
      <c r="C942" s="260" t="e">
        <f ca="1">([0]!P_1_13.8.29 [0]!PU)</f>
        <v>#REF!</v>
      </c>
      <c r="D942" s="260" t="e">
        <f ca="1">IF(ISTEXT(([0]!P_1_13.8.29 [0]!MT)),0,([0]!P_1_13.8.29 [0]!MT))</f>
        <v>#REF!</v>
      </c>
    </row>
    <row r="943" spans="1:4">
      <c r="A943" s="258" t="s">
        <v>945</v>
      </c>
      <c r="B943" s="259" t="e">
        <f ca="1">IF(ISTEXT(([0]!P_1_13.8.30 [0]!Qté)),0,([0]!P_1_13.8.30 [0]!Qté))</f>
        <v>#REF!</v>
      </c>
      <c r="C943" s="260" t="e">
        <f ca="1">([0]!P_1_13.8.30 [0]!PU)</f>
        <v>#REF!</v>
      </c>
      <c r="D943" s="260" t="e">
        <f ca="1">IF(ISTEXT(([0]!P_1_13.8.30 [0]!MT)),0,([0]!P_1_13.8.30 [0]!MT))</f>
        <v>#REF!</v>
      </c>
    </row>
    <row r="944" spans="1:4">
      <c r="A944" s="258" t="s">
        <v>946</v>
      </c>
      <c r="B944" s="259" t="e">
        <f ca="1">IF(ISTEXT(([0]!P_1_13.8.31 [0]!Qté)),0,([0]!P_1_13.8.31 [0]!Qté))</f>
        <v>#REF!</v>
      </c>
      <c r="C944" s="260" t="e">
        <f ca="1">([0]!P_1_13.8.31 [0]!PU)</f>
        <v>#REF!</v>
      </c>
      <c r="D944" s="260" t="e">
        <f ca="1">IF(ISTEXT(([0]!P_1_13.8.31 [0]!MT)),0,([0]!P_1_13.8.31 [0]!MT))</f>
        <v>#REF!</v>
      </c>
    </row>
    <row r="945" spans="1:4">
      <c r="A945" s="258" t="s">
        <v>947</v>
      </c>
      <c r="B945" s="259" t="e">
        <f ca="1">IF(ISTEXT(([0]!HT_0_HT01 [0]!Qté)),0,([0]!HT_0_HT01 [0]!Qté))</f>
        <v>#REF!</v>
      </c>
      <c r="C945" s="260" t="e">
        <f ca="1">([0]!HT_0_HT01 [0]!PU)</f>
        <v>#REF!</v>
      </c>
      <c r="D945" s="260" t="e">
        <f ca="1">IF(ISTEXT(([0]!HT_0_HT01 [0]!MT)),0,([0]!HT_0_HT01 [0]!MT))</f>
        <v>#REF!</v>
      </c>
    </row>
  </sheetData>
  <phoneticPr fontId="0" type="noConversion"/>
  <pageMargins left="0.78740157499999996" right="0.78740157499999996" top="0.984251969" bottom="0.984251969" header="0.4921259845" footer="0.492125984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D81AE2-017C-46CA-A8EA-A58B81C9ECE3}">
  <sheetPr codeName="Feuil3">
    <tabColor indexed="35"/>
  </sheetPr>
  <dimension ref="A1:Y5688"/>
  <sheetViews>
    <sheetView tabSelected="1" view="pageBreakPreview" zoomScaleNormal="106" zoomScaleSheetLayoutView="100" workbookViewId="0">
      <pane ySplit="8" topLeftCell="A9" activePane="bottomLeft" state="frozen"/>
      <selection pane="bottomLeft" activeCell="D15" sqref="D15"/>
      <selection activeCell="C2" sqref="C2:F2"/>
    </sheetView>
  </sheetViews>
  <sheetFormatPr defaultColWidth="11.42578125" defaultRowHeight="13.15"/>
  <cols>
    <col min="1" max="1" width="12.42578125" style="1" customWidth="1"/>
    <col min="2" max="2" width="82.42578125" style="65" customWidth="1"/>
    <col min="3" max="3" width="15" style="66" customWidth="1"/>
    <col min="4" max="4" width="12.7109375" style="256" customWidth="1"/>
    <col min="5" max="16384" width="11.42578125" style="1"/>
  </cols>
  <sheetData>
    <row r="1" spans="1:4" ht="12">
      <c r="B1" s="480" t="s">
        <v>948</v>
      </c>
      <c r="C1" s="480"/>
      <c r="D1" s="480"/>
    </row>
    <row r="2" spans="1:4" ht="12" customHeight="1">
      <c r="B2" s="482" t="s">
        <v>949</v>
      </c>
      <c r="C2" s="482"/>
      <c r="D2" s="482"/>
    </row>
    <row r="3" spans="1:4" ht="72" customHeight="1">
      <c r="B3" s="482"/>
      <c r="C3" s="482"/>
      <c r="D3" s="482"/>
    </row>
    <row r="4" spans="1:4" ht="12">
      <c r="B4" s="478" t="s">
        <v>950</v>
      </c>
      <c r="C4" s="483"/>
      <c r="D4" s="483"/>
    </row>
    <row r="5" spans="1:4" ht="12">
      <c r="B5" s="478"/>
      <c r="C5" s="479"/>
      <c r="D5" s="479"/>
    </row>
    <row r="6" spans="1:4" ht="12">
      <c r="B6" s="478"/>
      <c r="C6" s="479"/>
      <c r="D6" s="479"/>
    </row>
    <row r="7" spans="1:4" ht="14.25" customHeight="1">
      <c r="B7" s="89" t="s">
        <v>951</v>
      </c>
      <c r="C7" s="67"/>
      <c r="D7" s="252"/>
    </row>
    <row r="8" spans="1:4">
      <c r="A8" s="10" t="s">
        <v>0</v>
      </c>
      <c r="B8" s="11" t="s">
        <v>952</v>
      </c>
      <c r="C8" s="12" t="s">
        <v>953</v>
      </c>
      <c r="D8" s="253" t="s">
        <v>954</v>
      </c>
    </row>
    <row r="9" spans="1:4" s="2" customFormat="1" ht="13.9">
      <c r="A9" s="13" t="s">
        <v>955</v>
      </c>
      <c r="B9" s="14" t="s">
        <v>956</v>
      </c>
      <c r="C9" s="15"/>
      <c r="D9" s="254"/>
    </row>
    <row r="10" spans="1:4" s="2" customFormat="1" ht="12.75" customHeight="1">
      <c r="A10" s="80" t="s">
        <v>957</v>
      </c>
      <c r="B10" s="81" t="s">
        <v>958</v>
      </c>
      <c r="C10" s="78"/>
      <c r="D10" s="255"/>
    </row>
    <row r="11" spans="1:4" s="3" customFormat="1" ht="64.900000000000006" customHeight="1">
      <c r="A11" s="96" t="s">
        <v>959</v>
      </c>
      <c r="B11" s="280" t="s">
        <v>960</v>
      </c>
      <c r="C11" s="98" t="s">
        <v>959</v>
      </c>
      <c r="D11" s="416"/>
    </row>
    <row r="12" spans="1:4" s="3" customFormat="1">
      <c r="A12" s="90" t="s">
        <v>959</v>
      </c>
      <c r="B12" s="281" t="s">
        <v>961</v>
      </c>
      <c r="C12" s="91" t="s">
        <v>959</v>
      </c>
      <c r="D12" s="417"/>
    </row>
    <row r="13" spans="1:4" s="3" customFormat="1" ht="26.45">
      <c r="A13" s="90"/>
      <c r="B13" s="281" t="s">
        <v>962</v>
      </c>
      <c r="C13" s="91"/>
      <c r="D13" s="417"/>
    </row>
    <row r="14" spans="1:4" s="3" customFormat="1" ht="26.45">
      <c r="A14" s="90"/>
      <c r="B14" s="281" t="s">
        <v>963</v>
      </c>
      <c r="C14" s="91"/>
      <c r="D14" s="417"/>
    </row>
    <row r="15" spans="1:4" s="3" customFormat="1" ht="26.45">
      <c r="A15" s="92"/>
      <c r="B15" s="282" t="s">
        <v>964</v>
      </c>
      <c r="C15" s="91"/>
      <c r="D15" s="417"/>
    </row>
    <row r="16" spans="1:4" s="79" customFormat="1" ht="26.45">
      <c r="A16" s="92"/>
      <c r="B16" s="93" t="s">
        <v>965</v>
      </c>
      <c r="C16" s="91"/>
      <c r="D16" s="417"/>
    </row>
    <row r="17" spans="1:4" s="79" customFormat="1" ht="62.65" customHeight="1">
      <c r="A17" s="92"/>
      <c r="B17" s="93" t="s">
        <v>966</v>
      </c>
      <c r="C17" s="91"/>
      <c r="D17" s="417"/>
    </row>
    <row r="18" spans="1:4" s="79" customFormat="1" ht="26.45">
      <c r="A18" s="92"/>
      <c r="B18" s="93" t="s">
        <v>967</v>
      </c>
      <c r="C18" s="91"/>
      <c r="D18" s="417"/>
    </row>
    <row r="19" spans="1:4" s="79" customFormat="1" ht="26.45">
      <c r="A19" s="92"/>
      <c r="B19" s="93" t="s">
        <v>968</v>
      </c>
      <c r="C19" s="91"/>
      <c r="D19" s="417"/>
    </row>
    <row r="20" spans="1:4" s="79" customFormat="1" ht="39.6">
      <c r="A20" s="92"/>
      <c r="B20" s="93" t="s">
        <v>969</v>
      </c>
      <c r="C20" s="91"/>
      <c r="D20" s="417"/>
    </row>
    <row r="21" spans="1:4" s="79" customFormat="1" ht="14.45">
      <c r="A21" s="92"/>
      <c r="B21" s="93" t="s">
        <v>970</v>
      </c>
      <c r="C21" s="91"/>
      <c r="D21" s="417"/>
    </row>
    <row r="22" spans="1:4" s="79" customFormat="1" ht="24.75" customHeight="1">
      <c r="A22" s="92"/>
      <c r="B22" s="93" t="s">
        <v>971</v>
      </c>
      <c r="C22" s="91"/>
      <c r="D22" s="417"/>
    </row>
    <row r="23" spans="1:4" s="3" customFormat="1" ht="39.75" customHeight="1">
      <c r="A23" s="92"/>
      <c r="B23" s="94" t="s">
        <v>972</v>
      </c>
      <c r="C23" s="91"/>
      <c r="D23" s="417"/>
    </row>
    <row r="24" spans="1:4" s="3" customFormat="1" ht="12.75" customHeight="1">
      <c r="A24" s="92"/>
      <c r="B24" s="94" t="s">
        <v>973</v>
      </c>
      <c r="C24" s="91"/>
      <c r="D24" s="417"/>
    </row>
    <row r="25" spans="1:4" s="3" customFormat="1" ht="12.75" customHeight="1">
      <c r="A25" s="92"/>
      <c r="B25" s="93" t="s">
        <v>974</v>
      </c>
      <c r="C25" s="91"/>
      <c r="D25" s="417"/>
    </row>
    <row r="26" spans="1:4" s="3" customFormat="1" ht="26.25" customHeight="1">
      <c r="A26" s="92"/>
      <c r="B26" s="93" t="s">
        <v>975</v>
      </c>
      <c r="C26" s="91"/>
      <c r="D26" s="417"/>
    </row>
    <row r="27" spans="1:4" s="3" customFormat="1" ht="39.6">
      <c r="A27" s="92"/>
      <c r="B27" s="93" t="s">
        <v>976</v>
      </c>
      <c r="C27" s="91"/>
      <c r="D27" s="417"/>
    </row>
    <row r="28" spans="1:4" s="3" customFormat="1" ht="26.45">
      <c r="A28" s="92"/>
      <c r="B28" s="282" t="s">
        <v>977</v>
      </c>
      <c r="C28" s="91"/>
      <c r="D28" s="417"/>
    </row>
    <row r="29" spans="1:4" s="3" customFormat="1" ht="30" customHeight="1">
      <c r="A29" s="92"/>
      <c r="B29" s="94" t="s">
        <v>978</v>
      </c>
      <c r="C29" s="91"/>
      <c r="D29" s="417"/>
    </row>
    <row r="30" spans="1:4" s="3" customFormat="1" ht="26.45">
      <c r="A30" s="90"/>
      <c r="B30" s="95" t="s">
        <v>979</v>
      </c>
      <c r="C30" s="91"/>
      <c r="D30" s="417"/>
    </row>
    <row r="31" spans="1:4" s="3" customFormat="1" ht="39.6">
      <c r="A31" s="90"/>
      <c r="B31" s="95" t="s">
        <v>980</v>
      </c>
      <c r="C31" s="91"/>
      <c r="D31" s="417"/>
    </row>
    <row r="32" spans="1:4" s="3" customFormat="1">
      <c r="A32" s="90"/>
      <c r="B32" s="95" t="s">
        <v>981</v>
      </c>
      <c r="C32" s="91"/>
      <c r="D32" s="417"/>
    </row>
    <row r="33" spans="1:4" s="3" customFormat="1">
      <c r="A33" s="90"/>
      <c r="B33" s="95" t="s">
        <v>982</v>
      </c>
      <c r="C33" s="91"/>
      <c r="D33" s="417"/>
    </row>
    <row r="34" spans="1:4" s="3" customFormat="1" ht="26.45">
      <c r="A34" s="90"/>
      <c r="B34" s="95" t="s">
        <v>983</v>
      </c>
      <c r="C34" s="91"/>
      <c r="D34" s="417"/>
    </row>
    <row r="35" spans="1:4" s="3" customFormat="1" ht="26.45">
      <c r="A35" s="90"/>
      <c r="B35" s="95" t="s">
        <v>984</v>
      </c>
      <c r="C35" s="91"/>
      <c r="D35" s="417"/>
    </row>
    <row r="36" spans="1:4" s="3" customFormat="1">
      <c r="A36" s="90"/>
      <c r="B36" s="95" t="s">
        <v>985</v>
      </c>
      <c r="C36" s="91"/>
      <c r="D36" s="417"/>
    </row>
    <row r="37" spans="1:4" s="3" customFormat="1" ht="39.6">
      <c r="A37" s="90"/>
      <c r="B37" s="281" t="s">
        <v>986</v>
      </c>
      <c r="C37" s="91"/>
      <c r="D37" s="417"/>
    </row>
    <row r="38" spans="1:4" s="3" customFormat="1" ht="39" customHeight="1">
      <c r="A38" s="90"/>
      <c r="B38" s="95" t="s">
        <v>987</v>
      </c>
      <c r="C38" s="91"/>
      <c r="D38" s="417"/>
    </row>
    <row r="39" spans="1:4" s="3" customFormat="1" ht="52.9">
      <c r="A39" s="90"/>
      <c r="B39" s="281" t="s">
        <v>988</v>
      </c>
      <c r="C39" s="91"/>
      <c r="D39" s="417"/>
    </row>
    <row r="40" spans="1:4" s="3" customFormat="1">
      <c r="A40" s="90"/>
      <c r="B40" s="281" t="s">
        <v>989</v>
      </c>
      <c r="C40" s="91"/>
      <c r="D40" s="417"/>
    </row>
    <row r="41" spans="1:4" s="3" customFormat="1" ht="26.45">
      <c r="A41" s="90"/>
      <c r="B41" s="281" t="s">
        <v>990</v>
      </c>
      <c r="C41" s="91"/>
      <c r="D41" s="417"/>
    </row>
    <row r="42" spans="1:4" s="3" customFormat="1" ht="39.6">
      <c r="A42" s="96"/>
      <c r="B42" s="97" t="s">
        <v>991</v>
      </c>
      <c r="C42" s="98"/>
      <c r="D42" s="416"/>
    </row>
    <row r="43" spans="1:4" s="3" customFormat="1" ht="39.6">
      <c r="A43" s="90"/>
      <c r="B43" s="99" t="s">
        <v>992</v>
      </c>
      <c r="C43" s="91"/>
      <c r="D43" s="417"/>
    </row>
    <row r="44" spans="1:4" s="3" customFormat="1" ht="26.45">
      <c r="A44" s="90"/>
      <c r="B44" s="281" t="s">
        <v>993</v>
      </c>
      <c r="C44" s="91"/>
      <c r="D44" s="417"/>
    </row>
    <row r="45" spans="1:4" s="3" customFormat="1">
      <c r="A45" s="90" t="s">
        <v>959</v>
      </c>
      <c r="B45" s="281" t="s">
        <v>994</v>
      </c>
      <c r="C45" s="91" t="s">
        <v>959</v>
      </c>
      <c r="D45" s="417"/>
    </row>
    <row r="46" spans="1:4" s="3" customFormat="1">
      <c r="A46" s="90" t="s">
        <v>959</v>
      </c>
      <c r="B46" s="281" t="s">
        <v>995</v>
      </c>
      <c r="C46" s="91" t="s">
        <v>959</v>
      </c>
      <c r="D46" s="417"/>
    </row>
    <row r="47" spans="1:4" s="71" customFormat="1" ht="26.45">
      <c r="A47" s="90" t="s">
        <v>959</v>
      </c>
      <c r="B47" s="281" t="s">
        <v>996</v>
      </c>
      <c r="C47" s="91" t="s">
        <v>959</v>
      </c>
      <c r="D47" s="417"/>
    </row>
    <row r="48" spans="1:4" s="71" customFormat="1">
      <c r="A48" s="16" t="s">
        <v>4</v>
      </c>
      <c r="B48" s="17" t="s">
        <v>997</v>
      </c>
      <c r="C48" s="18"/>
      <c r="D48" s="417"/>
    </row>
    <row r="49" spans="1:4" s="71" customFormat="1">
      <c r="A49" s="90"/>
      <c r="B49" s="283" t="s">
        <v>998</v>
      </c>
      <c r="C49" s="18" t="s">
        <v>999</v>
      </c>
      <c r="D49" s="417"/>
    </row>
    <row r="50" spans="1:4" s="71" customFormat="1">
      <c r="A50" s="16" t="s">
        <v>5</v>
      </c>
      <c r="B50" s="17" t="s">
        <v>1000</v>
      </c>
      <c r="C50" s="18"/>
      <c r="D50" s="417"/>
    </row>
    <row r="51" spans="1:4" s="71" customFormat="1">
      <c r="A51" s="90"/>
      <c r="B51" s="283" t="s">
        <v>998</v>
      </c>
      <c r="C51" s="18" t="s">
        <v>999</v>
      </c>
      <c r="D51" s="417"/>
    </row>
    <row r="52" spans="1:4" s="71" customFormat="1">
      <c r="A52" s="16" t="s">
        <v>1001</v>
      </c>
      <c r="B52" s="17" t="s">
        <v>1002</v>
      </c>
      <c r="C52" s="18"/>
      <c r="D52" s="417"/>
    </row>
    <row r="53" spans="1:4" s="71" customFormat="1">
      <c r="A53" s="90"/>
      <c r="B53" s="283" t="s">
        <v>998</v>
      </c>
      <c r="C53" s="18" t="s">
        <v>999</v>
      </c>
      <c r="D53" s="417"/>
    </row>
    <row r="54" spans="1:4" s="4" customFormat="1">
      <c r="A54" s="16" t="s">
        <v>1003</v>
      </c>
      <c r="B54" s="17" t="s">
        <v>1004</v>
      </c>
      <c r="C54" s="18"/>
      <c r="D54" s="417"/>
    </row>
    <row r="55" spans="1:4" s="4" customFormat="1">
      <c r="A55" s="16"/>
      <c r="B55" s="283" t="s">
        <v>998</v>
      </c>
      <c r="C55" s="18" t="s">
        <v>999</v>
      </c>
      <c r="D55" s="417"/>
    </row>
    <row r="56" spans="1:4" s="4" customFormat="1">
      <c r="A56" s="16" t="s">
        <v>1005</v>
      </c>
      <c r="B56" s="17" t="s">
        <v>1006</v>
      </c>
      <c r="C56" s="18"/>
      <c r="D56" s="417"/>
    </row>
    <row r="57" spans="1:4" s="4" customFormat="1">
      <c r="A57" s="16"/>
      <c r="B57" s="283" t="s">
        <v>998</v>
      </c>
      <c r="C57" s="18" t="s">
        <v>999</v>
      </c>
      <c r="D57" s="417"/>
    </row>
    <row r="58" spans="1:4" s="4" customFormat="1">
      <c r="A58" s="16" t="s">
        <v>1007</v>
      </c>
      <c r="B58" s="17" t="s">
        <v>1008</v>
      </c>
      <c r="C58" s="18"/>
      <c r="D58" s="417"/>
    </row>
    <row r="59" spans="1:4" s="4" customFormat="1">
      <c r="A59" s="16"/>
      <c r="B59" s="283" t="s">
        <v>998</v>
      </c>
      <c r="C59" s="18" t="s">
        <v>999</v>
      </c>
      <c r="D59" s="417"/>
    </row>
    <row r="60" spans="1:4" s="4" customFormat="1">
      <c r="A60" s="16" t="s">
        <v>1009</v>
      </c>
      <c r="B60" s="17" t="s">
        <v>1010</v>
      </c>
      <c r="C60" s="18"/>
      <c r="D60" s="417"/>
    </row>
    <row r="61" spans="1:4" s="4" customFormat="1">
      <c r="A61" s="16"/>
      <c r="B61" s="283" t="s">
        <v>998</v>
      </c>
      <c r="C61" s="18" t="s">
        <v>999</v>
      </c>
      <c r="D61" s="417"/>
    </row>
    <row r="62" spans="1:4" s="4" customFormat="1">
      <c r="A62" s="16" t="s">
        <v>1011</v>
      </c>
      <c r="B62" s="17" t="s">
        <v>1012</v>
      </c>
      <c r="C62" s="18"/>
      <c r="D62" s="417"/>
    </row>
    <row r="63" spans="1:4" s="4" customFormat="1">
      <c r="A63" s="16"/>
      <c r="B63" s="283" t="s">
        <v>998</v>
      </c>
      <c r="C63" s="18" t="s">
        <v>999</v>
      </c>
      <c r="D63" s="417"/>
    </row>
    <row r="64" spans="1:4" s="4" customFormat="1">
      <c r="A64" s="16" t="s">
        <v>1013</v>
      </c>
      <c r="B64" s="17" t="s">
        <v>1014</v>
      </c>
      <c r="C64" s="18"/>
      <c r="D64" s="417"/>
    </row>
    <row r="65" spans="1:7" s="4" customFormat="1">
      <c r="A65" s="16"/>
      <c r="B65" s="283" t="s">
        <v>998</v>
      </c>
      <c r="C65" s="18" t="s">
        <v>999</v>
      </c>
      <c r="D65" s="417"/>
    </row>
    <row r="66" spans="1:7" s="4" customFormat="1">
      <c r="A66" s="16" t="s">
        <v>1015</v>
      </c>
      <c r="B66" s="17" t="s">
        <v>1016</v>
      </c>
      <c r="C66" s="18"/>
      <c r="D66" s="417"/>
      <c r="G66" s="276"/>
    </row>
    <row r="67" spans="1:7" s="3" customFormat="1">
      <c r="A67" s="16"/>
      <c r="B67" s="283" t="s">
        <v>998</v>
      </c>
      <c r="C67" s="18" t="s">
        <v>999</v>
      </c>
      <c r="D67" s="417"/>
      <c r="G67" s="276"/>
    </row>
    <row r="68" spans="1:7" s="3" customFormat="1">
      <c r="A68" s="16" t="s">
        <v>1017</v>
      </c>
      <c r="B68" s="17" t="s">
        <v>1018</v>
      </c>
      <c r="C68" s="18"/>
      <c r="D68" s="417"/>
      <c r="G68" s="276"/>
    </row>
    <row r="69" spans="1:7" s="3" customFormat="1">
      <c r="A69" s="16"/>
      <c r="B69" s="283" t="s">
        <v>998</v>
      </c>
      <c r="C69" s="18" t="s">
        <v>999</v>
      </c>
      <c r="D69" s="417"/>
    </row>
    <row r="70" spans="1:7" s="3" customFormat="1">
      <c r="A70" s="16" t="s">
        <v>1019</v>
      </c>
      <c r="B70" s="269" t="s">
        <v>1020</v>
      </c>
      <c r="C70" s="18"/>
      <c r="D70" s="417"/>
    </row>
    <row r="71" spans="1:7" s="3" customFormat="1">
      <c r="A71" s="16"/>
      <c r="B71" s="283" t="s">
        <v>998</v>
      </c>
      <c r="C71" s="18" t="s">
        <v>999</v>
      </c>
      <c r="D71" s="417"/>
    </row>
    <row r="72" spans="1:7" s="3" customFormat="1">
      <c r="A72" s="16" t="s">
        <v>1021</v>
      </c>
      <c r="B72" s="17" t="s">
        <v>1022</v>
      </c>
      <c r="C72" s="18"/>
      <c r="D72" s="417"/>
    </row>
    <row r="73" spans="1:7" s="3" customFormat="1">
      <c r="A73" s="16"/>
      <c r="B73" s="283" t="s">
        <v>998</v>
      </c>
      <c r="C73" s="18" t="s">
        <v>999</v>
      </c>
      <c r="D73" s="417"/>
    </row>
    <row r="74" spans="1:7" s="3" customFormat="1">
      <c r="A74" s="22" t="s">
        <v>6</v>
      </c>
      <c r="B74" s="23" t="s">
        <v>1023</v>
      </c>
      <c r="C74" s="78"/>
      <c r="D74" s="255"/>
    </row>
    <row r="75" spans="1:7" s="3" customFormat="1" ht="39.6">
      <c r="A75" s="92" t="s">
        <v>959</v>
      </c>
      <c r="B75" s="94" t="s">
        <v>1024</v>
      </c>
      <c r="C75" s="91" t="s">
        <v>959</v>
      </c>
      <c r="D75" s="418"/>
    </row>
    <row r="76" spans="1:7" s="3" customFormat="1" ht="39.6">
      <c r="A76" s="92" t="s">
        <v>959</v>
      </c>
      <c r="B76" s="282" t="s">
        <v>1025</v>
      </c>
      <c r="C76" s="91" t="s">
        <v>959</v>
      </c>
      <c r="D76" s="418"/>
    </row>
    <row r="77" spans="1:7" s="3" customFormat="1">
      <c r="A77" s="30" t="s">
        <v>1026</v>
      </c>
      <c r="B77" s="31" t="s">
        <v>1027</v>
      </c>
      <c r="C77" s="222"/>
      <c r="D77" s="418"/>
    </row>
    <row r="78" spans="1:7" s="3" customFormat="1">
      <c r="A78" s="30"/>
      <c r="B78" s="282" t="s">
        <v>1028</v>
      </c>
      <c r="C78" s="18" t="s">
        <v>1029</v>
      </c>
      <c r="D78" s="418"/>
    </row>
    <row r="79" spans="1:7" s="2" customFormat="1">
      <c r="A79" s="30" t="s">
        <v>1030</v>
      </c>
      <c r="B79" s="31" t="s">
        <v>1031</v>
      </c>
      <c r="C79" s="91"/>
      <c r="D79" s="418"/>
    </row>
    <row r="80" spans="1:7" s="2" customFormat="1">
      <c r="A80" s="223"/>
      <c r="B80" s="94" t="s">
        <v>1028</v>
      </c>
      <c r="C80" s="18" t="s">
        <v>1029</v>
      </c>
      <c r="D80" s="418"/>
    </row>
    <row r="81" spans="1:7" s="2" customFormat="1">
      <c r="A81" s="22" t="s">
        <v>1032</v>
      </c>
      <c r="B81" s="23" t="s">
        <v>1033</v>
      </c>
      <c r="C81" s="78"/>
      <c r="D81" s="255"/>
    </row>
    <row r="82" spans="1:7" s="2" customFormat="1" ht="92.45">
      <c r="A82" s="100" t="s">
        <v>959</v>
      </c>
      <c r="B82" s="95" t="s">
        <v>1034</v>
      </c>
      <c r="C82" s="101" t="s">
        <v>959</v>
      </c>
      <c r="D82" s="418"/>
    </row>
    <row r="83" spans="1:7" s="2" customFormat="1">
      <c r="A83" s="100" t="s">
        <v>959</v>
      </c>
      <c r="B83" s="283" t="s">
        <v>961</v>
      </c>
      <c r="C83" s="101" t="s">
        <v>959</v>
      </c>
      <c r="D83" s="418"/>
    </row>
    <row r="84" spans="1:7" s="2" customFormat="1" ht="26.45">
      <c r="A84" s="100" t="s">
        <v>959</v>
      </c>
      <c r="B84" s="95" t="s">
        <v>1035</v>
      </c>
      <c r="C84" s="101" t="s">
        <v>959</v>
      </c>
      <c r="D84" s="418"/>
    </row>
    <row r="85" spans="1:7" s="2" customFormat="1">
      <c r="A85" s="100" t="s">
        <v>959</v>
      </c>
      <c r="B85" s="95" t="s">
        <v>1036</v>
      </c>
      <c r="C85" s="101" t="s">
        <v>959</v>
      </c>
      <c r="D85" s="418"/>
    </row>
    <row r="86" spans="1:7" s="2" customFormat="1">
      <c r="A86" s="100"/>
      <c r="B86" s="95" t="s">
        <v>1037</v>
      </c>
      <c r="C86" s="101"/>
      <c r="D86" s="418"/>
    </row>
    <row r="87" spans="1:7" s="2" customFormat="1" ht="26.45">
      <c r="A87" s="100" t="s">
        <v>959</v>
      </c>
      <c r="B87" s="95" t="s">
        <v>1038</v>
      </c>
      <c r="C87" s="101" t="s">
        <v>959</v>
      </c>
      <c r="D87" s="418"/>
    </row>
    <row r="88" spans="1:7" s="2" customFormat="1" ht="26.45">
      <c r="A88" s="100"/>
      <c r="B88" s="95" t="s">
        <v>1039</v>
      </c>
      <c r="C88" s="101"/>
      <c r="D88" s="418"/>
    </row>
    <row r="89" spans="1:7" s="3" customFormat="1" ht="39.6">
      <c r="A89" s="100"/>
      <c r="B89" s="95" t="s">
        <v>1040</v>
      </c>
      <c r="C89" s="101"/>
      <c r="D89" s="418"/>
      <c r="G89" s="2"/>
    </row>
    <row r="90" spans="1:7" s="3" customFormat="1" ht="26.45">
      <c r="A90" s="90"/>
      <c r="B90" s="102" t="s">
        <v>1041</v>
      </c>
      <c r="C90" s="91"/>
      <c r="D90" s="417"/>
    </row>
    <row r="91" spans="1:7" s="3" customFormat="1" ht="39.6">
      <c r="A91" s="103"/>
      <c r="B91" s="104" t="s">
        <v>1042</v>
      </c>
      <c r="C91" s="105"/>
      <c r="D91" s="419"/>
    </row>
    <row r="92" spans="1:7" s="71" customFormat="1" ht="26.45">
      <c r="A92" s="96"/>
      <c r="B92" s="106" t="s">
        <v>993</v>
      </c>
      <c r="C92" s="107"/>
      <c r="D92" s="420"/>
    </row>
    <row r="93" spans="1:7" s="71" customFormat="1">
      <c r="A93" s="16" t="s">
        <v>1043</v>
      </c>
      <c r="B93" s="17" t="s">
        <v>997</v>
      </c>
      <c r="C93" s="18"/>
      <c r="D93" s="418"/>
    </row>
    <row r="94" spans="1:7" s="71" customFormat="1">
      <c r="A94" s="16"/>
      <c r="B94" s="283" t="s">
        <v>998</v>
      </c>
      <c r="C94" s="18" t="s">
        <v>999</v>
      </c>
      <c r="D94" s="418"/>
    </row>
    <row r="95" spans="1:7" s="71" customFormat="1">
      <c r="A95" s="16" t="s">
        <v>1044</v>
      </c>
      <c r="B95" s="17" t="s">
        <v>1000</v>
      </c>
      <c r="C95" s="18"/>
      <c r="D95" s="418"/>
    </row>
    <row r="96" spans="1:7" s="4" customFormat="1">
      <c r="A96" s="16"/>
      <c r="B96" s="283" t="s">
        <v>998</v>
      </c>
      <c r="C96" s="18" t="s">
        <v>999</v>
      </c>
      <c r="D96" s="418"/>
    </row>
    <row r="97" spans="1:4" s="4" customFormat="1">
      <c r="A97" s="16" t="s">
        <v>1045</v>
      </c>
      <c r="B97" s="17" t="s">
        <v>1002</v>
      </c>
      <c r="C97" s="108"/>
      <c r="D97" s="418"/>
    </row>
    <row r="98" spans="1:4" s="4" customFormat="1">
      <c r="A98" s="16"/>
      <c r="B98" s="283" t="s">
        <v>998</v>
      </c>
      <c r="C98" s="108" t="s">
        <v>999</v>
      </c>
      <c r="D98" s="418"/>
    </row>
    <row r="99" spans="1:4" s="4" customFormat="1">
      <c r="A99" s="16" t="s">
        <v>23</v>
      </c>
      <c r="B99" s="17" t="s">
        <v>1046</v>
      </c>
      <c r="C99" s="108"/>
      <c r="D99" s="418"/>
    </row>
    <row r="100" spans="1:4" s="4" customFormat="1">
      <c r="A100" s="16"/>
      <c r="B100" s="283" t="s">
        <v>998</v>
      </c>
      <c r="C100" s="108" t="s">
        <v>999</v>
      </c>
      <c r="D100" s="418"/>
    </row>
    <row r="101" spans="1:4" s="4" customFormat="1">
      <c r="A101" s="16" t="s">
        <v>24</v>
      </c>
      <c r="B101" s="17" t="s">
        <v>1006</v>
      </c>
      <c r="C101" s="108"/>
      <c r="D101" s="418"/>
    </row>
    <row r="102" spans="1:4" s="4" customFormat="1">
      <c r="A102" s="16"/>
      <c r="B102" s="283" t="s">
        <v>998</v>
      </c>
      <c r="C102" s="108" t="s">
        <v>999</v>
      </c>
      <c r="D102" s="418"/>
    </row>
    <row r="103" spans="1:4" s="4" customFormat="1">
      <c r="A103" s="16" t="s">
        <v>25</v>
      </c>
      <c r="B103" s="17" t="s">
        <v>1008</v>
      </c>
      <c r="C103" s="108"/>
      <c r="D103" s="418"/>
    </row>
    <row r="104" spans="1:4" s="4" customFormat="1">
      <c r="A104" s="16"/>
      <c r="B104" s="283" t="s">
        <v>998</v>
      </c>
      <c r="C104" s="108" t="s">
        <v>999</v>
      </c>
      <c r="D104" s="418"/>
    </row>
    <row r="105" spans="1:4" s="4" customFormat="1">
      <c r="A105" s="16" t="s">
        <v>26</v>
      </c>
      <c r="B105" s="17" t="s">
        <v>1010</v>
      </c>
      <c r="C105" s="108"/>
      <c r="D105" s="418"/>
    </row>
    <row r="106" spans="1:4" s="4" customFormat="1">
      <c r="A106" s="16"/>
      <c r="B106" s="283" t="s">
        <v>998</v>
      </c>
      <c r="C106" s="108" t="s">
        <v>999</v>
      </c>
      <c r="D106" s="418"/>
    </row>
    <row r="107" spans="1:4" s="4" customFormat="1">
      <c r="A107" s="16" t="s">
        <v>27</v>
      </c>
      <c r="B107" s="17" t="s">
        <v>1012</v>
      </c>
      <c r="C107" s="108"/>
      <c r="D107" s="418"/>
    </row>
    <row r="108" spans="1:4" s="4" customFormat="1">
      <c r="A108" s="16"/>
      <c r="B108" s="283" t="s">
        <v>998</v>
      </c>
      <c r="C108" s="108" t="s">
        <v>999</v>
      </c>
      <c r="D108" s="418"/>
    </row>
    <row r="109" spans="1:4" s="4" customFormat="1">
      <c r="A109" s="16" t="s">
        <v>28</v>
      </c>
      <c r="B109" s="17" t="s">
        <v>1014</v>
      </c>
      <c r="C109" s="108"/>
      <c r="D109" s="418"/>
    </row>
    <row r="110" spans="1:4" s="4" customFormat="1">
      <c r="A110" s="16"/>
      <c r="B110" s="283" t="s">
        <v>998</v>
      </c>
      <c r="C110" s="108" t="s">
        <v>999</v>
      </c>
      <c r="D110" s="418"/>
    </row>
    <row r="111" spans="1:4" s="4" customFormat="1">
      <c r="A111" s="16" t="s">
        <v>29</v>
      </c>
      <c r="B111" s="17" t="s">
        <v>1016</v>
      </c>
      <c r="C111" s="108"/>
      <c r="D111" s="418"/>
    </row>
    <row r="112" spans="1:4" s="3" customFormat="1">
      <c r="A112" s="16"/>
      <c r="B112" s="283" t="s">
        <v>998</v>
      </c>
      <c r="C112" s="108" t="s">
        <v>999</v>
      </c>
      <c r="D112" s="418"/>
    </row>
    <row r="113" spans="1:4" s="3" customFormat="1">
      <c r="A113" s="16" t="s">
        <v>30</v>
      </c>
      <c r="B113" s="17" t="s">
        <v>1018</v>
      </c>
      <c r="C113" s="108"/>
      <c r="D113" s="418"/>
    </row>
    <row r="114" spans="1:4" s="3" customFormat="1">
      <c r="A114" s="16"/>
      <c r="B114" s="283" t="s">
        <v>998</v>
      </c>
      <c r="C114" s="108" t="s">
        <v>999</v>
      </c>
      <c r="D114" s="418"/>
    </row>
    <row r="115" spans="1:4" s="3" customFormat="1">
      <c r="A115" s="16" t="s">
        <v>1047</v>
      </c>
      <c r="B115" s="17" t="s">
        <v>1020</v>
      </c>
      <c r="C115" s="108"/>
      <c r="D115" s="418"/>
    </row>
    <row r="116" spans="1:4" s="3" customFormat="1">
      <c r="A116" s="16"/>
      <c r="B116" s="283" t="s">
        <v>998</v>
      </c>
      <c r="C116" s="108" t="s">
        <v>999</v>
      </c>
      <c r="D116" s="418"/>
    </row>
    <row r="117" spans="1:4" s="3" customFormat="1">
      <c r="A117" s="16" t="s">
        <v>1048</v>
      </c>
      <c r="B117" s="17" t="s">
        <v>1022</v>
      </c>
      <c r="C117" s="108"/>
      <c r="D117" s="418"/>
    </row>
    <row r="118" spans="1:4" s="3" customFormat="1">
      <c r="A118" s="16"/>
      <c r="B118" s="283" t="s">
        <v>998</v>
      </c>
      <c r="C118" s="108" t="s">
        <v>999</v>
      </c>
      <c r="D118" s="418"/>
    </row>
    <row r="119" spans="1:4" s="3" customFormat="1">
      <c r="A119" s="22" t="s">
        <v>1049</v>
      </c>
      <c r="B119" s="23" t="s">
        <v>1050</v>
      </c>
      <c r="C119" s="78"/>
      <c r="D119" s="255"/>
    </row>
    <row r="120" spans="1:4" s="3" customFormat="1" ht="52.9">
      <c r="A120" s="224"/>
      <c r="B120" s="94" t="s">
        <v>1051</v>
      </c>
      <c r="C120" s="18"/>
      <c r="D120" s="418"/>
    </row>
    <row r="121" spans="1:4" s="3" customFormat="1" ht="26.45">
      <c r="A121" s="224"/>
      <c r="B121" s="94" t="s">
        <v>1052</v>
      </c>
      <c r="C121" s="18"/>
      <c r="D121" s="418"/>
    </row>
    <row r="122" spans="1:4" s="3" customFormat="1" ht="34.9" customHeight="1">
      <c r="A122" s="224"/>
      <c r="B122" s="94" t="s">
        <v>1053</v>
      </c>
      <c r="C122" s="18"/>
      <c r="D122" s="418"/>
    </row>
    <row r="123" spans="1:4" s="71" customFormat="1" ht="45" customHeight="1">
      <c r="A123" s="224"/>
      <c r="B123" s="94" t="s">
        <v>1054</v>
      </c>
      <c r="C123" s="18"/>
      <c r="D123" s="418"/>
    </row>
    <row r="124" spans="1:4" s="3" customFormat="1">
      <c r="A124" s="16" t="s">
        <v>31</v>
      </c>
      <c r="B124" s="17" t="s">
        <v>1055</v>
      </c>
      <c r="C124" s="18"/>
      <c r="D124" s="418"/>
    </row>
    <row r="125" spans="1:4" s="71" customFormat="1">
      <c r="A125" s="224"/>
      <c r="B125" s="283" t="s">
        <v>1056</v>
      </c>
      <c r="C125" s="18" t="s">
        <v>1057</v>
      </c>
      <c r="D125" s="418"/>
    </row>
    <row r="126" spans="1:4" s="3" customFormat="1">
      <c r="A126" s="16" t="s">
        <v>32</v>
      </c>
      <c r="B126" s="17" t="s">
        <v>1058</v>
      </c>
      <c r="C126" s="18"/>
      <c r="D126" s="418"/>
    </row>
    <row r="127" spans="1:4" s="71" customFormat="1">
      <c r="A127" s="224"/>
      <c r="B127" s="283" t="s">
        <v>1056</v>
      </c>
      <c r="C127" s="18" t="s">
        <v>1057</v>
      </c>
      <c r="D127" s="418"/>
    </row>
    <row r="128" spans="1:4" s="3" customFormat="1">
      <c r="A128" s="16" t="s">
        <v>33</v>
      </c>
      <c r="B128" s="17" t="s">
        <v>1059</v>
      </c>
      <c r="C128" s="18"/>
      <c r="D128" s="418"/>
    </row>
    <row r="129" spans="1:4" s="71" customFormat="1">
      <c r="A129" s="224"/>
      <c r="B129" s="283" t="s">
        <v>1056</v>
      </c>
      <c r="C129" s="18" t="s">
        <v>1057</v>
      </c>
      <c r="D129" s="418"/>
    </row>
    <row r="130" spans="1:4" s="3" customFormat="1">
      <c r="A130" s="16" t="s">
        <v>1060</v>
      </c>
      <c r="B130" s="17" t="s">
        <v>1061</v>
      </c>
      <c r="C130" s="18"/>
      <c r="D130" s="418"/>
    </row>
    <row r="131" spans="1:4" s="3" customFormat="1" ht="14.25" customHeight="1">
      <c r="A131" s="224"/>
      <c r="B131" s="283" t="s">
        <v>1056</v>
      </c>
      <c r="C131" s="18" t="s">
        <v>1057</v>
      </c>
      <c r="D131" s="418"/>
    </row>
    <row r="132" spans="1:4" s="2" customFormat="1" ht="26.45">
      <c r="A132" s="22" t="s">
        <v>34</v>
      </c>
      <c r="B132" s="26" t="s">
        <v>1062</v>
      </c>
      <c r="C132" s="24"/>
      <c r="D132" s="255"/>
    </row>
    <row r="133" spans="1:4" s="2" customFormat="1" ht="39.6">
      <c r="A133" s="111" t="s">
        <v>959</v>
      </c>
      <c r="B133" s="94" t="s">
        <v>1063</v>
      </c>
      <c r="C133" s="18" t="s">
        <v>959</v>
      </c>
      <c r="D133" s="418"/>
    </row>
    <row r="134" spans="1:4" s="2" customFormat="1">
      <c r="A134" s="111"/>
      <c r="B134" s="94" t="s">
        <v>1064</v>
      </c>
      <c r="C134" s="18"/>
      <c r="D134" s="418"/>
    </row>
    <row r="135" spans="1:4" s="2" customFormat="1">
      <c r="A135" s="111" t="s">
        <v>959</v>
      </c>
      <c r="B135" s="94" t="s">
        <v>1065</v>
      </c>
      <c r="C135" s="18" t="s">
        <v>959</v>
      </c>
      <c r="D135" s="418"/>
    </row>
    <row r="136" spans="1:4" s="2" customFormat="1">
      <c r="A136" s="111"/>
      <c r="B136" s="94" t="s">
        <v>1066</v>
      </c>
      <c r="C136" s="18"/>
      <c r="D136" s="418"/>
    </row>
    <row r="137" spans="1:4" s="2" customFormat="1">
      <c r="A137" s="111" t="s">
        <v>959</v>
      </c>
      <c r="B137" s="94" t="s">
        <v>1067</v>
      </c>
      <c r="C137" s="18" t="s">
        <v>959</v>
      </c>
      <c r="D137" s="418"/>
    </row>
    <row r="138" spans="1:4" s="2" customFormat="1">
      <c r="A138" s="111"/>
      <c r="B138" s="94" t="s">
        <v>1068</v>
      </c>
      <c r="C138" s="18"/>
      <c r="D138" s="418"/>
    </row>
    <row r="139" spans="1:4" s="2" customFormat="1">
      <c r="A139" s="111"/>
      <c r="B139" s="94" t="s">
        <v>1069</v>
      </c>
      <c r="C139" s="18"/>
      <c r="D139" s="418"/>
    </row>
    <row r="140" spans="1:4" s="2" customFormat="1">
      <c r="A140" s="111"/>
      <c r="B140" s="94" t="s">
        <v>1070</v>
      </c>
      <c r="C140" s="18"/>
      <c r="D140" s="418"/>
    </row>
    <row r="141" spans="1:4" s="2" customFormat="1">
      <c r="A141" s="111"/>
      <c r="B141" s="94" t="s">
        <v>1071</v>
      </c>
      <c r="C141" s="18"/>
      <c r="D141" s="418"/>
    </row>
    <row r="142" spans="1:4" s="2" customFormat="1" ht="26.45">
      <c r="A142" s="111"/>
      <c r="B142" s="94" t="s">
        <v>1072</v>
      </c>
      <c r="C142" s="18"/>
      <c r="D142" s="418"/>
    </row>
    <row r="143" spans="1:4" s="2" customFormat="1" ht="26.45">
      <c r="A143" s="111" t="s">
        <v>959</v>
      </c>
      <c r="B143" s="94" t="s">
        <v>1073</v>
      </c>
      <c r="C143" s="18" t="s">
        <v>959</v>
      </c>
      <c r="D143" s="418"/>
    </row>
    <row r="144" spans="1:4" s="2" customFormat="1">
      <c r="A144" s="30" t="s">
        <v>1074</v>
      </c>
      <c r="B144" s="17" t="s">
        <v>1075</v>
      </c>
      <c r="C144" s="18"/>
      <c r="D144" s="418"/>
    </row>
    <row r="145" spans="1:4" s="2" customFormat="1">
      <c r="A145" s="30"/>
      <c r="B145" s="283" t="s">
        <v>1076</v>
      </c>
      <c r="C145" s="18" t="s">
        <v>1077</v>
      </c>
      <c r="D145" s="418"/>
    </row>
    <row r="146" spans="1:4" s="2" customFormat="1">
      <c r="A146" s="30" t="s">
        <v>1078</v>
      </c>
      <c r="B146" s="17" t="s">
        <v>1079</v>
      </c>
      <c r="C146" s="18"/>
      <c r="D146" s="418"/>
    </row>
    <row r="147" spans="1:4" s="3" customFormat="1">
      <c r="A147" s="111"/>
      <c r="B147" s="283" t="s">
        <v>1080</v>
      </c>
      <c r="C147" s="18" t="s">
        <v>1081</v>
      </c>
      <c r="D147" s="418"/>
    </row>
    <row r="148" spans="1:4" s="3" customFormat="1">
      <c r="A148" s="30" t="s">
        <v>1082</v>
      </c>
      <c r="B148" s="17" t="s">
        <v>1083</v>
      </c>
      <c r="C148" s="18"/>
      <c r="D148" s="418"/>
    </row>
    <row r="149" spans="1:4" s="3" customFormat="1">
      <c r="A149" s="140"/>
      <c r="B149" s="283" t="s">
        <v>1076</v>
      </c>
      <c r="C149" s="18" t="s">
        <v>1077</v>
      </c>
      <c r="D149" s="418"/>
    </row>
    <row r="150" spans="1:4" s="2" customFormat="1" ht="26.45">
      <c r="A150" s="22" t="s">
        <v>35</v>
      </c>
      <c r="B150" s="26" t="s">
        <v>1084</v>
      </c>
      <c r="C150" s="24"/>
      <c r="D150" s="255"/>
    </row>
    <row r="151" spans="1:4" s="2" customFormat="1" ht="26.45">
      <c r="A151" s="111" t="s">
        <v>959</v>
      </c>
      <c r="B151" s="94" t="s">
        <v>1085</v>
      </c>
      <c r="C151" s="18" t="s">
        <v>959</v>
      </c>
      <c r="D151" s="418"/>
    </row>
    <row r="152" spans="1:4" s="2" customFormat="1">
      <c r="A152" s="111"/>
      <c r="B152" s="94" t="s">
        <v>1064</v>
      </c>
      <c r="C152" s="18"/>
      <c r="D152" s="418"/>
    </row>
    <row r="153" spans="1:4" s="2" customFormat="1">
      <c r="A153" s="111" t="s">
        <v>959</v>
      </c>
      <c r="B153" s="94" t="s">
        <v>1086</v>
      </c>
      <c r="C153" s="18" t="s">
        <v>959</v>
      </c>
      <c r="D153" s="418"/>
    </row>
    <row r="154" spans="1:4" s="2" customFormat="1">
      <c r="A154" s="111"/>
      <c r="B154" s="94" t="s">
        <v>1066</v>
      </c>
      <c r="C154" s="18"/>
      <c r="D154" s="418"/>
    </row>
    <row r="155" spans="1:4" s="2" customFormat="1">
      <c r="A155" s="111" t="s">
        <v>959</v>
      </c>
      <c r="B155" s="94" t="s">
        <v>1067</v>
      </c>
      <c r="C155" s="18" t="s">
        <v>959</v>
      </c>
      <c r="D155" s="418"/>
    </row>
    <row r="156" spans="1:4" s="2" customFormat="1">
      <c r="A156" s="111"/>
      <c r="B156" s="94" t="s">
        <v>1087</v>
      </c>
      <c r="C156" s="18"/>
      <c r="D156" s="418"/>
    </row>
    <row r="157" spans="1:4" s="2" customFormat="1">
      <c r="A157" s="111"/>
      <c r="B157" s="94" t="s">
        <v>1069</v>
      </c>
      <c r="C157" s="18"/>
      <c r="D157" s="418"/>
    </row>
    <row r="158" spans="1:4" s="2" customFormat="1">
      <c r="A158" s="111"/>
      <c r="B158" s="94" t="s">
        <v>1070</v>
      </c>
      <c r="C158" s="18"/>
      <c r="D158" s="418"/>
    </row>
    <row r="159" spans="1:4" s="2" customFormat="1" ht="27.75" customHeight="1">
      <c r="A159" s="111"/>
      <c r="B159" s="94" t="s">
        <v>1071</v>
      </c>
      <c r="C159" s="18"/>
      <c r="D159" s="418"/>
    </row>
    <row r="160" spans="1:4" s="2" customFormat="1" ht="36" customHeight="1">
      <c r="A160" s="111"/>
      <c r="B160" s="94" t="s">
        <v>1088</v>
      </c>
      <c r="C160" s="18"/>
      <c r="D160" s="418"/>
    </row>
    <row r="161" spans="1:4" s="2" customFormat="1" ht="39.6">
      <c r="A161" s="111"/>
      <c r="B161" s="94" t="s">
        <v>1089</v>
      </c>
      <c r="C161" s="18"/>
      <c r="D161" s="418"/>
    </row>
    <row r="162" spans="1:4" s="2" customFormat="1" ht="26.45">
      <c r="A162" s="111" t="s">
        <v>959</v>
      </c>
      <c r="B162" s="94" t="s">
        <v>1073</v>
      </c>
      <c r="C162" s="18" t="s">
        <v>959</v>
      </c>
      <c r="D162" s="418"/>
    </row>
    <row r="163" spans="1:4" s="2" customFormat="1" ht="26.45">
      <c r="A163" s="30" t="s">
        <v>1090</v>
      </c>
      <c r="B163" s="17" t="s">
        <v>1091</v>
      </c>
      <c r="C163" s="18"/>
      <c r="D163" s="418"/>
    </row>
    <row r="164" spans="1:4" s="2" customFormat="1">
      <c r="A164" s="30"/>
      <c r="B164" s="283" t="s">
        <v>1076</v>
      </c>
      <c r="C164" s="18" t="s">
        <v>1077</v>
      </c>
      <c r="D164" s="418"/>
    </row>
    <row r="165" spans="1:4" s="2" customFormat="1">
      <c r="A165" s="30" t="s">
        <v>1092</v>
      </c>
      <c r="B165" s="17" t="s">
        <v>1093</v>
      </c>
      <c r="C165" s="18"/>
      <c r="D165" s="418"/>
    </row>
    <row r="166" spans="1:4" s="2" customFormat="1">
      <c r="A166" s="140"/>
      <c r="B166" s="284" t="s">
        <v>1080</v>
      </c>
      <c r="C166" s="109" t="s">
        <v>1081</v>
      </c>
      <c r="D166" s="418"/>
    </row>
    <row r="167" spans="1:4" s="2" customFormat="1">
      <c r="A167" s="22" t="s">
        <v>1094</v>
      </c>
      <c r="B167" s="26" t="s">
        <v>1095</v>
      </c>
      <c r="C167" s="24"/>
      <c r="D167" s="255"/>
    </row>
    <row r="168" spans="1:4" s="2" customFormat="1" ht="26.45">
      <c r="A168" s="111"/>
      <c r="B168" s="94" t="s">
        <v>1096</v>
      </c>
      <c r="C168" s="18"/>
      <c r="D168" s="418"/>
    </row>
    <row r="169" spans="1:4" s="2" customFormat="1" ht="52.9">
      <c r="A169" s="111"/>
      <c r="B169" s="94" t="s">
        <v>1097</v>
      </c>
      <c r="C169" s="18"/>
      <c r="D169" s="418"/>
    </row>
    <row r="170" spans="1:4" s="2" customFormat="1">
      <c r="A170" s="111"/>
      <c r="B170" s="94"/>
      <c r="C170" s="18"/>
      <c r="D170" s="418"/>
    </row>
    <row r="171" spans="1:4" s="2" customFormat="1" ht="52.9">
      <c r="A171" s="111"/>
      <c r="B171" s="225" t="s">
        <v>1098</v>
      </c>
      <c r="C171" s="18"/>
      <c r="D171" s="418"/>
    </row>
    <row r="172" spans="1:4" s="2" customFormat="1">
      <c r="A172" s="370" t="s">
        <v>36</v>
      </c>
      <c r="B172" s="205" t="s">
        <v>1099</v>
      </c>
      <c r="C172" s="18"/>
      <c r="D172" s="418"/>
    </row>
    <row r="173" spans="1:4" s="2" customFormat="1">
      <c r="A173" s="371"/>
      <c r="B173" s="285" t="s">
        <v>1080</v>
      </c>
      <c r="C173" s="18" t="s">
        <v>1081</v>
      </c>
      <c r="D173" s="418"/>
    </row>
    <row r="174" spans="1:4" s="2" customFormat="1">
      <c r="A174" s="370" t="s">
        <v>37</v>
      </c>
      <c r="B174" s="205" t="s">
        <v>1100</v>
      </c>
      <c r="C174" s="18"/>
      <c r="D174" s="418"/>
    </row>
    <row r="175" spans="1:4" s="2" customFormat="1">
      <c r="A175" s="371"/>
      <c r="B175" s="296" t="s">
        <v>998</v>
      </c>
      <c r="C175" s="18" t="s">
        <v>999</v>
      </c>
      <c r="D175" s="418"/>
    </row>
    <row r="176" spans="1:4" s="2" customFormat="1">
      <c r="A176" s="370" t="s">
        <v>38</v>
      </c>
      <c r="B176" s="205" t="s">
        <v>1101</v>
      </c>
      <c r="C176" s="18"/>
      <c r="D176" s="418"/>
    </row>
    <row r="177" spans="1:4" s="2" customFormat="1">
      <c r="A177" s="371"/>
      <c r="B177" s="296" t="s">
        <v>998</v>
      </c>
      <c r="C177" s="18" t="s">
        <v>999</v>
      </c>
      <c r="D177" s="418"/>
    </row>
    <row r="178" spans="1:4" s="2" customFormat="1">
      <c r="A178" s="370" t="s">
        <v>1102</v>
      </c>
      <c r="B178" s="205" t="s">
        <v>1103</v>
      </c>
      <c r="C178" s="18"/>
      <c r="D178" s="418"/>
    </row>
    <row r="179" spans="1:4" s="2" customFormat="1" ht="13.5" customHeight="1">
      <c r="A179" s="371"/>
      <c r="B179" s="296" t="s">
        <v>998</v>
      </c>
      <c r="C179" s="18" t="s">
        <v>999</v>
      </c>
      <c r="D179" s="418"/>
    </row>
    <row r="180" spans="1:4" s="2" customFormat="1">
      <c r="A180" s="370" t="s">
        <v>1104</v>
      </c>
      <c r="B180" s="205" t="s">
        <v>1105</v>
      </c>
      <c r="C180" s="18"/>
      <c r="D180" s="418"/>
    </row>
    <row r="181" spans="1:4" s="2" customFormat="1">
      <c r="A181" s="140"/>
      <c r="B181" s="372" t="s">
        <v>998</v>
      </c>
      <c r="C181" s="109" t="s">
        <v>999</v>
      </c>
      <c r="D181" s="418"/>
    </row>
    <row r="182" spans="1:4" s="2" customFormat="1">
      <c r="A182" s="22" t="s">
        <v>1106</v>
      </c>
      <c r="B182" s="26" t="s">
        <v>1107</v>
      </c>
      <c r="C182" s="24"/>
      <c r="D182" s="255"/>
    </row>
    <row r="183" spans="1:4" s="2" customFormat="1" ht="39.6">
      <c r="A183" s="111"/>
      <c r="B183" s="94" t="s">
        <v>1108</v>
      </c>
      <c r="C183" s="18"/>
      <c r="D183" s="418"/>
    </row>
    <row r="184" spans="1:4" s="2" customFormat="1" ht="52.9">
      <c r="A184" s="111"/>
      <c r="B184" s="94" t="s">
        <v>1109</v>
      </c>
      <c r="C184" s="18"/>
      <c r="D184" s="418"/>
    </row>
    <row r="185" spans="1:4" s="2" customFormat="1" ht="52.9">
      <c r="A185" s="111"/>
      <c r="B185" s="225" t="s">
        <v>1098</v>
      </c>
      <c r="C185" s="18"/>
      <c r="D185" s="418"/>
    </row>
    <row r="186" spans="1:4" s="2" customFormat="1">
      <c r="A186" s="370" t="s">
        <v>1110</v>
      </c>
      <c r="B186" s="47" t="s">
        <v>1111</v>
      </c>
      <c r="C186" s="18"/>
      <c r="D186" s="418"/>
    </row>
    <row r="187" spans="1:4" s="2" customFormat="1">
      <c r="A187" s="371"/>
      <c r="B187" s="267" t="s">
        <v>1080</v>
      </c>
      <c r="C187" s="18" t="s">
        <v>1081</v>
      </c>
      <c r="D187" s="418"/>
    </row>
    <row r="188" spans="1:4" s="2" customFormat="1">
      <c r="A188" s="370" t="s">
        <v>1112</v>
      </c>
      <c r="B188" s="205" t="s">
        <v>1113</v>
      </c>
      <c r="C188" s="18"/>
      <c r="D188" s="418"/>
    </row>
    <row r="189" spans="1:4" s="2" customFormat="1">
      <c r="A189" s="371"/>
      <c r="B189" s="296" t="s">
        <v>998</v>
      </c>
      <c r="C189" s="18" t="s">
        <v>999</v>
      </c>
      <c r="D189" s="418"/>
    </row>
    <row r="190" spans="1:4" s="2" customFormat="1">
      <c r="A190" s="370" t="s">
        <v>1114</v>
      </c>
      <c r="B190" s="47" t="s">
        <v>1115</v>
      </c>
      <c r="C190" s="18"/>
      <c r="D190" s="418"/>
    </row>
    <row r="191" spans="1:4" s="2" customFormat="1">
      <c r="A191" s="371"/>
      <c r="B191" s="296" t="s">
        <v>998</v>
      </c>
      <c r="C191" s="18" t="s">
        <v>999</v>
      </c>
      <c r="D191" s="418"/>
    </row>
    <row r="192" spans="1:4" s="2" customFormat="1">
      <c r="A192" s="370" t="s">
        <v>1116</v>
      </c>
      <c r="B192" s="47" t="s">
        <v>1117</v>
      </c>
      <c r="C192" s="18"/>
      <c r="D192" s="418"/>
    </row>
    <row r="193" spans="1:4" s="2" customFormat="1">
      <c r="A193" s="371"/>
      <c r="B193" s="296" t="s">
        <v>998</v>
      </c>
      <c r="C193" s="18" t="s">
        <v>999</v>
      </c>
      <c r="D193" s="418"/>
    </row>
    <row r="194" spans="1:4" s="2" customFormat="1">
      <c r="A194" s="370" t="s">
        <v>1118</v>
      </c>
      <c r="B194" s="205" t="s">
        <v>1119</v>
      </c>
      <c r="C194" s="18"/>
      <c r="D194" s="418"/>
    </row>
    <row r="195" spans="1:4" s="2" customFormat="1">
      <c r="A195" s="140"/>
      <c r="B195" s="372" t="s">
        <v>998</v>
      </c>
      <c r="C195" s="109" t="s">
        <v>999</v>
      </c>
      <c r="D195" s="418"/>
    </row>
    <row r="196" spans="1:4" s="2" customFormat="1">
      <c r="A196" s="22" t="s">
        <v>1120</v>
      </c>
      <c r="B196" s="26" t="s">
        <v>1121</v>
      </c>
      <c r="C196" s="24"/>
      <c r="D196" s="255"/>
    </row>
    <row r="197" spans="1:4" s="2" customFormat="1" ht="39.6">
      <c r="A197" s="111" t="s">
        <v>959</v>
      </c>
      <c r="B197" s="94" t="s">
        <v>1122</v>
      </c>
      <c r="C197" s="18" t="s">
        <v>959</v>
      </c>
      <c r="D197" s="418"/>
    </row>
    <row r="198" spans="1:4" s="2" customFormat="1">
      <c r="A198" s="111" t="s">
        <v>959</v>
      </c>
      <c r="B198" s="94" t="s">
        <v>1123</v>
      </c>
      <c r="C198" s="18" t="s">
        <v>959</v>
      </c>
      <c r="D198" s="418"/>
    </row>
    <row r="199" spans="1:4" s="2" customFormat="1" ht="13.5" customHeight="1">
      <c r="A199" s="111"/>
      <c r="B199" s="94" t="s">
        <v>1124</v>
      </c>
      <c r="C199" s="18"/>
      <c r="D199" s="418"/>
    </row>
    <row r="200" spans="1:4" s="2" customFormat="1" ht="26.45">
      <c r="A200" s="111" t="s">
        <v>959</v>
      </c>
      <c r="B200" s="94" t="s">
        <v>1125</v>
      </c>
      <c r="C200" s="18" t="s">
        <v>959</v>
      </c>
      <c r="D200" s="418"/>
    </row>
    <row r="201" spans="1:4" s="2" customFormat="1">
      <c r="A201" s="111" t="s">
        <v>959</v>
      </c>
      <c r="B201" s="94" t="s">
        <v>1126</v>
      </c>
      <c r="C201" s="18" t="s">
        <v>959</v>
      </c>
      <c r="D201" s="418"/>
    </row>
    <row r="202" spans="1:4" s="2" customFormat="1">
      <c r="A202" s="111" t="s">
        <v>959</v>
      </c>
      <c r="B202" s="94" t="s">
        <v>1127</v>
      </c>
      <c r="C202" s="18" t="s">
        <v>959</v>
      </c>
      <c r="D202" s="418"/>
    </row>
    <row r="203" spans="1:4" s="2" customFormat="1">
      <c r="A203" s="111" t="s">
        <v>959</v>
      </c>
      <c r="B203" s="94" t="s">
        <v>1128</v>
      </c>
      <c r="C203" s="18" t="s">
        <v>959</v>
      </c>
      <c r="D203" s="418"/>
    </row>
    <row r="204" spans="1:4" s="2" customFormat="1">
      <c r="A204" s="111" t="s">
        <v>959</v>
      </c>
      <c r="B204" s="94" t="s">
        <v>1129</v>
      </c>
      <c r="C204" s="18" t="s">
        <v>959</v>
      </c>
      <c r="D204" s="418"/>
    </row>
    <row r="205" spans="1:4" s="2" customFormat="1">
      <c r="A205" s="111" t="s">
        <v>959</v>
      </c>
      <c r="B205" s="94" t="s">
        <v>1130</v>
      </c>
      <c r="C205" s="18" t="s">
        <v>959</v>
      </c>
      <c r="D205" s="418"/>
    </row>
    <row r="206" spans="1:4" s="2" customFormat="1" ht="26.45">
      <c r="A206" s="111"/>
      <c r="B206" s="94" t="s">
        <v>1131</v>
      </c>
      <c r="C206" s="18"/>
      <c r="D206" s="418"/>
    </row>
    <row r="207" spans="1:4" s="2" customFormat="1">
      <c r="A207" s="30" t="s">
        <v>1132</v>
      </c>
      <c r="B207" s="31" t="s">
        <v>1133</v>
      </c>
      <c r="C207" s="18"/>
      <c r="D207" s="418"/>
    </row>
    <row r="208" spans="1:4" s="2" customFormat="1">
      <c r="A208" s="111"/>
      <c r="B208" s="267" t="s">
        <v>1028</v>
      </c>
      <c r="C208" s="18" t="s">
        <v>1029</v>
      </c>
      <c r="D208" s="418"/>
    </row>
    <row r="209" spans="1:4" s="2" customFormat="1">
      <c r="A209" s="30" t="s">
        <v>1134</v>
      </c>
      <c r="B209" s="31" t="s">
        <v>1135</v>
      </c>
      <c r="C209" s="18"/>
      <c r="D209" s="418"/>
    </row>
    <row r="210" spans="1:4" s="2" customFormat="1">
      <c r="A210" s="111"/>
      <c r="B210" s="267" t="s">
        <v>1028</v>
      </c>
      <c r="C210" s="18" t="s">
        <v>1029</v>
      </c>
      <c r="D210" s="418"/>
    </row>
    <row r="211" spans="1:4" s="2" customFormat="1">
      <c r="A211" s="22" t="s">
        <v>1136</v>
      </c>
      <c r="B211" s="26" t="s">
        <v>1137</v>
      </c>
      <c r="C211" s="24"/>
      <c r="D211" s="255"/>
    </row>
    <row r="212" spans="1:4" s="2" customFormat="1" ht="26.45">
      <c r="A212" s="111"/>
      <c r="B212" s="94" t="s">
        <v>1138</v>
      </c>
      <c r="C212" s="18"/>
      <c r="D212" s="418"/>
    </row>
    <row r="213" spans="1:4" s="2" customFormat="1">
      <c r="A213" s="111" t="s">
        <v>959</v>
      </c>
      <c r="B213" s="94" t="s">
        <v>1139</v>
      </c>
      <c r="C213" s="18" t="s">
        <v>959</v>
      </c>
      <c r="D213" s="418"/>
    </row>
    <row r="214" spans="1:4" s="3" customFormat="1" ht="39.6">
      <c r="A214" s="111" t="s">
        <v>959</v>
      </c>
      <c r="B214" s="94" t="s">
        <v>1140</v>
      </c>
      <c r="C214" s="18" t="s">
        <v>959</v>
      </c>
      <c r="D214" s="418"/>
    </row>
    <row r="215" spans="1:4" s="3" customFormat="1">
      <c r="A215" s="30" t="s">
        <v>1141</v>
      </c>
      <c r="B215" s="17" t="s">
        <v>1142</v>
      </c>
      <c r="C215" s="18"/>
      <c r="D215" s="418"/>
    </row>
    <row r="216" spans="1:4" s="3" customFormat="1">
      <c r="A216" s="30"/>
      <c r="B216" s="283" t="s">
        <v>998</v>
      </c>
      <c r="C216" s="18" t="s">
        <v>999</v>
      </c>
      <c r="D216" s="418"/>
    </row>
    <row r="217" spans="1:4" s="3" customFormat="1">
      <c r="A217" s="30" t="s">
        <v>1143</v>
      </c>
      <c r="B217" s="17" t="s">
        <v>1144</v>
      </c>
      <c r="C217" s="18"/>
      <c r="D217" s="418"/>
    </row>
    <row r="218" spans="1:4" s="3" customFormat="1">
      <c r="A218" s="30"/>
      <c r="B218" s="283" t="s">
        <v>998</v>
      </c>
      <c r="C218" s="18" t="s">
        <v>999</v>
      </c>
      <c r="D218" s="418"/>
    </row>
    <row r="219" spans="1:4" s="3" customFormat="1">
      <c r="A219" s="30" t="s">
        <v>1145</v>
      </c>
      <c r="B219" s="17" t="s">
        <v>1146</v>
      </c>
      <c r="C219" s="18"/>
      <c r="D219" s="418"/>
    </row>
    <row r="220" spans="1:4" s="3" customFormat="1">
      <c r="A220" s="30"/>
      <c r="B220" s="283" t="s">
        <v>998</v>
      </c>
      <c r="C220" s="18" t="s">
        <v>999</v>
      </c>
      <c r="D220" s="418"/>
    </row>
    <row r="221" spans="1:4" s="2" customFormat="1">
      <c r="A221" s="22" t="s">
        <v>1147</v>
      </c>
      <c r="B221" s="26" t="s">
        <v>1148</v>
      </c>
      <c r="C221" s="24"/>
      <c r="D221" s="255"/>
    </row>
    <row r="222" spans="1:4" s="2" customFormat="1" ht="26.45">
      <c r="A222" s="111" t="s">
        <v>959</v>
      </c>
      <c r="B222" s="283" t="s">
        <v>1149</v>
      </c>
      <c r="C222" s="18" t="s">
        <v>959</v>
      </c>
      <c r="D222" s="418"/>
    </row>
    <row r="223" spans="1:4" s="2" customFormat="1">
      <c r="A223" s="111"/>
      <c r="B223" s="267" t="s">
        <v>1150</v>
      </c>
      <c r="C223" s="18"/>
      <c r="D223" s="418"/>
    </row>
    <row r="224" spans="1:4" s="2" customFormat="1" ht="26.45">
      <c r="A224" s="111" t="s">
        <v>959</v>
      </c>
      <c r="B224" s="94" t="s">
        <v>1151</v>
      </c>
      <c r="C224" s="18" t="s">
        <v>959</v>
      </c>
      <c r="D224" s="418"/>
    </row>
    <row r="225" spans="1:4" s="3" customFormat="1" ht="39.6">
      <c r="A225" s="111"/>
      <c r="B225" s="94" t="s">
        <v>1152</v>
      </c>
      <c r="C225" s="18"/>
      <c r="D225" s="418"/>
    </row>
    <row r="226" spans="1:4" s="3" customFormat="1" ht="26.45">
      <c r="A226" s="90"/>
      <c r="B226" s="99" t="s">
        <v>1041</v>
      </c>
      <c r="C226" s="91"/>
      <c r="D226" s="418"/>
    </row>
    <row r="227" spans="1:4" s="71" customFormat="1">
      <c r="A227" s="16" t="s">
        <v>1153</v>
      </c>
      <c r="B227" s="17" t="s">
        <v>997</v>
      </c>
      <c r="C227" s="18"/>
      <c r="D227" s="418"/>
    </row>
    <row r="228" spans="1:4" s="71" customFormat="1">
      <c r="A228" s="16"/>
      <c r="B228" s="283" t="s">
        <v>998</v>
      </c>
      <c r="C228" s="18" t="s">
        <v>999</v>
      </c>
      <c r="D228" s="418"/>
    </row>
    <row r="229" spans="1:4" s="71" customFormat="1">
      <c r="A229" s="16" t="s">
        <v>1154</v>
      </c>
      <c r="B229" s="17" t="s">
        <v>1000</v>
      </c>
      <c r="C229" s="18"/>
      <c r="D229" s="418"/>
    </row>
    <row r="230" spans="1:4" s="71" customFormat="1">
      <c r="A230" s="16"/>
      <c r="B230" s="283" t="s">
        <v>998</v>
      </c>
      <c r="C230" s="18" t="s">
        <v>999</v>
      </c>
      <c r="D230" s="418"/>
    </row>
    <row r="231" spans="1:4" s="4" customFormat="1">
      <c r="A231" s="16" t="s">
        <v>1155</v>
      </c>
      <c r="B231" s="17" t="s">
        <v>1002</v>
      </c>
      <c r="C231" s="108"/>
      <c r="D231" s="418"/>
    </row>
    <row r="232" spans="1:4" s="4" customFormat="1">
      <c r="A232" s="16"/>
      <c r="B232" s="283" t="s">
        <v>998</v>
      </c>
      <c r="C232" s="108" t="s">
        <v>999</v>
      </c>
      <c r="D232" s="418"/>
    </row>
    <row r="233" spans="1:4" s="4" customFormat="1">
      <c r="A233" s="16" t="s">
        <v>1156</v>
      </c>
      <c r="B233" s="17" t="s">
        <v>1046</v>
      </c>
      <c r="C233" s="108"/>
      <c r="D233" s="418"/>
    </row>
    <row r="234" spans="1:4" s="4" customFormat="1">
      <c r="A234" s="16"/>
      <c r="B234" s="283" t="s">
        <v>998</v>
      </c>
      <c r="C234" s="108" t="s">
        <v>999</v>
      </c>
      <c r="D234" s="418"/>
    </row>
    <row r="235" spans="1:4" s="4" customFormat="1">
      <c r="A235" s="16" t="s">
        <v>1157</v>
      </c>
      <c r="B235" s="17" t="s">
        <v>1006</v>
      </c>
      <c r="C235" s="108"/>
      <c r="D235" s="418"/>
    </row>
    <row r="236" spans="1:4" s="4" customFormat="1">
      <c r="A236" s="16"/>
      <c r="B236" s="283" t="s">
        <v>998</v>
      </c>
      <c r="C236" s="108" t="s">
        <v>999</v>
      </c>
      <c r="D236" s="418"/>
    </row>
    <row r="237" spans="1:4" s="3" customFormat="1">
      <c r="A237" s="16" t="s">
        <v>1158</v>
      </c>
      <c r="B237" s="17" t="s">
        <v>1008</v>
      </c>
      <c r="C237" s="108"/>
      <c r="D237" s="418"/>
    </row>
    <row r="238" spans="1:4" s="2" customFormat="1">
      <c r="A238" s="16"/>
      <c r="B238" s="283" t="s">
        <v>998</v>
      </c>
      <c r="C238" s="108" t="s">
        <v>999</v>
      </c>
      <c r="D238" s="418"/>
    </row>
    <row r="239" spans="1:4" s="2" customFormat="1" ht="15.75" customHeight="1">
      <c r="A239" s="16" t="s">
        <v>1159</v>
      </c>
      <c r="B239" s="17" t="s">
        <v>1010</v>
      </c>
      <c r="C239" s="108"/>
      <c r="D239" s="418"/>
    </row>
    <row r="240" spans="1:4" s="2" customFormat="1">
      <c r="A240" s="16"/>
      <c r="B240" s="283" t="s">
        <v>998</v>
      </c>
      <c r="C240" s="108" t="s">
        <v>999</v>
      </c>
      <c r="D240" s="418"/>
    </row>
    <row r="241" spans="1:4" s="2" customFormat="1">
      <c r="A241" s="16" t="s">
        <v>1160</v>
      </c>
      <c r="B241" s="17" t="s">
        <v>1012</v>
      </c>
      <c r="C241" s="108"/>
      <c r="D241" s="418"/>
    </row>
    <row r="242" spans="1:4" s="2" customFormat="1">
      <c r="A242" s="16"/>
      <c r="B242" s="283" t="s">
        <v>998</v>
      </c>
      <c r="C242" s="108" t="s">
        <v>999</v>
      </c>
      <c r="D242" s="418"/>
    </row>
    <row r="243" spans="1:4" s="2" customFormat="1">
      <c r="A243" s="16" t="s">
        <v>1161</v>
      </c>
      <c r="B243" s="17" t="s">
        <v>1014</v>
      </c>
      <c r="C243" s="108"/>
      <c r="D243" s="418"/>
    </row>
    <row r="244" spans="1:4" s="2" customFormat="1">
      <c r="A244" s="16"/>
      <c r="B244" s="283" t="s">
        <v>998</v>
      </c>
      <c r="C244" s="108" t="s">
        <v>999</v>
      </c>
      <c r="D244" s="418"/>
    </row>
    <row r="245" spans="1:4" s="2" customFormat="1">
      <c r="A245" s="16" t="s">
        <v>1162</v>
      </c>
      <c r="B245" s="17" t="s">
        <v>1016</v>
      </c>
      <c r="C245" s="108"/>
      <c r="D245" s="418"/>
    </row>
    <row r="246" spans="1:4" s="2" customFormat="1">
      <c r="A246" s="16"/>
      <c r="B246" s="283" t="s">
        <v>998</v>
      </c>
      <c r="C246" s="108" t="s">
        <v>999</v>
      </c>
      <c r="D246" s="418"/>
    </row>
    <row r="247" spans="1:4" s="2" customFormat="1">
      <c r="A247" s="16" t="s">
        <v>1163</v>
      </c>
      <c r="B247" s="17" t="s">
        <v>1018</v>
      </c>
      <c r="C247" s="108"/>
      <c r="D247" s="418"/>
    </row>
    <row r="248" spans="1:4" s="2" customFormat="1">
      <c r="A248" s="16"/>
      <c r="B248" s="283" t="s">
        <v>998</v>
      </c>
      <c r="C248" s="108" t="s">
        <v>999</v>
      </c>
      <c r="D248" s="418"/>
    </row>
    <row r="249" spans="1:4" s="2" customFormat="1">
      <c r="A249" s="16" t="s">
        <v>1164</v>
      </c>
      <c r="B249" s="17" t="s">
        <v>1165</v>
      </c>
      <c r="C249" s="108"/>
      <c r="D249" s="418"/>
    </row>
    <row r="250" spans="1:4" s="2" customFormat="1">
      <c r="A250" s="16"/>
      <c r="B250" s="283" t="s">
        <v>998</v>
      </c>
      <c r="C250" s="108" t="s">
        <v>999</v>
      </c>
      <c r="D250" s="418"/>
    </row>
    <row r="251" spans="1:4" s="2" customFormat="1">
      <c r="A251" s="16" t="s">
        <v>1166</v>
      </c>
      <c r="B251" s="17" t="s">
        <v>1022</v>
      </c>
      <c r="C251" s="108"/>
      <c r="D251" s="418"/>
    </row>
    <row r="252" spans="1:4" s="2" customFormat="1">
      <c r="A252" s="16"/>
      <c r="B252" s="283" t="s">
        <v>998</v>
      </c>
      <c r="C252" s="108" t="s">
        <v>999</v>
      </c>
      <c r="D252" s="418"/>
    </row>
    <row r="253" spans="1:4" s="2" customFormat="1">
      <c r="A253" s="22" t="s">
        <v>1167</v>
      </c>
      <c r="B253" s="26" t="s">
        <v>1168</v>
      </c>
      <c r="C253" s="24"/>
      <c r="D253" s="255"/>
    </row>
    <row r="254" spans="1:4" s="2" customFormat="1" ht="39.6">
      <c r="A254" s="112" t="s">
        <v>959</v>
      </c>
      <c r="B254" s="113" t="s">
        <v>1169</v>
      </c>
      <c r="C254" s="114" t="s">
        <v>959</v>
      </c>
      <c r="D254" s="418"/>
    </row>
    <row r="255" spans="1:4" s="2" customFormat="1" ht="26.45">
      <c r="A255" s="112" t="s">
        <v>959</v>
      </c>
      <c r="B255" s="113" t="s">
        <v>1170</v>
      </c>
      <c r="C255" s="114" t="s">
        <v>959</v>
      </c>
      <c r="D255" s="418"/>
    </row>
    <row r="256" spans="1:4" s="2" customFormat="1" ht="26.45">
      <c r="A256" s="112"/>
      <c r="B256" s="113" t="s">
        <v>1171</v>
      </c>
      <c r="C256" s="114"/>
      <c r="D256" s="418"/>
    </row>
    <row r="257" spans="1:4" s="2" customFormat="1" ht="26.45">
      <c r="A257" s="112"/>
      <c r="B257" s="113" t="s">
        <v>1172</v>
      </c>
      <c r="C257" s="114"/>
      <c r="D257" s="418"/>
    </row>
    <row r="258" spans="1:4" s="2" customFormat="1" ht="26.45">
      <c r="A258" s="112" t="s">
        <v>959</v>
      </c>
      <c r="B258" s="113" t="s">
        <v>1173</v>
      </c>
      <c r="C258" s="114" t="s">
        <v>959</v>
      </c>
      <c r="D258" s="418"/>
    </row>
    <row r="259" spans="1:4" s="3" customFormat="1">
      <c r="A259" s="112" t="s">
        <v>959</v>
      </c>
      <c r="B259" s="113" t="s">
        <v>1174</v>
      </c>
      <c r="C259" s="114" t="s">
        <v>959</v>
      </c>
      <c r="D259" s="418"/>
    </row>
    <row r="260" spans="1:4" s="3" customFormat="1">
      <c r="A260" s="112" t="s">
        <v>959</v>
      </c>
      <c r="B260" s="113" t="s">
        <v>1175</v>
      </c>
      <c r="C260" s="114" t="s">
        <v>959</v>
      </c>
      <c r="D260" s="418"/>
    </row>
    <row r="261" spans="1:4" s="2" customFormat="1" ht="26.45">
      <c r="A261" s="112"/>
      <c r="B261" s="113" t="s">
        <v>1176</v>
      </c>
      <c r="C261" s="114"/>
      <c r="D261" s="418"/>
    </row>
    <row r="262" spans="1:4" s="71" customFormat="1" ht="26.45">
      <c r="A262" s="112" t="s">
        <v>959</v>
      </c>
      <c r="B262" s="113" t="s">
        <v>1177</v>
      </c>
      <c r="C262" s="114" t="s">
        <v>959</v>
      </c>
      <c r="D262" s="418"/>
    </row>
    <row r="263" spans="1:4" s="71" customFormat="1" ht="26.45">
      <c r="A263" s="112" t="s">
        <v>959</v>
      </c>
      <c r="B263" s="113" t="s">
        <v>1178</v>
      </c>
      <c r="C263" s="114" t="s">
        <v>959</v>
      </c>
      <c r="D263" s="418"/>
    </row>
    <row r="264" spans="1:4" s="71" customFormat="1">
      <c r="A264" s="112"/>
      <c r="B264" s="113" t="s">
        <v>1179</v>
      </c>
      <c r="C264" s="114"/>
      <c r="D264" s="418"/>
    </row>
    <row r="265" spans="1:4" s="71" customFormat="1">
      <c r="A265" s="112"/>
      <c r="B265" s="113" t="s">
        <v>1180</v>
      </c>
      <c r="C265" s="114"/>
      <c r="D265" s="418"/>
    </row>
    <row r="266" spans="1:4" s="4" customFormat="1">
      <c r="A266" s="112"/>
      <c r="B266" s="113" t="s">
        <v>1181</v>
      </c>
      <c r="C266" s="114"/>
      <c r="D266" s="418"/>
    </row>
    <row r="267" spans="1:4" s="4" customFormat="1" ht="52.9">
      <c r="A267" s="112"/>
      <c r="B267" s="113" t="s">
        <v>1182</v>
      </c>
      <c r="C267" s="114"/>
      <c r="D267" s="418"/>
    </row>
    <row r="268" spans="1:4" s="4" customFormat="1" ht="26.45">
      <c r="A268" s="112"/>
      <c r="B268" s="113" t="s">
        <v>1183</v>
      </c>
      <c r="C268" s="114"/>
      <c r="D268" s="418"/>
    </row>
    <row r="269" spans="1:4" s="4" customFormat="1" ht="26.45">
      <c r="A269" s="90"/>
      <c r="B269" s="99" t="s">
        <v>1041</v>
      </c>
      <c r="C269" s="91"/>
      <c r="D269" s="417"/>
    </row>
    <row r="270" spans="1:4" s="4" customFormat="1" ht="26.45">
      <c r="A270" s="90"/>
      <c r="B270" s="99" t="s">
        <v>1184</v>
      </c>
      <c r="C270" s="91"/>
      <c r="D270" s="417"/>
    </row>
    <row r="271" spans="1:4" s="4" customFormat="1" ht="26.45">
      <c r="A271" s="112" t="s">
        <v>959</v>
      </c>
      <c r="B271" s="113" t="s">
        <v>993</v>
      </c>
      <c r="C271" s="114" t="s">
        <v>959</v>
      </c>
      <c r="D271" s="418"/>
    </row>
    <row r="272" spans="1:4" s="4" customFormat="1">
      <c r="A272" s="16" t="s">
        <v>1185</v>
      </c>
      <c r="B272" s="17" t="s">
        <v>997</v>
      </c>
      <c r="C272" s="18"/>
      <c r="D272" s="417"/>
    </row>
    <row r="273" spans="1:4" s="4" customFormat="1">
      <c r="A273" s="16"/>
      <c r="B273" s="283" t="s">
        <v>998</v>
      </c>
      <c r="C273" s="18" t="s">
        <v>999</v>
      </c>
      <c r="D273" s="417"/>
    </row>
    <row r="274" spans="1:4" s="4" customFormat="1">
      <c r="A274" s="16" t="s">
        <v>1186</v>
      </c>
      <c r="B274" s="17" t="s">
        <v>1000</v>
      </c>
      <c r="C274" s="18"/>
      <c r="D274" s="417"/>
    </row>
    <row r="275" spans="1:4" s="4" customFormat="1">
      <c r="A275" s="16"/>
      <c r="B275" s="283" t="s">
        <v>998</v>
      </c>
      <c r="C275" s="18" t="s">
        <v>999</v>
      </c>
      <c r="D275" s="417"/>
    </row>
    <row r="276" spans="1:4" s="4" customFormat="1">
      <c r="A276" s="16" t="s">
        <v>1187</v>
      </c>
      <c r="B276" s="17" t="s">
        <v>1002</v>
      </c>
      <c r="C276" s="18"/>
      <c r="D276" s="418"/>
    </row>
    <row r="277" spans="1:4" s="4" customFormat="1">
      <c r="A277" s="16"/>
      <c r="B277" s="285" t="s">
        <v>998</v>
      </c>
      <c r="C277" s="114" t="s">
        <v>999</v>
      </c>
      <c r="D277" s="418"/>
    </row>
    <row r="278" spans="1:4" s="4" customFormat="1">
      <c r="A278" s="16" t="s">
        <v>1188</v>
      </c>
      <c r="B278" s="115" t="s">
        <v>1046</v>
      </c>
      <c r="C278" s="114"/>
      <c r="D278" s="418"/>
    </row>
    <row r="279" spans="1:4" s="4" customFormat="1">
      <c r="A279" s="16"/>
      <c r="B279" s="285" t="s">
        <v>998</v>
      </c>
      <c r="C279" s="114" t="s">
        <v>999</v>
      </c>
      <c r="D279" s="418"/>
    </row>
    <row r="280" spans="1:4" s="4" customFormat="1">
      <c r="A280" s="16" t="s">
        <v>1189</v>
      </c>
      <c r="B280" s="115" t="s">
        <v>1006</v>
      </c>
      <c r="C280" s="114"/>
      <c r="D280" s="418"/>
    </row>
    <row r="281" spans="1:4" s="4" customFormat="1">
      <c r="A281" s="16"/>
      <c r="B281" s="285" t="s">
        <v>998</v>
      </c>
      <c r="C281" s="114" t="s">
        <v>999</v>
      </c>
      <c r="D281" s="418"/>
    </row>
    <row r="282" spans="1:4" s="4" customFormat="1">
      <c r="A282" s="16" t="s">
        <v>1190</v>
      </c>
      <c r="B282" s="115" t="s">
        <v>1008</v>
      </c>
      <c r="C282" s="114"/>
      <c r="D282" s="418"/>
    </row>
    <row r="283" spans="1:4" s="4" customFormat="1">
      <c r="A283" s="16"/>
      <c r="B283" s="285" t="s">
        <v>998</v>
      </c>
      <c r="C283" s="114" t="s">
        <v>999</v>
      </c>
      <c r="D283" s="418"/>
    </row>
    <row r="284" spans="1:4" s="4" customFormat="1">
      <c r="A284" s="16" t="s">
        <v>1191</v>
      </c>
      <c r="B284" s="115" t="s">
        <v>1010</v>
      </c>
      <c r="C284" s="114"/>
      <c r="D284" s="418"/>
    </row>
    <row r="285" spans="1:4" s="4" customFormat="1">
      <c r="A285" s="16"/>
      <c r="B285" s="285" t="s">
        <v>998</v>
      </c>
      <c r="C285" s="114" t="s">
        <v>999</v>
      </c>
      <c r="D285" s="418"/>
    </row>
    <row r="286" spans="1:4" s="4" customFormat="1">
      <c r="A286" s="16" t="s">
        <v>1192</v>
      </c>
      <c r="B286" s="115" t="s">
        <v>1012</v>
      </c>
      <c r="C286" s="114"/>
      <c r="D286" s="418"/>
    </row>
    <row r="287" spans="1:4" s="4" customFormat="1">
      <c r="A287" s="16"/>
      <c r="B287" s="285" t="s">
        <v>998</v>
      </c>
      <c r="C287" s="114" t="s">
        <v>999</v>
      </c>
      <c r="D287" s="418"/>
    </row>
    <row r="288" spans="1:4" s="3" customFormat="1">
      <c r="A288" s="16" t="s">
        <v>1193</v>
      </c>
      <c r="B288" s="115" t="s">
        <v>1014</v>
      </c>
      <c r="C288" s="114"/>
      <c r="D288" s="418"/>
    </row>
    <row r="289" spans="1:4" s="3" customFormat="1">
      <c r="A289" s="16"/>
      <c r="B289" s="285" t="s">
        <v>998</v>
      </c>
      <c r="C289" s="114" t="s">
        <v>999</v>
      </c>
      <c r="D289" s="418"/>
    </row>
    <row r="290" spans="1:4" s="4" customFormat="1">
      <c r="A290" s="16" t="s">
        <v>1194</v>
      </c>
      <c r="B290" s="17" t="s">
        <v>1016</v>
      </c>
      <c r="C290" s="108"/>
      <c r="D290" s="418"/>
    </row>
    <row r="291" spans="1:4" s="71" customFormat="1">
      <c r="A291" s="16"/>
      <c r="B291" s="283" t="s">
        <v>998</v>
      </c>
      <c r="C291" s="108" t="s">
        <v>999</v>
      </c>
      <c r="D291" s="418"/>
    </row>
    <row r="292" spans="1:4" s="71" customFormat="1">
      <c r="A292" s="16" t="s">
        <v>1195</v>
      </c>
      <c r="B292" s="17" t="s">
        <v>1018</v>
      </c>
      <c r="C292" s="108"/>
      <c r="D292" s="418"/>
    </row>
    <row r="293" spans="1:4" s="71" customFormat="1">
      <c r="A293" s="16"/>
      <c r="B293" s="283" t="s">
        <v>998</v>
      </c>
      <c r="C293" s="108" t="s">
        <v>999</v>
      </c>
      <c r="D293" s="418"/>
    </row>
    <row r="294" spans="1:4" s="71" customFormat="1">
      <c r="A294" s="16" t="s">
        <v>1196</v>
      </c>
      <c r="B294" s="17" t="s">
        <v>1197</v>
      </c>
      <c r="C294" s="108"/>
      <c r="D294" s="418"/>
    </row>
    <row r="295" spans="1:4" s="71" customFormat="1">
      <c r="A295" s="16"/>
      <c r="B295" s="283" t="s">
        <v>998</v>
      </c>
      <c r="C295" s="108" t="s">
        <v>999</v>
      </c>
      <c r="D295" s="418"/>
    </row>
    <row r="296" spans="1:4" s="71" customFormat="1">
      <c r="A296" s="16" t="s">
        <v>1198</v>
      </c>
      <c r="B296" s="17" t="s">
        <v>1022</v>
      </c>
      <c r="C296" s="108"/>
      <c r="D296" s="418"/>
    </row>
    <row r="297" spans="1:4" s="71" customFormat="1">
      <c r="A297" s="16"/>
      <c r="B297" s="283" t="s">
        <v>998</v>
      </c>
      <c r="C297" s="108" t="s">
        <v>999</v>
      </c>
      <c r="D297" s="421"/>
    </row>
    <row r="298" spans="1:4" s="71" customFormat="1">
      <c r="A298" s="22" t="s">
        <v>1199</v>
      </c>
      <c r="B298" s="26" t="s">
        <v>1200</v>
      </c>
      <c r="C298" s="24"/>
      <c r="D298" s="255"/>
    </row>
    <row r="299" spans="1:4" s="71" customFormat="1" ht="26.45">
      <c r="A299" s="111" t="s">
        <v>959</v>
      </c>
      <c r="B299" s="94" t="s">
        <v>1201</v>
      </c>
      <c r="C299" s="18" t="s">
        <v>959</v>
      </c>
      <c r="D299" s="418"/>
    </row>
    <row r="300" spans="1:4" s="71" customFormat="1" ht="39.6">
      <c r="A300" s="111"/>
      <c r="B300" s="94" t="s">
        <v>1202</v>
      </c>
      <c r="C300" s="18"/>
      <c r="D300" s="418"/>
    </row>
    <row r="301" spans="1:4" s="4" customFormat="1">
      <c r="A301" s="111"/>
      <c r="B301" s="94" t="s">
        <v>1203</v>
      </c>
      <c r="C301" s="18"/>
      <c r="D301" s="418"/>
    </row>
    <row r="302" spans="1:4" s="4" customFormat="1">
      <c r="A302" s="111"/>
      <c r="B302" s="94" t="s">
        <v>1204</v>
      </c>
      <c r="C302" s="18"/>
      <c r="D302" s="418"/>
    </row>
    <row r="303" spans="1:4" s="4" customFormat="1">
      <c r="A303" s="111"/>
      <c r="B303" s="94" t="s">
        <v>1205</v>
      </c>
      <c r="C303" s="18"/>
      <c r="D303" s="418"/>
    </row>
    <row r="304" spans="1:4" s="4" customFormat="1">
      <c r="A304" s="111"/>
      <c r="B304" s="94" t="s">
        <v>1206</v>
      </c>
      <c r="C304" s="18"/>
      <c r="D304" s="418"/>
    </row>
    <row r="305" spans="1:4" s="4" customFormat="1">
      <c r="A305" s="111"/>
      <c r="B305" s="94" t="s">
        <v>1207</v>
      </c>
      <c r="C305" s="18"/>
      <c r="D305" s="418"/>
    </row>
    <row r="306" spans="1:4" s="4" customFormat="1">
      <c r="A306" s="111"/>
      <c r="B306" s="94" t="s">
        <v>1208</v>
      </c>
      <c r="C306" s="18"/>
      <c r="D306" s="418"/>
    </row>
    <row r="307" spans="1:4" s="4" customFormat="1">
      <c r="A307" s="111" t="s">
        <v>959</v>
      </c>
      <c r="B307" s="94" t="s">
        <v>1209</v>
      </c>
      <c r="C307" s="18" t="s">
        <v>959</v>
      </c>
      <c r="D307" s="418"/>
    </row>
    <row r="308" spans="1:4" s="4" customFormat="1" ht="26.45">
      <c r="A308" s="90"/>
      <c r="B308" s="99" t="s">
        <v>1041</v>
      </c>
      <c r="C308" s="91"/>
      <c r="D308" s="417"/>
    </row>
    <row r="309" spans="1:4" s="4" customFormat="1" ht="26.45">
      <c r="A309" s="90"/>
      <c r="B309" s="99" t="s">
        <v>1210</v>
      </c>
      <c r="C309" s="91"/>
      <c r="D309" s="417"/>
    </row>
    <row r="310" spans="1:4" s="4" customFormat="1" ht="26.45">
      <c r="A310" s="286"/>
      <c r="B310" s="94" t="s">
        <v>993</v>
      </c>
      <c r="C310" s="18"/>
      <c r="D310" s="418"/>
    </row>
    <row r="311" spans="1:4" s="4" customFormat="1">
      <c r="A311" s="30" t="s">
        <v>1211</v>
      </c>
      <c r="B311" s="31" t="s">
        <v>997</v>
      </c>
      <c r="C311" s="18"/>
      <c r="D311" s="418"/>
    </row>
    <row r="312" spans="1:4" s="4" customFormat="1">
      <c r="A312" s="16"/>
      <c r="B312" s="283" t="s">
        <v>998</v>
      </c>
      <c r="C312" s="18" t="s">
        <v>999</v>
      </c>
      <c r="D312" s="418"/>
    </row>
    <row r="313" spans="1:4" s="4" customFormat="1">
      <c r="A313" s="30" t="s">
        <v>1212</v>
      </c>
      <c r="B313" s="31" t="s">
        <v>1000</v>
      </c>
      <c r="C313" s="18"/>
      <c r="D313" s="418"/>
    </row>
    <row r="314" spans="1:4" s="4" customFormat="1">
      <c r="A314" s="16"/>
      <c r="B314" s="283" t="s">
        <v>998</v>
      </c>
      <c r="C314" s="18" t="s">
        <v>999</v>
      </c>
      <c r="D314" s="418"/>
    </row>
    <row r="315" spans="1:4" s="4" customFormat="1">
      <c r="A315" s="30" t="s">
        <v>1213</v>
      </c>
      <c r="B315" s="31" t="s">
        <v>1002</v>
      </c>
      <c r="C315" s="18"/>
      <c r="D315" s="418"/>
    </row>
    <row r="316" spans="1:4" s="4" customFormat="1">
      <c r="A316" s="16"/>
      <c r="B316" s="267" t="s">
        <v>998</v>
      </c>
      <c r="C316" s="18" t="s">
        <v>999</v>
      </c>
      <c r="D316" s="418"/>
    </row>
    <row r="317" spans="1:4" s="4" customFormat="1">
      <c r="A317" s="30" t="s">
        <v>1214</v>
      </c>
      <c r="B317" s="31" t="s">
        <v>1046</v>
      </c>
      <c r="C317" s="18"/>
      <c r="D317" s="418"/>
    </row>
    <row r="318" spans="1:4" s="4" customFormat="1">
      <c r="A318" s="16"/>
      <c r="B318" s="267" t="s">
        <v>998</v>
      </c>
      <c r="C318" s="18" t="s">
        <v>999</v>
      </c>
      <c r="D318" s="418"/>
    </row>
    <row r="319" spans="1:4" s="4" customFormat="1">
      <c r="A319" s="30" t="s">
        <v>1215</v>
      </c>
      <c r="B319" s="31" t="s">
        <v>1006</v>
      </c>
      <c r="C319" s="18"/>
      <c r="D319" s="418"/>
    </row>
    <row r="320" spans="1:4" s="4" customFormat="1">
      <c r="A320" s="16"/>
      <c r="B320" s="267" t="s">
        <v>998</v>
      </c>
      <c r="C320" s="18" t="s">
        <v>999</v>
      </c>
      <c r="D320" s="418"/>
    </row>
    <row r="321" spans="1:4" s="4" customFormat="1">
      <c r="A321" s="30" t="s">
        <v>1216</v>
      </c>
      <c r="B321" s="31" t="s">
        <v>1008</v>
      </c>
      <c r="C321" s="18"/>
      <c r="D321" s="418"/>
    </row>
    <row r="322" spans="1:4" s="4" customFormat="1">
      <c r="A322" s="16"/>
      <c r="B322" s="267" t="s">
        <v>998</v>
      </c>
      <c r="C322" s="18" t="s">
        <v>999</v>
      </c>
      <c r="D322" s="418"/>
    </row>
    <row r="323" spans="1:4" s="4" customFormat="1">
      <c r="A323" s="30" t="s">
        <v>1217</v>
      </c>
      <c r="B323" s="31" t="s">
        <v>1010</v>
      </c>
      <c r="C323" s="18"/>
      <c r="D323" s="418"/>
    </row>
    <row r="324" spans="1:4" s="4" customFormat="1">
      <c r="A324" s="16"/>
      <c r="B324" s="267" t="s">
        <v>998</v>
      </c>
      <c r="C324" s="18" t="s">
        <v>999</v>
      </c>
      <c r="D324" s="418"/>
    </row>
    <row r="325" spans="1:4" s="4" customFormat="1">
      <c r="A325" s="30" t="s">
        <v>1218</v>
      </c>
      <c r="B325" s="31" t="s">
        <v>1012</v>
      </c>
      <c r="C325" s="18"/>
      <c r="D325" s="418"/>
    </row>
    <row r="326" spans="1:4" s="4" customFormat="1">
      <c r="A326" s="16"/>
      <c r="B326" s="267" t="s">
        <v>998</v>
      </c>
      <c r="C326" s="18" t="s">
        <v>999</v>
      </c>
      <c r="D326" s="418"/>
    </row>
    <row r="327" spans="1:4" s="4" customFormat="1">
      <c r="A327" s="30" t="s">
        <v>1219</v>
      </c>
      <c r="B327" s="31" t="s">
        <v>1014</v>
      </c>
      <c r="C327" s="18"/>
      <c r="D327" s="418"/>
    </row>
    <row r="328" spans="1:4" s="4" customFormat="1">
      <c r="A328" s="16"/>
      <c r="B328" s="267" t="s">
        <v>998</v>
      </c>
      <c r="C328" s="18" t="s">
        <v>999</v>
      </c>
      <c r="D328" s="418"/>
    </row>
    <row r="329" spans="1:4" s="4" customFormat="1">
      <c r="A329" s="30" t="s">
        <v>1220</v>
      </c>
      <c r="B329" s="17" t="s">
        <v>1016</v>
      </c>
      <c r="C329" s="108"/>
      <c r="D329" s="418"/>
    </row>
    <row r="330" spans="1:4" s="4" customFormat="1">
      <c r="A330" s="16"/>
      <c r="B330" s="283" t="s">
        <v>998</v>
      </c>
      <c r="C330" s="108" t="s">
        <v>999</v>
      </c>
      <c r="D330" s="418"/>
    </row>
    <row r="331" spans="1:4" s="4" customFormat="1">
      <c r="A331" s="30" t="s">
        <v>1221</v>
      </c>
      <c r="B331" s="17" t="s">
        <v>1018</v>
      </c>
      <c r="C331" s="108"/>
      <c r="D331" s="418"/>
    </row>
    <row r="332" spans="1:4" s="4" customFormat="1">
      <c r="A332" s="16"/>
      <c r="B332" s="283" t="s">
        <v>998</v>
      </c>
      <c r="C332" s="108" t="s">
        <v>999</v>
      </c>
      <c r="D332" s="418"/>
    </row>
    <row r="333" spans="1:4" s="4" customFormat="1">
      <c r="A333" s="30" t="s">
        <v>1222</v>
      </c>
      <c r="B333" s="17" t="s">
        <v>1197</v>
      </c>
      <c r="C333" s="108"/>
      <c r="D333" s="418"/>
    </row>
    <row r="334" spans="1:4" s="4" customFormat="1">
      <c r="A334" s="16"/>
      <c r="B334" s="283" t="s">
        <v>998</v>
      </c>
      <c r="C334" s="108" t="s">
        <v>999</v>
      </c>
      <c r="D334" s="418"/>
    </row>
    <row r="335" spans="1:4" s="4" customFormat="1">
      <c r="A335" s="30" t="s">
        <v>1223</v>
      </c>
      <c r="B335" s="17" t="s">
        <v>1022</v>
      </c>
      <c r="C335" s="108"/>
      <c r="D335" s="418"/>
    </row>
    <row r="336" spans="1:4" s="4" customFormat="1">
      <c r="A336" s="16"/>
      <c r="B336" s="283" t="s">
        <v>998</v>
      </c>
      <c r="C336" s="108" t="s">
        <v>999</v>
      </c>
      <c r="D336" s="418"/>
    </row>
    <row r="337" spans="1:4" s="4" customFormat="1">
      <c r="A337" s="22" t="s">
        <v>1224</v>
      </c>
      <c r="B337" s="26" t="s">
        <v>1225</v>
      </c>
      <c r="C337" s="24"/>
      <c r="D337" s="255"/>
    </row>
    <row r="338" spans="1:4" s="4" customFormat="1" ht="26.45">
      <c r="A338" s="16"/>
      <c r="B338" s="283" t="s">
        <v>1226</v>
      </c>
      <c r="C338" s="108"/>
      <c r="D338" s="418"/>
    </row>
    <row r="339" spans="1:4" s="4" customFormat="1">
      <c r="A339" s="16"/>
      <c r="B339" s="283" t="s">
        <v>1227</v>
      </c>
      <c r="C339" s="108"/>
      <c r="D339" s="418"/>
    </row>
    <row r="340" spans="1:4" s="4" customFormat="1" ht="26.25" customHeight="1">
      <c r="A340" s="16"/>
      <c r="B340" s="283" t="s">
        <v>1228</v>
      </c>
      <c r="C340" s="108"/>
      <c r="D340" s="418"/>
    </row>
    <row r="341" spans="1:4" s="4" customFormat="1" ht="12.75" customHeight="1">
      <c r="A341" s="16" t="s">
        <v>1229</v>
      </c>
      <c r="B341" s="296" t="s">
        <v>1230</v>
      </c>
      <c r="C341" s="108"/>
      <c r="D341" s="418"/>
    </row>
    <row r="342" spans="1:4" s="4" customFormat="1" ht="12.75" customHeight="1">
      <c r="A342" s="16"/>
      <c r="B342" s="285" t="s">
        <v>1231</v>
      </c>
      <c r="C342" s="108" t="s">
        <v>1232</v>
      </c>
      <c r="D342" s="418"/>
    </row>
    <row r="343" spans="1:4" s="4" customFormat="1" ht="16.5" customHeight="1">
      <c r="A343" s="16" t="s">
        <v>1233</v>
      </c>
      <c r="B343" s="296" t="s">
        <v>1234</v>
      </c>
      <c r="C343" s="108"/>
      <c r="D343" s="418"/>
    </row>
    <row r="344" spans="1:4" s="4" customFormat="1">
      <c r="A344" s="16"/>
      <c r="B344" s="283" t="s">
        <v>1231</v>
      </c>
      <c r="C344" s="108" t="s">
        <v>1232</v>
      </c>
      <c r="D344" s="418"/>
    </row>
    <row r="345" spans="1:4" s="4" customFormat="1">
      <c r="A345" s="16"/>
      <c r="B345" s="283"/>
      <c r="C345" s="108"/>
      <c r="D345" s="418"/>
    </row>
    <row r="346" spans="1:4" s="4" customFormat="1">
      <c r="A346" s="22" t="s">
        <v>1235</v>
      </c>
      <c r="B346" s="26" t="s">
        <v>1236</v>
      </c>
      <c r="C346" s="24"/>
      <c r="D346" s="255"/>
    </row>
    <row r="347" spans="1:4" s="4" customFormat="1" ht="106.5" customHeight="1">
      <c r="A347" s="16"/>
      <c r="B347" s="373" t="s">
        <v>1237</v>
      </c>
      <c r="C347" s="108"/>
      <c r="D347" s="418"/>
    </row>
    <row r="348" spans="1:4" s="4" customFormat="1" ht="17.25" customHeight="1">
      <c r="A348" s="16"/>
      <c r="B348" s="283" t="s">
        <v>998</v>
      </c>
      <c r="C348" s="108" t="s">
        <v>999</v>
      </c>
      <c r="D348" s="418"/>
    </row>
    <row r="349" spans="1:4" s="261" customFormat="1">
      <c r="A349" s="16"/>
      <c r="B349" s="283"/>
      <c r="C349" s="108"/>
      <c r="D349" s="418"/>
    </row>
    <row r="350" spans="1:4" s="4" customFormat="1" ht="13.9">
      <c r="A350" s="13" t="s">
        <v>1238</v>
      </c>
      <c r="B350" s="33" t="s">
        <v>1239</v>
      </c>
      <c r="C350" s="15"/>
      <c r="D350" s="254"/>
    </row>
    <row r="351" spans="1:4" s="4" customFormat="1">
      <c r="A351" s="34" t="s">
        <v>1240</v>
      </c>
      <c r="B351" s="35" t="s">
        <v>1241</v>
      </c>
      <c r="C351" s="36"/>
      <c r="D351" s="422"/>
    </row>
    <row r="352" spans="1:4" s="4" customFormat="1">
      <c r="A352" s="219" t="s">
        <v>39</v>
      </c>
      <c r="B352" s="220" t="s">
        <v>1242</v>
      </c>
      <c r="C352" s="221"/>
      <c r="D352" s="420"/>
    </row>
    <row r="353" spans="1:4" s="4" customFormat="1" ht="26.45">
      <c r="A353" s="30"/>
      <c r="B353" s="121" t="s">
        <v>1243</v>
      </c>
      <c r="C353" s="18"/>
      <c r="D353" s="418"/>
    </row>
    <row r="354" spans="1:4" s="4" customFormat="1" ht="26.45">
      <c r="A354" s="30"/>
      <c r="B354" s="121" t="s">
        <v>1244</v>
      </c>
      <c r="C354" s="18"/>
      <c r="D354" s="418"/>
    </row>
    <row r="355" spans="1:4" s="4" customFormat="1">
      <c r="A355" s="55" t="s">
        <v>1245</v>
      </c>
      <c r="B355" s="77" t="s">
        <v>1246</v>
      </c>
      <c r="C355" s="18"/>
      <c r="D355" s="418"/>
    </row>
    <row r="356" spans="1:4" s="4" customFormat="1">
      <c r="A356" s="30"/>
      <c r="B356" s="267" t="s">
        <v>1028</v>
      </c>
      <c r="C356" s="18" t="s">
        <v>1029</v>
      </c>
      <c r="D356" s="418"/>
    </row>
    <row r="357" spans="1:4" s="4" customFormat="1">
      <c r="A357" s="55" t="s">
        <v>1247</v>
      </c>
      <c r="B357" s="77" t="s">
        <v>1248</v>
      </c>
      <c r="C357" s="18"/>
      <c r="D357" s="418"/>
    </row>
    <row r="358" spans="1:4" s="4" customFormat="1">
      <c r="A358" s="30"/>
      <c r="B358" s="267" t="s">
        <v>1028</v>
      </c>
      <c r="C358" s="18" t="s">
        <v>1029</v>
      </c>
      <c r="D358" s="418"/>
    </row>
    <row r="359" spans="1:4" s="4" customFormat="1">
      <c r="A359" s="55" t="s">
        <v>1249</v>
      </c>
      <c r="B359" s="77" t="s">
        <v>1250</v>
      </c>
      <c r="C359" s="18"/>
      <c r="D359" s="418"/>
    </row>
    <row r="360" spans="1:4" s="4" customFormat="1">
      <c r="A360" s="30"/>
      <c r="B360" s="267" t="s">
        <v>1028</v>
      </c>
      <c r="C360" s="18" t="s">
        <v>1029</v>
      </c>
      <c r="D360" s="418"/>
    </row>
    <row r="361" spans="1:4" s="4" customFormat="1">
      <c r="A361" s="30" t="s">
        <v>40</v>
      </c>
      <c r="B361" s="31" t="s">
        <v>1251</v>
      </c>
      <c r="C361" s="18"/>
      <c r="D361" s="418"/>
    </row>
    <row r="362" spans="1:4" s="4" customFormat="1" ht="26.45">
      <c r="A362" s="30"/>
      <c r="B362" s="121" t="s">
        <v>1252</v>
      </c>
      <c r="C362" s="18"/>
      <c r="D362" s="418"/>
    </row>
    <row r="363" spans="1:4" s="4" customFormat="1" ht="26.45">
      <c r="A363" s="30"/>
      <c r="B363" s="121" t="s">
        <v>1253</v>
      </c>
      <c r="C363" s="18"/>
      <c r="D363" s="418"/>
    </row>
    <row r="364" spans="1:4" s="4" customFormat="1">
      <c r="A364" s="132" t="s">
        <v>1254</v>
      </c>
      <c r="B364" s="77" t="s">
        <v>1248</v>
      </c>
      <c r="C364" s="18"/>
      <c r="D364" s="418"/>
    </row>
    <row r="365" spans="1:4" s="4" customFormat="1">
      <c r="A365" s="30"/>
      <c r="B365" s="267" t="s">
        <v>1028</v>
      </c>
      <c r="C365" s="18" t="s">
        <v>1029</v>
      </c>
      <c r="D365" s="418"/>
    </row>
    <row r="366" spans="1:4" s="4" customFormat="1">
      <c r="A366" s="132" t="s">
        <v>1255</v>
      </c>
      <c r="B366" s="77" t="s">
        <v>1250</v>
      </c>
      <c r="C366" s="18"/>
      <c r="D366" s="418"/>
    </row>
    <row r="367" spans="1:4" s="4" customFormat="1">
      <c r="A367" s="30"/>
      <c r="B367" s="267" t="s">
        <v>1028</v>
      </c>
      <c r="C367" s="18" t="s">
        <v>1029</v>
      </c>
      <c r="D367" s="418"/>
    </row>
    <row r="368" spans="1:4" s="4" customFormat="1">
      <c r="A368" s="30" t="s">
        <v>41</v>
      </c>
      <c r="B368" s="31" t="s">
        <v>1256</v>
      </c>
      <c r="C368" s="18"/>
      <c r="D368" s="418"/>
    </row>
    <row r="369" spans="1:4" s="4" customFormat="1">
      <c r="A369" s="30"/>
      <c r="B369" s="94" t="s">
        <v>1257</v>
      </c>
      <c r="C369" s="18"/>
      <c r="D369" s="418"/>
    </row>
    <row r="370" spans="1:4" s="4" customFormat="1">
      <c r="A370" s="30"/>
      <c r="B370" s="267" t="s">
        <v>1028</v>
      </c>
      <c r="C370" s="18" t="s">
        <v>1029</v>
      </c>
      <c r="D370" s="418"/>
    </row>
    <row r="371" spans="1:4" s="4" customFormat="1">
      <c r="A371" s="30" t="s">
        <v>42</v>
      </c>
      <c r="B371" s="31" t="s">
        <v>1258</v>
      </c>
      <c r="C371" s="18"/>
      <c r="D371" s="418"/>
    </row>
    <row r="372" spans="1:4" s="4" customFormat="1" ht="40.15">
      <c r="A372" s="30"/>
      <c r="B372" s="287" t="s">
        <v>1259</v>
      </c>
      <c r="C372" s="18"/>
      <c r="D372" s="418"/>
    </row>
    <row r="373" spans="1:4" s="4" customFormat="1">
      <c r="A373" s="30"/>
      <c r="B373" s="267" t="s">
        <v>1028</v>
      </c>
      <c r="C373" s="18" t="s">
        <v>1029</v>
      </c>
      <c r="D373" s="418"/>
    </row>
    <row r="374" spans="1:4" s="4" customFormat="1">
      <c r="A374" s="30" t="s">
        <v>43</v>
      </c>
      <c r="B374" s="31" t="s">
        <v>1260</v>
      </c>
      <c r="C374" s="18"/>
      <c r="D374" s="418"/>
    </row>
    <row r="375" spans="1:4" s="4" customFormat="1" ht="53.65" customHeight="1">
      <c r="A375" s="30"/>
      <c r="B375" s="121" t="s">
        <v>1261</v>
      </c>
      <c r="C375" s="18"/>
      <c r="D375" s="418"/>
    </row>
    <row r="376" spans="1:4" s="4" customFormat="1">
      <c r="A376" s="30"/>
      <c r="B376" s="285" t="s">
        <v>1231</v>
      </c>
      <c r="C376" s="18" t="s">
        <v>1262</v>
      </c>
      <c r="D376" s="418"/>
    </row>
    <row r="377" spans="1:4" s="4" customFormat="1">
      <c r="A377" s="30" t="s">
        <v>1263</v>
      </c>
      <c r="B377" s="31" t="s">
        <v>1264</v>
      </c>
      <c r="C377" s="30"/>
      <c r="D377" s="418"/>
    </row>
    <row r="378" spans="1:4" s="4" customFormat="1" ht="52.9">
      <c r="A378" s="30"/>
      <c r="B378" s="121" t="s">
        <v>1265</v>
      </c>
      <c r="C378" s="41"/>
      <c r="D378" s="418"/>
    </row>
    <row r="379" spans="1:4" s="4" customFormat="1">
      <c r="A379" s="286"/>
      <c r="B379" s="285" t="s">
        <v>1266</v>
      </c>
      <c r="C379" s="18" t="s">
        <v>1077</v>
      </c>
      <c r="D379" s="418"/>
    </row>
    <row r="380" spans="1:4" s="4" customFormat="1">
      <c r="A380" s="30" t="s">
        <v>1267</v>
      </c>
      <c r="B380" s="31" t="s">
        <v>1268</v>
      </c>
      <c r="C380" s="30"/>
      <c r="D380" s="418"/>
    </row>
    <row r="381" spans="1:4" s="4" customFormat="1" ht="26.45">
      <c r="A381" s="30"/>
      <c r="B381" s="288" t="s">
        <v>1269</v>
      </c>
      <c r="C381" s="41"/>
      <c r="D381" s="418"/>
    </row>
    <row r="382" spans="1:4" s="4" customFormat="1">
      <c r="A382" s="30"/>
      <c r="B382" s="289" t="s">
        <v>1270</v>
      </c>
      <c r="C382" s="41"/>
      <c r="D382" s="418"/>
    </row>
    <row r="383" spans="1:4" s="4" customFormat="1">
      <c r="A383" s="30"/>
      <c r="B383" s="289" t="s">
        <v>1271</v>
      </c>
      <c r="C383" s="41"/>
      <c r="D383" s="418"/>
    </row>
    <row r="384" spans="1:4" s="4" customFormat="1">
      <c r="A384" s="286"/>
      <c r="B384" s="267" t="s">
        <v>1231</v>
      </c>
      <c r="C384" s="18" t="s">
        <v>1262</v>
      </c>
      <c r="D384" s="418"/>
    </row>
    <row r="385" spans="1:4" s="4" customFormat="1">
      <c r="A385" s="30" t="s">
        <v>1272</v>
      </c>
      <c r="B385" s="31" t="s">
        <v>1273</v>
      </c>
      <c r="C385" s="30"/>
      <c r="D385" s="418"/>
    </row>
    <row r="386" spans="1:4" s="4" customFormat="1" ht="26.45">
      <c r="A386" s="30"/>
      <c r="B386" s="290" t="s">
        <v>1274</v>
      </c>
      <c r="C386" s="41"/>
      <c r="D386" s="418"/>
    </row>
    <row r="387" spans="1:4" s="4" customFormat="1">
      <c r="A387" s="286"/>
      <c r="B387" s="291" t="s">
        <v>1275</v>
      </c>
      <c r="C387" s="41"/>
      <c r="D387" s="418"/>
    </row>
    <row r="388" spans="1:4" s="4" customFormat="1">
      <c r="A388" s="286"/>
      <c r="B388" s="291" t="s">
        <v>1276</v>
      </c>
      <c r="C388" s="41"/>
      <c r="D388" s="418"/>
    </row>
    <row r="389" spans="1:4" s="4" customFormat="1" ht="26.45">
      <c r="A389" s="286"/>
      <c r="B389" s="291" t="s">
        <v>1277</v>
      </c>
      <c r="C389" s="41"/>
      <c r="D389" s="418"/>
    </row>
    <row r="390" spans="1:4" s="4" customFormat="1" ht="26.45">
      <c r="A390" s="286"/>
      <c r="B390" s="291" t="s">
        <v>1278</v>
      </c>
      <c r="C390" s="41"/>
      <c r="D390" s="418"/>
    </row>
    <row r="391" spans="1:4" s="4" customFormat="1">
      <c r="A391" s="286"/>
      <c r="B391" s="291" t="s">
        <v>1279</v>
      </c>
      <c r="C391" s="41"/>
      <c r="D391" s="418"/>
    </row>
    <row r="392" spans="1:4" s="4" customFormat="1" ht="26.45">
      <c r="A392" s="286"/>
      <c r="B392" s="291" t="s">
        <v>1280</v>
      </c>
      <c r="C392" s="41"/>
      <c r="D392" s="418"/>
    </row>
    <row r="393" spans="1:4" s="4" customFormat="1" ht="11.25" customHeight="1">
      <c r="A393" s="286"/>
      <c r="B393" s="285" t="s">
        <v>1281</v>
      </c>
      <c r="C393" s="18" t="s">
        <v>1262</v>
      </c>
      <c r="D393" s="418"/>
    </row>
    <row r="394" spans="1:4" s="4" customFormat="1">
      <c r="A394" s="30" t="s">
        <v>1282</v>
      </c>
      <c r="B394" s="31" t="s">
        <v>1283</v>
      </c>
      <c r="C394" s="30"/>
      <c r="D394" s="418"/>
    </row>
    <row r="395" spans="1:4" s="4" customFormat="1">
      <c r="A395" s="30"/>
      <c r="B395" s="288" t="s">
        <v>1284</v>
      </c>
      <c r="C395" s="41"/>
      <c r="D395" s="418"/>
    </row>
    <row r="396" spans="1:4" s="4" customFormat="1">
      <c r="A396" s="30"/>
      <c r="B396" s="289" t="s">
        <v>1285</v>
      </c>
      <c r="C396" s="41"/>
      <c r="D396" s="418"/>
    </row>
    <row r="397" spans="1:4" s="4" customFormat="1" ht="12.75" customHeight="1">
      <c r="A397" s="30"/>
      <c r="B397" s="289" t="s">
        <v>1286</v>
      </c>
      <c r="C397" s="41"/>
      <c r="D397" s="418"/>
    </row>
    <row r="398" spans="1:4" s="4" customFormat="1">
      <c r="A398" s="30"/>
      <c r="B398" s="289" t="s">
        <v>1287</v>
      </c>
      <c r="C398" s="41"/>
      <c r="D398" s="418"/>
    </row>
    <row r="399" spans="1:4" s="4" customFormat="1">
      <c r="A399" s="30"/>
      <c r="B399" s="289" t="s">
        <v>1288</v>
      </c>
      <c r="C399" s="41"/>
      <c r="D399" s="418"/>
    </row>
    <row r="400" spans="1:4" s="4" customFormat="1" ht="22.5" customHeight="1">
      <c r="A400" s="286" t="s">
        <v>1289</v>
      </c>
      <c r="B400" s="292" t="s">
        <v>1290</v>
      </c>
      <c r="C400" s="41"/>
      <c r="D400" s="418"/>
    </row>
    <row r="401" spans="1:4" s="4" customFormat="1">
      <c r="A401" s="286"/>
      <c r="B401" s="292" t="s">
        <v>1291</v>
      </c>
      <c r="C401" s="41"/>
      <c r="D401" s="418"/>
    </row>
    <row r="402" spans="1:4" s="4" customFormat="1">
      <c r="A402" s="286"/>
      <c r="B402" s="292" t="s">
        <v>1292</v>
      </c>
      <c r="C402" s="41"/>
      <c r="D402" s="418"/>
    </row>
    <row r="403" spans="1:4" s="4" customFormat="1">
      <c r="A403" s="286"/>
      <c r="B403" s="292" t="s">
        <v>1293</v>
      </c>
      <c r="C403" s="41"/>
      <c r="D403" s="418"/>
    </row>
    <row r="404" spans="1:4" s="4" customFormat="1">
      <c r="A404" s="286"/>
      <c r="B404" s="292" t="s">
        <v>1294</v>
      </c>
      <c r="C404" s="41"/>
      <c r="D404" s="418"/>
    </row>
    <row r="405" spans="1:4" s="4" customFormat="1">
      <c r="A405" s="286"/>
      <c r="B405" s="292" t="s">
        <v>1295</v>
      </c>
      <c r="C405" s="41"/>
      <c r="D405" s="418"/>
    </row>
    <row r="406" spans="1:4" s="4" customFormat="1">
      <c r="A406" s="286"/>
      <c r="B406" s="292" t="s">
        <v>1296</v>
      </c>
      <c r="C406" s="41"/>
      <c r="D406" s="418"/>
    </row>
    <row r="407" spans="1:4" s="4" customFormat="1">
      <c r="A407" s="55" t="s">
        <v>1297</v>
      </c>
      <c r="B407" s="117" t="s">
        <v>1298</v>
      </c>
      <c r="C407" s="41"/>
      <c r="D407" s="418"/>
    </row>
    <row r="408" spans="1:4" s="4" customFormat="1">
      <c r="A408" s="286"/>
      <c r="B408" s="267" t="s">
        <v>1028</v>
      </c>
      <c r="C408" s="18" t="s">
        <v>1029</v>
      </c>
      <c r="D408" s="418"/>
    </row>
    <row r="409" spans="1:4" s="4" customFormat="1">
      <c r="A409" s="55" t="s">
        <v>1299</v>
      </c>
      <c r="B409" s="117" t="s">
        <v>1300</v>
      </c>
      <c r="C409" s="41"/>
      <c r="D409" s="418"/>
    </row>
    <row r="410" spans="1:4" s="4" customFormat="1">
      <c r="A410" s="286"/>
      <c r="B410" s="267" t="s">
        <v>1028</v>
      </c>
      <c r="C410" s="18" t="s">
        <v>1029</v>
      </c>
      <c r="D410" s="418"/>
    </row>
    <row r="411" spans="1:4" s="4" customFormat="1">
      <c r="A411" s="55" t="s">
        <v>1301</v>
      </c>
      <c r="B411" s="117" t="s">
        <v>1302</v>
      </c>
      <c r="C411" s="41"/>
      <c r="D411" s="418"/>
    </row>
    <row r="412" spans="1:4" s="4" customFormat="1">
      <c r="A412" s="286"/>
      <c r="B412" s="267" t="s">
        <v>1028</v>
      </c>
      <c r="C412" s="18" t="s">
        <v>1029</v>
      </c>
      <c r="D412" s="418"/>
    </row>
    <row r="413" spans="1:4" s="4" customFormat="1">
      <c r="A413" s="55" t="s">
        <v>1303</v>
      </c>
      <c r="B413" s="217" t="s">
        <v>1304</v>
      </c>
      <c r="C413" s="18"/>
      <c r="D413" s="418"/>
    </row>
    <row r="414" spans="1:4" s="4" customFormat="1">
      <c r="A414" s="286"/>
      <c r="B414" s="267" t="s">
        <v>1028</v>
      </c>
      <c r="C414" s="18" t="s">
        <v>1029</v>
      </c>
      <c r="D414" s="418"/>
    </row>
    <row r="415" spans="1:4" s="4" customFormat="1">
      <c r="A415" s="55" t="s">
        <v>1305</v>
      </c>
      <c r="B415" s="217" t="s">
        <v>1306</v>
      </c>
      <c r="C415" s="18"/>
      <c r="D415" s="418"/>
    </row>
    <row r="416" spans="1:4" s="4" customFormat="1">
      <c r="A416" s="286"/>
      <c r="B416" s="267" t="s">
        <v>1028</v>
      </c>
      <c r="C416" s="18" t="s">
        <v>1029</v>
      </c>
      <c r="D416" s="418"/>
    </row>
    <row r="417" spans="1:4" s="4" customFormat="1">
      <c r="A417" s="55" t="s">
        <v>1307</v>
      </c>
      <c r="B417" s="217" t="s">
        <v>1308</v>
      </c>
      <c r="C417" s="18"/>
      <c r="D417" s="418"/>
    </row>
    <row r="418" spans="1:4" s="4" customFormat="1">
      <c r="A418" s="286"/>
      <c r="B418" s="267" t="s">
        <v>1028</v>
      </c>
      <c r="C418" s="18" t="s">
        <v>1029</v>
      </c>
      <c r="D418" s="418"/>
    </row>
    <row r="419" spans="1:4" s="4" customFormat="1">
      <c r="A419" s="286" t="s">
        <v>1309</v>
      </c>
      <c r="B419" s="292" t="s">
        <v>1310</v>
      </c>
      <c r="C419" s="41"/>
      <c r="D419" s="418"/>
    </row>
    <row r="420" spans="1:4" s="4" customFormat="1">
      <c r="A420" s="286"/>
      <c r="B420" s="292" t="s">
        <v>1291</v>
      </c>
      <c r="C420" s="41"/>
      <c r="D420" s="418"/>
    </row>
    <row r="421" spans="1:4" s="4" customFormat="1">
      <c r="A421" s="286"/>
      <c r="B421" s="292" t="s">
        <v>1311</v>
      </c>
      <c r="C421" s="41"/>
      <c r="D421" s="418"/>
    </row>
    <row r="422" spans="1:4" s="4" customFormat="1" ht="17.25" customHeight="1">
      <c r="A422" s="286"/>
      <c r="B422" s="292" t="s">
        <v>1312</v>
      </c>
      <c r="C422" s="41"/>
      <c r="D422" s="418"/>
    </row>
    <row r="423" spans="1:4" s="4" customFormat="1">
      <c r="A423" s="286"/>
      <c r="B423" s="292" t="s">
        <v>1294</v>
      </c>
      <c r="C423" s="41"/>
      <c r="D423" s="418"/>
    </row>
    <row r="424" spans="1:4" s="4" customFormat="1">
      <c r="A424" s="286"/>
      <c r="B424" s="292" t="s">
        <v>1295</v>
      </c>
      <c r="C424" s="41"/>
      <c r="D424" s="418"/>
    </row>
    <row r="425" spans="1:4" s="4" customFormat="1">
      <c r="A425" s="286"/>
      <c r="B425" s="292" t="s">
        <v>1313</v>
      </c>
      <c r="C425" s="41"/>
      <c r="D425" s="418"/>
    </row>
    <row r="426" spans="1:4" s="4" customFormat="1">
      <c r="A426" s="55" t="s">
        <v>1314</v>
      </c>
      <c r="B426" s="117" t="s">
        <v>1315</v>
      </c>
      <c r="C426" s="41"/>
      <c r="D426" s="418"/>
    </row>
    <row r="427" spans="1:4" s="4" customFormat="1">
      <c r="A427" s="286"/>
      <c r="B427" s="267" t="s">
        <v>1028</v>
      </c>
      <c r="C427" s="18" t="s">
        <v>1029</v>
      </c>
      <c r="D427" s="418"/>
    </row>
    <row r="428" spans="1:4" s="4" customFormat="1">
      <c r="A428" s="55" t="s">
        <v>1316</v>
      </c>
      <c r="B428" s="117" t="s">
        <v>1317</v>
      </c>
      <c r="C428" s="41"/>
      <c r="D428" s="418"/>
    </row>
    <row r="429" spans="1:4" s="4" customFormat="1">
      <c r="A429" s="286"/>
      <c r="B429" s="267" t="s">
        <v>1028</v>
      </c>
      <c r="C429" s="18" t="s">
        <v>1029</v>
      </c>
      <c r="D429" s="418"/>
    </row>
    <row r="430" spans="1:4" s="4" customFormat="1">
      <c r="A430" s="286" t="s">
        <v>1318</v>
      </c>
      <c r="B430" s="292" t="s">
        <v>1319</v>
      </c>
      <c r="C430" s="41"/>
      <c r="D430" s="418"/>
    </row>
    <row r="431" spans="1:4" s="4" customFormat="1">
      <c r="A431" s="286"/>
      <c r="B431" s="292" t="s">
        <v>1291</v>
      </c>
      <c r="C431" s="41"/>
      <c r="D431" s="418"/>
    </row>
    <row r="432" spans="1:4" s="4" customFormat="1">
      <c r="A432" s="286"/>
      <c r="B432" s="292" t="s">
        <v>1320</v>
      </c>
      <c r="C432" s="41"/>
      <c r="D432" s="418"/>
    </row>
    <row r="433" spans="1:4" s="4" customFormat="1">
      <c r="A433" s="286"/>
      <c r="B433" s="292" t="s">
        <v>1321</v>
      </c>
      <c r="C433" s="41"/>
      <c r="D433" s="418"/>
    </row>
    <row r="434" spans="1:4" s="4" customFormat="1">
      <c r="A434" s="286"/>
      <c r="B434" s="292" t="s">
        <v>1322</v>
      </c>
      <c r="C434" s="41"/>
      <c r="D434" s="418"/>
    </row>
    <row r="435" spans="1:4" s="4" customFormat="1">
      <c r="A435" s="286"/>
      <c r="B435" s="292" t="s">
        <v>1323</v>
      </c>
      <c r="C435" s="41"/>
      <c r="D435" s="418"/>
    </row>
    <row r="436" spans="1:4" s="4" customFormat="1">
      <c r="A436" s="55" t="s">
        <v>1324</v>
      </c>
      <c r="B436" s="117" t="s">
        <v>1325</v>
      </c>
      <c r="C436" s="41"/>
      <c r="D436" s="418"/>
    </row>
    <row r="437" spans="1:4" s="4" customFormat="1">
      <c r="A437" s="286"/>
      <c r="B437" s="267" t="s">
        <v>1028</v>
      </c>
      <c r="C437" s="18" t="s">
        <v>1029</v>
      </c>
      <c r="D437" s="418"/>
    </row>
    <row r="438" spans="1:4" s="4" customFormat="1">
      <c r="A438" s="55" t="s">
        <v>1326</v>
      </c>
      <c r="B438" s="117" t="s">
        <v>1327</v>
      </c>
      <c r="C438" s="41"/>
      <c r="D438" s="418"/>
    </row>
    <row r="439" spans="1:4" s="4" customFormat="1">
      <c r="A439" s="286"/>
      <c r="B439" s="267" t="s">
        <v>1028</v>
      </c>
      <c r="C439" s="18" t="s">
        <v>1029</v>
      </c>
      <c r="D439" s="418"/>
    </row>
    <row r="440" spans="1:4" s="4" customFormat="1">
      <c r="A440" s="55" t="s">
        <v>1328</v>
      </c>
      <c r="B440" s="117" t="s">
        <v>1329</v>
      </c>
      <c r="C440" s="41"/>
      <c r="D440" s="418"/>
    </row>
    <row r="441" spans="1:4" s="4" customFormat="1">
      <c r="A441" s="286"/>
      <c r="B441" s="267" t="s">
        <v>1028</v>
      </c>
      <c r="C441" s="18" t="s">
        <v>1029</v>
      </c>
      <c r="D441" s="418"/>
    </row>
    <row r="442" spans="1:4" s="4" customFormat="1">
      <c r="A442" s="55" t="s">
        <v>1330</v>
      </c>
      <c r="B442" s="117" t="s">
        <v>1331</v>
      </c>
      <c r="C442" s="41"/>
      <c r="D442" s="418"/>
    </row>
    <row r="443" spans="1:4" s="4" customFormat="1">
      <c r="A443" s="286"/>
      <c r="B443" s="267" t="s">
        <v>1028</v>
      </c>
      <c r="C443" s="18" t="s">
        <v>1029</v>
      </c>
      <c r="D443" s="418"/>
    </row>
    <row r="444" spans="1:4" s="4" customFormat="1">
      <c r="A444" s="55" t="s">
        <v>1332</v>
      </c>
      <c r="B444" s="117" t="s">
        <v>1333</v>
      </c>
      <c r="C444" s="41"/>
      <c r="D444" s="418"/>
    </row>
    <row r="445" spans="1:4" s="4" customFormat="1">
      <c r="A445" s="286"/>
      <c r="B445" s="267" t="s">
        <v>1028</v>
      </c>
      <c r="C445" s="18" t="s">
        <v>1029</v>
      </c>
      <c r="D445" s="418"/>
    </row>
    <row r="446" spans="1:4" s="4" customFormat="1">
      <c r="A446" s="55" t="s">
        <v>1334</v>
      </c>
      <c r="B446" s="117" t="s">
        <v>1335</v>
      </c>
      <c r="C446" s="41"/>
      <c r="D446" s="418"/>
    </row>
    <row r="447" spans="1:4" s="4" customFormat="1">
      <c r="A447" s="286"/>
      <c r="B447" s="267" t="s">
        <v>1028</v>
      </c>
      <c r="C447" s="18" t="s">
        <v>1029</v>
      </c>
      <c r="D447" s="418"/>
    </row>
    <row r="448" spans="1:4" s="4" customFormat="1">
      <c r="A448" s="55" t="s">
        <v>1336</v>
      </c>
      <c r="B448" s="117" t="s">
        <v>1337</v>
      </c>
      <c r="C448" s="41"/>
      <c r="D448" s="418"/>
    </row>
    <row r="449" spans="1:4" s="4" customFormat="1">
      <c r="A449" s="286"/>
      <c r="B449" s="267" t="s">
        <v>1028</v>
      </c>
      <c r="C449" s="18" t="s">
        <v>1029</v>
      </c>
      <c r="D449" s="418"/>
    </row>
    <row r="450" spans="1:4" s="4" customFormat="1">
      <c r="A450" s="55" t="s">
        <v>1338</v>
      </c>
      <c r="B450" s="117" t="s">
        <v>1339</v>
      </c>
      <c r="C450" s="41"/>
      <c r="D450" s="418"/>
    </row>
    <row r="451" spans="1:4" s="4" customFormat="1">
      <c r="A451" s="286"/>
      <c r="B451" s="267" t="s">
        <v>1028</v>
      </c>
      <c r="C451" s="18" t="s">
        <v>1029</v>
      </c>
      <c r="D451" s="418"/>
    </row>
    <row r="452" spans="1:4" s="4" customFormat="1">
      <c r="A452" s="30" t="s">
        <v>1340</v>
      </c>
      <c r="B452" s="31" t="s">
        <v>1341</v>
      </c>
      <c r="C452" s="30"/>
      <c r="D452" s="418"/>
    </row>
    <row r="453" spans="1:4" s="4" customFormat="1" ht="26.45">
      <c r="A453" s="30"/>
      <c r="B453" s="288" t="s">
        <v>1342</v>
      </c>
      <c r="C453" s="41"/>
      <c r="D453" s="418"/>
    </row>
    <row r="454" spans="1:4" s="4" customFormat="1" ht="26.45">
      <c r="A454" s="30"/>
      <c r="B454" s="289" t="s">
        <v>1343</v>
      </c>
      <c r="C454" s="41"/>
      <c r="D454" s="418"/>
    </row>
    <row r="455" spans="1:4" s="4" customFormat="1">
      <c r="A455" s="30"/>
      <c r="B455" s="289" t="s">
        <v>1344</v>
      </c>
      <c r="C455" s="41"/>
      <c r="D455" s="418"/>
    </row>
    <row r="456" spans="1:4" s="4" customFormat="1">
      <c r="A456" s="30"/>
      <c r="B456" s="289" t="s">
        <v>1345</v>
      </c>
      <c r="C456" s="41"/>
      <c r="D456" s="418"/>
    </row>
    <row r="457" spans="1:4" s="4" customFormat="1">
      <c r="A457" s="30"/>
      <c r="B457" s="289" t="s">
        <v>1346</v>
      </c>
      <c r="C457" s="41"/>
      <c r="D457" s="418"/>
    </row>
    <row r="458" spans="1:4" s="4" customFormat="1">
      <c r="A458" s="30"/>
      <c r="B458" s="289" t="s">
        <v>1347</v>
      </c>
      <c r="C458" s="41"/>
      <c r="D458" s="418"/>
    </row>
    <row r="459" spans="1:4" s="4" customFormat="1">
      <c r="A459" s="30"/>
      <c r="B459" s="289" t="s">
        <v>1348</v>
      </c>
      <c r="C459" s="41"/>
      <c r="D459" s="418"/>
    </row>
    <row r="460" spans="1:4" s="4" customFormat="1">
      <c r="A460" s="30"/>
      <c r="B460" s="289" t="s">
        <v>1349</v>
      </c>
      <c r="C460" s="41"/>
      <c r="D460" s="418"/>
    </row>
    <row r="461" spans="1:4" s="4" customFormat="1" ht="26.45">
      <c r="A461" s="30"/>
      <c r="B461" s="289" t="s">
        <v>1350</v>
      </c>
      <c r="C461" s="41"/>
      <c r="D461" s="418"/>
    </row>
    <row r="462" spans="1:4" s="4" customFormat="1" ht="26.45">
      <c r="A462" s="30"/>
      <c r="B462" s="289" t="s">
        <v>1351</v>
      </c>
      <c r="C462" s="41"/>
      <c r="D462" s="418"/>
    </row>
    <row r="463" spans="1:4" s="4" customFormat="1">
      <c r="A463" s="286" t="s">
        <v>1352</v>
      </c>
      <c r="B463" s="292" t="s">
        <v>1353</v>
      </c>
      <c r="C463" s="41"/>
      <c r="D463" s="418"/>
    </row>
    <row r="464" spans="1:4" s="4" customFormat="1">
      <c r="A464" s="55" t="s">
        <v>1354</v>
      </c>
      <c r="B464" s="117" t="s">
        <v>1355</v>
      </c>
      <c r="C464" s="41"/>
      <c r="D464" s="418"/>
    </row>
    <row r="465" spans="1:4" s="4" customFormat="1">
      <c r="A465" s="286"/>
      <c r="B465" s="267" t="s">
        <v>1028</v>
      </c>
      <c r="C465" s="18" t="s">
        <v>1029</v>
      </c>
      <c r="D465" s="418"/>
    </row>
    <row r="466" spans="1:4" s="4" customFormat="1">
      <c r="A466" s="55" t="s">
        <v>1356</v>
      </c>
      <c r="B466" s="117" t="s">
        <v>1357</v>
      </c>
      <c r="C466" s="41"/>
      <c r="D466" s="418"/>
    </row>
    <row r="467" spans="1:4" s="4" customFormat="1">
      <c r="A467" s="286"/>
      <c r="B467" s="267" t="s">
        <v>1028</v>
      </c>
      <c r="C467" s="18" t="s">
        <v>1029</v>
      </c>
      <c r="D467" s="418"/>
    </row>
    <row r="468" spans="1:4" s="4" customFormat="1">
      <c r="A468" s="286" t="s">
        <v>1358</v>
      </c>
      <c r="B468" s="292" t="s">
        <v>1359</v>
      </c>
      <c r="C468" s="41"/>
      <c r="D468" s="418"/>
    </row>
    <row r="469" spans="1:4" s="4" customFormat="1">
      <c r="A469" s="55" t="s">
        <v>1360</v>
      </c>
      <c r="B469" s="117" t="s">
        <v>1361</v>
      </c>
      <c r="C469" s="41"/>
      <c r="D469" s="418"/>
    </row>
    <row r="470" spans="1:4" s="4" customFormat="1">
      <c r="A470" s="286"/>
      <c r="B470" s="267" t="s">
        <v>1028</v>
      </c>
      <c r="C470" s="18" t="s">
        <v>1029</v>
      </c>
      <c r="D470" s="418"/>
    </row>
    <row r="471" spans="1:4" s="4" customFormat="1">
      <c r="A471" s="286" t="s">
        <v>1362</v>
      </c>
      <c r="B471" s="292" t="s">
        <v>1363</v>
      </c>
      <c r="C471" s="41"/>
      <c r="D471" s="418"/>
    </row>
    <row r="472" spans="1:4" s="4" customFormat="1">
      <c r="A472" s="286"/>
      <c r="B472" s="267" t="s">
        <v>1028</v>
      </c>
      <c r="C472" s="18" t="s">
        <v>1029</v>
      </c>
      <c r="D472" s="418"/>
    </row>
    <row r="473" spans="1:4" s="4" customFormat="1">
      <c r="A473" s="30" t="s">
        <v>1364</v>
      </c>
      <c r="B473" s="31" t="s">
        <v>1365</v>
      </c>
      <c r="C473" s="30"/>
      <c r="D473" s="418"/>
    </row>
    <row r="474" spans="1:4" s="4" customFormat="1">
      <c r="A474" s="286" t="s">
        <v>1366</v>
      </c>
      <c r="B474" s="267" t="s">
        <v>1367</v>
      </c>
      <c r="C474" s="30"/>
      <c r="D474" s="418"/>
    </row>
    <row r="475" spans="1:4" s="4" customFormat="1">
      <c r="A475" s="30"/>
      <c r="B475" s="288" t="s">
        <v>1368</v>
      </c>
      <c r="C475" s="41"/>
      <c r="D475" s="418"/>
    </row>
    <row r="476" spans="1:4" s="4" customFormat="1">
      <c r="A476" s="30"/>
      <c r="B476" s="293" t="s">
        <v>1369</v>
      </c>
      <c r="C476" s="41"/>
      <c r="D476" s="418"/>
    </row>
    <row r="477" spans="1:4" s="4" customFormat="1">
      <c r="A477" s="30"/>
      <c r="B477" s="293" t="s">
        <v>1370</v>
      </c>
      <c r="C477" s="41"/>
      <c r="D477" s="418"/>
    </row>
    <row r="478" spans="1:4" s="4" customFormat="1">
      <c r="A478" s="30"/>
      <c r="B478" s="293" t="s">
        <v>1371</v>
      </c>
      <c r="C478" s="41"/>
      <c r="D478" s="418"/>
    </row>
    <row r="479" spans="1:4" s="4" customFormat="1">
      <c r="A479" s="30"/>
      <c r="B479" s="293" t="s">
        <v>1372</v>
      </c>
      <c r="C479" s="41"/>
      <c r="D479" s="418"/>
    </row>
    <row r="480" spans="1:4" s="4" customFormat="1">
      <c r="A480" s="30"/>
      <c r="B480" s="293" t="s">
        <v>1373</v>
      </c>
      <c r="C480" s="41"/>
      <c r="D480" s="418"/>
    </row>
    <row r="481" spans="1:4" s="4" customFormat="1">
      <c r="A481" s="30"/>
      <c r="B481" s="293" t="s">
        <v>1374</v>
      </c>
      <c r="C481" s="41"/>
      <c r="D481" s="418"/>
    </row>
    <row r="482" spans="1:4" s="4" customFormat="1" ht="26.45">
      <c r="A482" s="30"/>
      <c r="B482" s="293" t="s">
        <v>1375</v>
      </c>
      <c r="C482" s="41"/>
      <c r="D482" s="418"/>
    </row>
    <row r="483" spans="1:4" s="4" customFormat="1">
      <c r="A483" s="286"/>
      <c r="B483" s="267" t="s">
        <v>1028</v>
      </c>
      <c r="C483" s="18" t="s">
        <v>1029</v>
      </c>
      <c r="D483" s="418"/>
    </row>
    <row r="484" spans="1:4" s="4" customFormat="1">
      <c r="A484" s="286" t="s">
        <v>1376</v>
      </c>
      <c r="B484" s="267" t="s">
        <v>1377</v>
      </c>
      <c r="C484" s="30"/>
      <c r="D484" s="418"/>
    </row>
    <row r="485" spans="1:4" s="4" customFormat="1">
      <c r="A485" s="30"/>
      <c r="B485" s="288" t="s">
        <v>1378</v>
      </c>
      <c r="C485" s="41"/>
      <c r="D485" s="418"/>
    </row>
    <row r="486" spans="1:4" s="4" customFormat="1">
      <c r="A486" s="30"/>
      <c r="B486" s="293" t="s">
        <v>1369</v>
      </c>
      <c r="C486" s="41"/>
      <c r="D486" s="418"/>
    </row>
    <row r="487" spans="1:4" s="4" customFormat="1" ht="26.45">
      <c r="A487" s="30"/>
      <c r="B487" s="293" t="s">
        <v>1379</v>
      </c>
      <c r="C487" s="41"/>
      <c r="D487" s="418"/>
    </row>
    <row r="488" spans="1:4" s="4" customFormat="1">
      <c r="A488" s="30"/>
      <c r="B488" s="293" t="s">
        <v>1372</v>
      </c>
      <c r="C488" s="41"/>
      <c r="D488" s="418"/>
    </row>
    <row r="489" spans="1:4" s="4" customFormat="1">
      <c r="A489" s="30"/>
      <c r="B489" s="293" t="s">
        <v>1380</v>
      </c>
      <c r="C489" s="41"/>
      <c r="D489" s="418"/>
    </row>
    <row r="490" spans="1:4" s="4" customFormat="1">
      <c r="A490" s="30"/>
      <c r="B490" s="293" t="s">
        <v>1381</v>
      </c>
      <c r="C490" s="41"/>
      <c r="D490" s="418"/>
    </row>
    <row r="491" spans="1:4" s="4" customFormat="1" ht="26.45">
      <c r="A491" s="30"/>
      <c r="B491" s="293" t="s">
        <v>1375</v>
      </c>
      <c r="C491" s="41"/>
      <c r="D491" s="418"/>
    </row>
    <row r="492" spans="1:4" s="4" customFormat="1">
      <c r="A492" s="286"/>
      <c r="B492" s="267" t="s">
        <v>1231</v>
      </c>
      <c r="C492" s="110" t="s">
        <v>1262</v>
      </c>
      <c r="D492" s="418"/>
    </row>
    <row r="493" spans="1:4" s="4" customFormat="1">
      <c r="A493" s="30" t="s">
        <v>1382</v>
      </c>
      <c r="B493" s="31" t="s">
        <v>1383</v>
      </c>
      <c r="C493" s="118"/>
      <c r="D493" s="418"/>
    </row>
    <row r="494" spans="1:4" s="4" customFormat="1">
      <c r="A494" s="286" t="s">
        <v>1384</v>
      </c>
      <c r="B494" s="267" t="s">
        <v>1385</v>
      </c>
      <c r="C494" s="118"/>
      <c r="D494" s="418"/>
    </row>
    <row r="495" spans="1:4" s="4" customFormat="1">
      <c r="A495" s="30"/>
      <c r="B495" s="288" t="s">
        <v>1368</v>
      </c>
      <c r="C495" s="119"/>
      <c r="D495" s="418"/>
    </row>
    <row r="496" spans="1:4" s="4" customFormat="1">
      <c r="A496" s="30"/>
      <c r="B496" s="293" t="s">
        <v>1369</v>
      </c>
      <c r="C496" s="119"/>
      <c r="D496" s="418"/>
    </row>
    <row r="497" spans="1:4" s="4" customFormat="1">
      <c r="A497" s="30"/>
      <c r="B497" s="293" t="s">
        <v>1386</v>
      </c>
      <c r="C497" s="119"/>
      <c r="D497" s="418"/>
    </row>
    <row r="498" spans="1:4" s="4" customFormat="1">
      <c r="A498" s="30"/>
      <c r="B498" s="293" t="s">
        <v>1371</v>
      </c>
      <c r="C498" s="119"/>
      <c r="D498" s="418"/>
    </row>
    <row r="499" spans="1:4" s="4" customFormat="1">
      <c r="A499" s="30"/>
      <c r="B499" s="293" t="s">
        <v>1372</v>
      </c>
      <c r="C499" s="119"/>
      <c r="D499" s="418"/>
    </row>
    <row r="500" spans="1:4" s="4" customFormat="1">
      <c r="A500" s="30"/>
      <c r="B500" s="293" t="s">
        <v>1373</v>
      </c>
      <c r="C500" s="119"/>
      <c r="D500" s="418"/>
    </row>
    <row r="501" spans="1:4" s="4" customFormat="1">
      <c r="A501" s="30"/>
      <c r="B501" s="293" t="s">
        <v>1374</v>
      </c>
      <c r="C501" s="119"/>
      <c r="D501" s="418"/>
    </row>
    <row r="502" spans="1:4" s="4" customFormat="1" ht="26.45">
      <c r="A502" s="30"/>
      <c r="B502" s="293" t="s">
        <v>1387</v>
      </c>
      <c r="C502" s="119"/>
      <c r="D502" s="418"/>
    </row>
    <row r="503" spans="1:4" s="4" customFormat="1">
      <c r="A503" s="286"/>
      <c r="B503" s="267" t="s">
        <v>1028</v>
      </c>
      <c r="C503" s="110" t="s">
        <v>1029</v>
      </c>
      <c r="D503" s="418"/>
    </row>
    <row r="504" spans="1:4" s="4" customFormat="1">
      <c r="A504" s="286" t="s">
        <v>1388</v>
      </c>
      <c r="B504" s="267" t="s">
        <v>1389</v>
      </c>
      <c r="C504" s="118"/>
      <c r="D504" s="418"/>
    </row>
    <row r="505" spans="1:4" s="4" customFormat="1">
      <c r="A505" s="30"/>
      <c r="B505" s="288" t="s">
        <v>1378</v>
      </c>
      <c r="C505" s="119"/>
      <c r="D505" s="418"/>
    </row>
    <row r="506" spans="1:4" s="4" customFormat="1">
      <c r="A506" s="30"/>
      <c r="B506" s="293" t="s">
        <v>1369</v>
      </c>
      <c r="C506" s="119"/>
      <c r="D506" s="418"/>
    </row>
    <row r="507" spans="1:4" s="4" customFormat="1" ht="26.45">
      <c r="A507" s="30"/>
      <c r="B507" s="293" t="s">
        <v>1390</v>
      </c>
      <c r="C507" s="119"/>
      <c r="D507" s="418"/>
    </row>
    <row r="508" spans="1:4" s="4" customFormat="1">
      <c r="A508" s="30"/>
      <c r="B508" s="293" t="s">
        <v>1372</v>
      </c>
      <c r="C508" s="119"/>
      <c r="D508" s="418"/>
    </row>
    <row r="509" spans="1:4" s="4" customFormat="1">
      <c r="A509" s="30"/>
      <c r="B509" s="293" t="s">
        <v>1380</v>
      </c>
      <c r="C509" s="119"/>
      <c r="D509" s="418"/>
    </row>
    <row r="510" spans="1:4" s="4" customFormat="1">
      <c r="A510" s="30"/>
      <c r="B510" s="293" t="s">
        <v>1381</v>
      </c>
      <c r="C510" s="119"/>
      <c r="D510" s="418"/>
    </row>
    <row r="511" spans="1:4" s="4" customFormat="1" ht="26.45">
      <c r="A511" s="30"/>
      <c r="B511" s="293" t="s">
        <v>1387</v>
      </c>
      <c r="C511" s="119"/>
      <c r="D511" s="418"/>
    </row>
    <row r="512" spans="1:4" s="4" customFormat="1" ht="13.5" customHeight="1">
      <c r="A512" s="286"/>
      <c r="B512" s="267" t="s">
        <v>1231</v>
      </c>
      <c r="C512" s="110" t="s">
        <v>1262</v>
      </c>
      <c r="D512" s="418"/>
    </row>
    <row r="513" spans="1:4" s="4" customFormat="1">
      <c r="A513" s="30" t="s">
        <v>1391</v>
      </c>
      <c r="B513" s="31" t="s">
        <v>1392</v>
      </c>
      <c r="C513" s="118"/>
      <c r="D513" s="418"/>
    </row>
    <row r="514" spans="1:4" s="4" customFormat="1" ht="13.5" customHeight="1">
      <c r="A514" s="286" t="s">
        <v>1393</v>
      </c>
      <c r="B514" s="267" t="s">
        <v>1394</v>
      </c>
      <c r="C514" s="118"/>
      <c r="D514" s="418"/>
    </row>
    <row r="515" spans="1:4" s="4" customFormat="1">
      <c r="A515" s="55" t="s">
        <v>1395</v>
      </c>
      <c r="B515" s="77" t="s">
        <v>1396</v>
      </c>
      <c r="C515" s="120"/>
      <c r="D515" s="418"/>
    </row>
    <row r="516" spans="1:4" s="4" customFormat="1">
      <c r="A516" s="30"/>
      <c r="B516" s="288" t="s">
        <v>1397</v>
      </c>
      <c r="C516" s="119"/>
      <c r="D516" s="418"/>
    </row>
    <row r="517" spans="1:4" s="4" customFormat="1">
      <c r="A517" s="30"/>
      <c r="B517" s="293" t="s">
        <v>1398</v>
      </c>
      <c r="C517" s="119"/>
      <c r="D517" s="418"/>
    </row>
    <row r="518" spans="1:4" s="4" customFormat="1">
      <c r="A518" s="30"/>
      <c r="B518" s="293" t="s">
        <v>1399</v>
      </c>
      <c r="C518" s="119"/>
      <c r="D518" s="418"/>
    </row>
    <row r="519" spans="1:4" s="4" customFormat="1">
      <c r="A519" s="286"/>
      <c r="B519" s="267" t="s">
        <v>1028</v>
      </c>
      <c r="C519" s="110" t="s">
        <v>1029</v>
      </c>
      <c r="D519" s="418"/>
    </row>
    <row r="520" spans="1:4" s="4" customFormat="1">
      <c r="A520" s="55" t="s">
        <v>1400</v>
      </c>
      <c r="B520" s="77" t="s">
        <v>1401</v>
      </c>
      <c r="C520" s="120"/>
      <c r="D520" s="418"/>
    </row>
    <row r="521" spans="1:4" s="4" customFormat="1">
      <c r="A521" s="30"/>
      <c r="B521" s="288" t="s">
        <v>1402</v>
      </c>
      <c r="C521" s="41"/>
      <c r="D521" s="418"/>
    </row>
    <row r="522" spans="1:4" s="4" customFormat="1">
      <c r="A522" s="30"/>
      <c r="B522" s="293" t="s">
        <v>1403</v>
      </c>
      <c r="C522" s="41"/>
      <c r="D522" s="418"/>
    </row>
    <row r="523" spans="1:4" s="4" customFormat="1">
      <c r="A523" s="30"/>
      <c r="B523" s="293" t="s">
        <v>1399</v>
      </c>
      <c r="C523" s="41"/>
      <c r="D523" s="418"/>
    </row>
    <row r="524" spans="1:4" s="4" customFormat="1">
      <c r="A524" s="286"/>
      <c r="B524" s="267" t="s">
        <v>1028</v>
      </c>
      <c r="C524" s="18" t="s">
        <v>1029</v>
      </c>
      <c r="D524" s="418"/>
    </row>
    <row r="525" spans="1:4" s="4" customFormat="1">
      <c r="A525" s="55" t="s">
        <v>1404</v>
      </c>
      <c r="B525" s="77" t="s">
        <v>1405</v>
      </c>
      <c r="C525" s="111"/>
      <c r="D525" s="418"/>
    </row>
    <row r="526" spans="1:4" s="4" customFormat="1">
      <c r="A526" s="30"/>
      <c r="B526" s="288" t="s">
        <v>1406</v>
      </c>
      <c r="C526" s="41"/>
      <c r="D526" s="418"/>
    </row>
    <row r="527" spans="1:4" s="4" customFormat="1">
      <c r="A527" s="30"/>
      <c r="B527" s="293" t="s">
        <v>1407</v>
      </c>
      <c r="C527" s="41"/>
      <c r="D527" s="418"/>
    </row>
    <row r="528" spans="1:4" s="4" customFormat="1">
      <c r="A528" s="30"/>
      <c r="B528" s="293" t="s">
        <v>1399</v>
      </c>
      <c r="C528" s="41"/>
      <c r="D528" s="418"/>
    </row>
    <row r="529" spans="1:4" s="4" customFormat="1">
      <c r="A529" s="286"/>
      <c r="B529" s="267" t="s">
        <v>1028</v>
      </c>
      <c r="C529" s="18" t="s">
        <v>1029</v>
      </c>
      <c r="D529" s="418"/>
    </row>
    <row r="530" spans="1:4" s="4" customFormat="1">
      <c r="A530" s="286" t="s">
        <v>1408</v>
      </c>
      <c r="B530" s="267" t="s">
        <v>1409</v>
      </c>
      <c r="C530" s="30"/>
      <c r="D530" s="418"/>
    </row>
    <row r="531" spans="1:4" s="4" customFormat="1" ht="26.45">
      <c r="A531" s="30"/>
      <c r="B531" s="288" t="s">
        <v>1410</v>
      </c>
      <c r="C531" s="41"/>
      <c r="D531" s="418"/>
    </row>
    <row r="532" spans="1:4" s="4" customFormat="1" ht="26.45">
      <c r="A532" s="30"/>
      <c r="B532" s="293" t="s">
        <v>1411</v>
      </c>
      <c r="C532" s="41"/>
      <c r="D532" s="418"/>
    </row>
    <row r="533" spans="1:4" s="4" customFormat="1">
      <c r="A533" s="30"/>
      <c r="B533" s="293" t="s">
        <v>1412</v>
      </c>
      <c r="C533" s="41"/>
      <c r="D533" s="418"/>
    </row>
    <row r="534" spans="1:4" s="4" customFormat="1" ht="26.45">
      <c r="A534" s="30"/>
      <c r="B534" s="293" t="s">
        <v>1413</v>
      </c>
      <c r="C534" s="41"/>
      <c r="D534" s="418"/>
    </row>
    <row r="535" spans="1:4" s="4" customFormat="1">
      <c r="A535" s="286"/>
      <c r="B535" s="267" t="s">
        <v>1028</v>
      </c>
      <c r="C535" s="18" t="s">
        <v>1029</v>
      </c>
      <c r="D535" s="418"/>
    </row>
    <row r="536" spans="1:4" s="4" customFormat="1">
      <c r="A536" s="30" t="s">
        <v>1414</v>
      </c>
      <c r="B536" s="31" t="s">
        <v>1415</v>
      </c>
      <c r="C536" s="30"/>
      <c r="D536" s="418"/>
    </row>
    <row r="537" spans="1:4" s="4" customFormat="1" ht="105.6">
      <c r="A537" s="30"/>
      <c r="B537" s="267" t="s">
        <v>1416</v>
      </c>
      <c r="C537" s="41"/>
      <c r="D537" s="418"/>
    </row>
    <row r="538" spans="1:4" s="4" customFormat="1">
      <c r="A538" s="286"/>
      <c r="B538" s="267" t="s">
        <v>1028</v>
      </c>
      <c r="C538" s="18" t="s">
        <v>1029</v>
      </c>
      <c r="D538" s="418"/>
    </row>
    <row r="539" spans="1:4" s="4" customFormat="1">
      <c r="A539" s="30" t="s">
        <v>1417</v>
      </c>
      <c r="B539" s="51" t="s">
        <v>1418</v>
      </c>
      <c r="C539" s="18"/>
      <c r="D539" s="418"/>
    </row>
    <row r="540" spans="1:4" s="4" customFormat="1" ht="39.6">
      <c r="A540" s="286"/>
      <c r="B540" s="267" t="s">
        <v>1419</v>
      </c>
      <c r="C540" s="18"/>
      <c r="D540" s="418"/>
    </row>
    <row r="541" spans="1:4" s="4" customFormat="1">
      <c r="A541" s="286"/>
      <c r="B541" s="267" t="s">
        <v>1028</v>
      </c>
      <c r="C541" s="18" t="s">
        <v>1029</v>
      </c>
      <c r="D541" s="418"/>
    </row>
    <row r="542" spans="1:4" s="4" customFormat="1">
      <c r="A542" s="30" t="s">
        <v>1420</v>
      </c>
      <c r="B542" s="51" t="s">
        <v>1421</v>
      </c>
      <c r="C542" s="18"/>
      <c r="D542" s="418"/>
    </row>
    <row r="543" spans="1:4" s="4" customFormat="1" ht="27" customHeight="1">
      <c r="A543" s="286"/>
      <c r="B543" s="267" t="s">
        <v>1422</v>
      </c>
      <c r="C543" s="18"/>
      <c r="D543" s="418"/>
    </row>
    <row r="544" spans="1:4" s="4" customFormat="1" ht="16.5" customHeight="1">
      <c r="A544" s="286"/>
      <c r="B544" s="267" t="s">
        <v>1028</v>
      </c>
      <c r="C544" s="18" t="s">
        <v>1029</v>
      </c>
      <c r="D544" s="418"/>
    </row>
    <row r="545" spans="1:4" s="4" customFormat="1">
      <c r="A545" s="30" t="s">
        <v>1423</v>
      </c>
      <c r="B545" s="31" t="s">
        <v>1424</v>
      </c>
      <c r="C545" s="18"/>
      <c r="D545" s="418"/>
    </row>
    <row r="546" spans="1:4" s="4" customFormat="1">
      <c r="A546" s="30"/>
      <c r="B546" s="94" t="s">
        <v>1425</v>
      </c>
      <c r="C546" s="18"/>
      <c r="D546" s="418"/>
    </row>
    <row r="547" spans="1:4" s="4" customFormat="1" ht="26.45">
      <c r="A547" s="30"/>
      <c r="B547" s="94" t="s">
        <v>1426</v>
      </c>
      <c r="C547" s="18"/>
      <c r="D547" s="418"/>
    </row>
    <row r="548" spans="1:4" s="4" customFormat="1" ht="39.6">
      <c r="A548" s="30"/>
      <c r="B548" s="94" t="s">
        <v>1427</v>
      </c>
      <c r="C548" s="18"/>
      <c r="D548" s="418"/>
    </row>
    <row r="549" spans="1:4" s="4" customFormat="1">
      <c r="A549" s="30"/>
      <c r="B549" s="267" t="s">
        <v>1428</v>
      </c>
      <c r="C549" s="18" t="s">
        <v>1429</v>
      </c>
      <c r="D549" s="418"/>
    </row>
    <row r="550" spans="1:4" s="4" customFormat="1">
      <c r="A550" s="30" t="s">
        <v>1272</v>
      </c>
      <c r="B550" s="31" t="s">
        <v>1430</v>
      </c>
      <c r="C550" s="18"/>
      <c r="D550" s="418"/>
    </row>
    <row r="551" spans="1:4" s="4" customFormat="1" ht="86.25" customHeight="1">
      <c r="A551" s="30"/>
      <c r="B551" s="94" t="s">
        <v>1431</v>
      </c>
      <c r="C551" s="18"/>
      <c r="D551" s="418"/>
    </row>
    <row r="552" spans="1:4" s="4" customFormat="1" ht="13.5" customHeight="1">
      <c r="A552" s="30"/>
      <c r="B552" s="267" t="s">
        <v>1428</v>
      </c>
      <c r="C552" s="18" t="s">
        <v>1429</v>
      </c>
      <c r="D552" s="418"/>
    </row>
    <row r="553" spans="1:4" s="4" customFormat="1">
      <c r="A553" s="30" t="s">
        <v>1432</v>
      </c>
      <c r="B553" s="31" t="s">
        <v>1433</v>
      </c>
      <c r="C553" s="18"/>
      <c r="D553" s="418"/>
    </row>
    <row r="554" spans="1:4" s="4" customFormat="1" ht="13.5" customHeight="1">
      <c r="A554" s="30"/>
      <c r="B554" s="121" t="s">
        <v>1434</v>
      </c>
      <c r="C554" s="18"/>
      <c r="D554" s="418"/>
    </row>
    <row r="555" spans="1:4" s="4" customFormat="1">
      <c r="A555" s="30"/>
      <c r="B555" s="94" t="s">
        <v>1435</v>
      </c>
      <c r="C555" s="18"/>
      <c r="D555" s="418"/>
    </row>
    <row r="556" spans="1:4" s="4" customFormat="1">
      <c r="A556" s="30"/>
      <c r="B556" s="94" t="s">
        <v>1436</v>
      </c>
      <c r="C556" s="18"/>
      <c r="D556" s="418"/>
    </row>
    <row r="557" spans="1:4" s="4" customFormat="1">
      <c r="A557" s="30"/>
      <c r="B557" s="94" t="s">
        <v>1437</v>
      </c>
      <c r="C557" s="18"/>
      <c r="D557" s="418"/>
    </row>
    <row r="558" spans="1:4" s="4" customFormat="1" ht="26.45">
      <c r="A558" s="30"/>
      <c r="B558" s="94" t="s">
        <v>1438</v>
      </c>
      <c r="C558" s="18"/>
      <c r="D558" s="418"/>
    </row>
    <row r="559" spans="1:4" s="4" customFormat="1">
      <c r="A559" s="30"/>
      <c r="B559" s="267" t="s">
        <v>1428</v>
      </c>
      <c r="C559" s="18" t="s">
        <v>1429</v>
      </c>
      <c r="D559" s="418"/>
    </row>
    <row r="560" spans="1:4" s="4" customFormat="1">
      <c r="A560" s="30" t="s">
        <v>1439</v>
      </c>
      <c r="B560" s="31" t="s">
        <v>1440</v>
      </c>
      <c r="C560" s="18"/>
      <c r="D560" s="418"/>
    </row>
    <row r="561" spans="1:11" s="4" customFormat="1" ht="145.15">
      <c r="A561" s="30"/>
      <c r="B561" s="267" t="s">
        <v>1441</v>
      </c>
      <c r="C561" s="18"/>
      <c r="D561" s="418"/>
    </row>
    <row r="562" spans="1:11" s="4" customFormat="1">
      <c r="A562" s="30"/>
      <c r="B562" s="267" t="s">
        <v>1428</v>
      </c>
      <c r="C562" s="18" t="s">
        <v>1429</v>
      </c>
      <c r="D562" s="418"/>
    </row>
    <row r="563" spans="1:11" s="74" customFormat="1" ht="12.75" customHeight="1">
      <c r="A563" s="30" t="s">
        <v>1442</v>
      </c>
      <c r="B563" s="31" t="s">
        <v>1443</v>
      </c>
      <c r="C563" s="18"/>
      <c r="D563" s="418"/>
      <c r="E563" s="73"/>
      <c r="F563" s="73"/>
      <c r="G563" s="73"/>
      <c r="H563" s="73"/>
      <c r="I563" s="73"/>
      <c r="J563" s="73"/>
      <c r="K563" s="73"/>
    </row>
    <row r="564" spans="1:11" s="74" customFormat="1" ht="26.25" customHeight="1">
      <c r="A564" s="30"/>
      <c r="B564" s="121" t="s">
        <v>1444</v>
      </c>
      <c r="C564" s="18"/>
      <c r="D564" s="418"/>
      <c r="E564" s="73"/>
      <c r="F564" s="73"/>
      <c r="G564" s="73"/>
      <c r="H564" s="73"/>
      <c r="I564" s="73"/>
      <c r="J564" s="73"/>
      <c r="K564" s="73"/>
    </row>
    <row r="565" spans="1:11" s="74" customFormat="1">
      <c r="A565" s="30"/>
      <c r="B565" s="94" t="s">
        <v>1445</v>
      </c>
      <c r="C565" s="18"/>
      <c r="D565" s="418"/>
      <c r="E565" s="73"/>
      <c r="F565" s="73"/>
      <c r="G565" s="73"/>
      <c r="H565" s="73"/>
      <c r="I565" s="73"/>
      <c r="J565" s="73"/>
      <c r="K565" s="73"/>
    </row>
    <row r="566" spans="1:11" s="74" customFormat="1">
      <c r="A566" s="30"/>
      <c r="B566" s="294" t="s">
        <v>1446</v>
      </c>
      <c r="C566" s="18"/>
      <c r="D566" s="418"/>
      <c r="E566" s="73"/>
      <c r="F566" s="73"/>
      <c r="G566" s="73"/>
      <c r="H566" s="73"/>
      <c r="I566" s="73"/>
      <c r="J566" s="73"/>
      <c r="K566" s="73"/>
    </row>
    <row r="567" spans="1:11" s="74" customFormat="1" ht="26.45">
      <c r="A567" s="30"/>
      <c r="B567" s="294" t="s">
        <v>1447</v>
      </c>
      <c r="C567" s="18"/>
      <c r="D567" s="418"/>
      <c r="E567" s="73"/>
      <c r="F567" s="73"/>
      <c r="G567" s="73"/>
      <c r="H567" s="73"/>
      <c r="I567" s="73"/>
      <c r="J567" s="73"/>
      <c r="K567" s="73"/>
    </row>
    <row r="568" spans="1:11" s="74" customFormat="1">
      <c r="A568" s="30"/>
      <c r="B568" s="267" t="s">
        <v>1428</v>
      </c>
      <c r="C568" s="18" t="s">
        <v>1429</v>
      </c>
      <c r="D568" s="418"/>
      <c r="E568" s="73"/>
      <c r="F568" s="73"/>
      <c r="G568" s="73"/>
      <c r="H568" s="73"/>
      <c r="I568" s="73"/>
      <c r="J568" s="73"/>
      <c r="K568" s="73"/>
    </row>
    <row r="569" spans="1:11" s="74" customFormat="1" ht="26.45">
      <c r="A569" s="30" t="s">
        <v>1448</v>
      </c>
      <c r="B569" s="31" t="s">
        <v>1449</v>
      </c>
      <c r="C569" s="18"/>
      <c r="D569" s="418"/>
      <c r="E569" s="73"/>
      <c r="F569" s="73"/>
      <c r="G569" s="73"/>
      <c r="H569" s="73"/>
      <c r="I569" s="73"/>
      <c r="J569" s="73"/>
      <c r="K569" s="73"/>
    </row>
    <row r="570" spans="1:11" s="74" customFormat="1">
      <c r="A570" s="30"/>
      <c r="B570" s="121" t="s">
        <v>1450</v>
      </c>
      <c r="C570" s="18"/>
      <c r="D570" s="418"/>
      <c r="E570" s="73"/>
      <c r="F570" s="73"/>
      <c r="G570" s="73"/>
      <c r="H570" s="73"/>
      <c r="I570" s="73"/>
      <c r="J570" s="73"/>
      <c r="K570" s="73"/>
    </row>
    <row r="571" spans="1:11" s="74" customFormat="1">
      <c r="A571" s="30"/>
      <c r="B571" s="94" t="s">
        <v>1451</v>
      </c>
      <c r="C571" s="18"/>
      <c r="D571" s="418"/>
      <c r="E571" s="73"/>
      <c r="F571" s="73"/>
      <c r="G571" s="73"/>
      <c r="H571" s="73"/>
      <c r="I571" s="73"/>
      <c r="J571" s="73"/>
      <c r="K571" s="73"/>
    </row>
    <row r="572" spans="1:11" s="74" customFormat="1">
      <c r="A572" s="30"/>
      <c r="B572" s="294" t="s">
        <v>1452</v>
      </c>
      <c r="C572" s="18"/>
      <c r="D572" s="418"/>
      <c r="E572" s="73"/>
      <c r="F572" s="73"/>
      <c r="G572" s="73"/>
      <c r="H572" s="73"/>
      <c r="I572" s="73"/>
      <c r="J572" s="73"/>
      <c r="K572" s="73"/>
    </row>
    <row r="573" spans="1:11" s="74" customFormat="1">
      <c r="A573" s="30"/>
      <c r="B573" s="294" t="s">
        <v>1453</v>
      </c>
      <c r="C573" s="18"/>
      <c r="D573" s="418"/>
      <c r="E573" s="73"/>
      <c r="F573" s="73"/>
      <c r="G573" s="73"/>
      <c r="H573" s="73"/>
      <c r="I573" s="73"/>
      <c r="J573" s="73"/>
      <c r="K573" s="73"/>
    </row>
    <row r="574" spans="1:11" s="74" customFormat="1">
      <c r="A574" s="30"/>
      <c r="B574" s="294" t="s">
        <v>1454</v>
      </c>
      <c r="C574" s="18"/>
      <c r="D574" s="418"/>
      <c r="E574" s="73"/>
      <c r="F574" s="73"/>
      <c r="G574" s="73"/>
      <c r="H574" s="73"/>
      <c r="I574" s="73"/>
      <c r="J574" s="73"/>
      <c r="K574" s="73"/>
    </row>
    <row r="575" spans="1:11" s="74" customFormat="1">
      <c r="A575" s="30"/>
      <c r="B575" s="294" t="s">
        <v>1455</v>
      </c>
      <c r="C575" s="18"/>
      <c r="D575" s="418"/>
      <c r="E575" s="73"/>
      <c r="F575" s="73"/>
      <c r="G575" s="73"/>
      <c r="H575" s="73"/>
      <c r="I575" s="73"/>
      <c r="J575" s="73"/>
      <c r="K575" s="73"/>
    </row>
    <row r="576" spans="1:11" s="74" customFormat="1">
      <c r="A576" s="30"/>
      <c r="B576" s="294" t="s">
        <v>1456</v>
      </c>
      <c r="C576" s="18"/>
      <c r="D576" s="418"/>
      <c r="E576" s="73"/>
      <c r="F576" s="73"/>
      <c r="G576" s="73"/>
      <c r="H576" s="73"/>
      <c r="I576" s="73"/>
      <c r="J576" s="73"/>
      <c r="K576" s="73"/>
    </row>
    <row r="577" spans="1:11" s="74" customFormat="1" ht="12.75" customHeight="1">
      <c r="A577" s="30"/>
      <c r="B577" s="294" t="s">
        <v>1457</v>
      </c>
      <c r="C577" s="18"/>
      <c r="D577" s="418"/>
      <c r="E577" s="73"/>
      <c r="F577" s="73"/>
      <c r="G577" s="73"/>
      <c r="H577" s="73"/>
      <c r="I577" s="73"/>
      <c r="J577" s="73"/>
      <c r="K577" s="73"/>
    </row>
    <row r="578" spans="1:11" s="74" customFormat="1">
      <c r="A578" s="30"/>
      <c r="B578" s="267" t="s">
        <v>1231</v>
      </c>
      <c r="C578" s="18" t="s">
        <v>1262</v>
      </c>
      <c r="D578" s="418"/>
      <c r="E578" s="73"/>
      <c r="F578" s="73"/>
      <c r="G578" s="73"/>
      <c r="H578" s="73"/>
      <c r="I578" s="73"/>
      <c r="J578" s="73"/>
      <c r="K578" s="73"/>
    </row>
    <row r="579" spans="1:11" s="74" customFormat="1" ht="12.75" customHeight="1">
      <c r="A579" s="30" t="s">
        <v>1458</v>
      </c>
      <c r="B579" s="31" t="s">
        <v>1459</v>
      </c>
      <c r="C579" s="18"/>
      <c r="D579" s="418"/>
      <c r="E579" s="73"/>
      <c r="F579" s="73"/>
      <c r="G579" s="73"/>
      <c r="H579" s="73"/>
      <c r="I579" s="73"/>
      <c r="J579" s="73"/>
      <c r="K579" s="73"/>
    </row>
    <row r="580" spans="1:11" s="74" customFormat="1">
      <c r="A580" s="30"/>
      <c r="B580" s="94" t="s">
        <v>1460</v>
      </c>
      <c r="C580" s="18"/>
      <c r="D580" s="418"/>
      <c r="E580" s="73"/>
      <c r="F580" s="73"/>
      <c r="G580" s="73"/>
      <c r="H580" s="73"/>
      <c r="I580" s="73"/>
      <c r="J580" s="73"/>
      <c r="K580" s="73"/>
    </row>
    <row r="581" spans="1:11" s="74" customFormat="1" ht="27.75" customHeight="1">
      <c r="A581" s="30"/>
      <c r="B581" s="94" t="s">
        <v>1461</v>
      </c>
      <c r="C581" s="18"/>
      <c r="D581" s="418"/>
      <c r="E581" s="73"/>
      <c r="F581" s="73"/>
      <c r="G581" s="73"/>
      <c r="H581" s="73"/>
      <c r="I581" s="73"/>
      <c r="J581" s="73"/>
      <c r="K581" s="73"/>
    </row>
    <row r="582" spans="1:11" s="74" customFormat="1">
      <c r="A582" s="30"/>
      <c r="B582" s="94" t="s">
        <v>1462</v>
      </c>
      <c r="C582" s="18"/>
      <c r="D582" s="418"/>
      <c r="E582" s="73"/>
      <c r="F582" s="73"/>
      <c r="G582" s="73"/>
      <c r="H582" s="73"/>
      <c r="I582" s="73"/>
      <c r="J582" s="73"/>
      <c r="K582" s="73"/>
    </row>
    <row r="583" spans="1:11" s="74" customFormat="1" ht="12.75" customHeight="1">
      <c r="A583" s="122" t="s">
        <v>1463</v>
      </c>
      <c r="B583" s="123" t="s">
        <v>1464</v>
      </c>
      <c r="C583" s="108"/>
      <c r="D583" s="418"/>
      <c r="E583" s="73"/>
      <c r="F583" s="73"/>
      <c r="G583" s="73"/>
      <c r="H583" s="73"/>
      <c r="I583" s="73"/>
      <c r="J583" s="73"/>
      <c r="K583" s="73"/>
    </row>
    <row r="584" spans="1:11" s="74" customFormat="1">
      <c r="A584" s="16"/>
      <c r="B584" s="283" t="s">
        <v>1231</v>
      </c>
      <c r="C584" s="108" t="s">
        <v>1262</v>
      </c>
      <c r="D584" s="418"/>
      <c r="E584" s="73"/>
      <c r="F584" s="73"/>
      <c r="G584" s="73"/>
      <c r="H584" s="73"/>
      <c r="I584" s="73"/>
      <c r="J584" s="73"/>
      <c r="K584" s="73"/>
    </row>
    <row r="585" spans="1:11" s="74" customFormat="1" ht="12.75" customHeight="1">
      <c r="A585" s="122" t="s">
        <v>1465</v>
      </c>
      <c r="B585" s="123" t="s">
        <v>1466</v>
      </c>
      <c r="C585" s="108"/>
      <c r="D585" s="418"/>
      <c r="E585" s="73"/>
      <c r="F585" s="73"/>
      <c r="G585" s="73"/>
      <c r="H585" s="73"/>
      <c r="I585" s="73"/>
      <c r="J585" s="73"/>
      <c r="K585" s="73"/>
    </row>
    <row r="586" spans="1:11" s="74" customFormat="1">
      <c r="A586" s="16"/>
      <c r="B586" s="283" t="s">
        <v>1231</v>
      </c>
      <c r="C586" s="108" t="s">
        <v>1262</v>
      </c>
      <c r="D586" s="418"/>
      <c r="E586" s="73"/>
      <c r="F586" s="73"/>
      <c r="G586" s="73"/>
      <c r="H586" s="73"/>
      <c r="I586" s="73"/>
      <c r="J586" s="73"/>
      <c r="K586" s="73"/>
    </row>
    <row r="587" spans="1:11" s="74" customFormat="1" ht="12.75" customHeight="1">
      <c r="A587" s="30" t="s">
        <v>1467</v>
      </c>
      <c r="B587" s="31" t="s">
        <v>1468</v>
      </c>
      <c r="C587" s="18"/>
      <c r="D587" s="418"/>
      <c r="E587" s="73"/>
      <c r="F587" s="73"/>
      <c r="G587" s="73"/>
      <c r="H587" s="73"/>
      <c r="I587" s="73"/>
      <c r="J587" s="73"/>
      <c r="K587" s="73"/>
    </row>
    <row r="588" spans="1:11" s="74" customFormat="1" ht="26.45">
      <c r="A588" s="30"/>
      <c r="B588" s="94" t="s">
        <v>1469</v>
      </c>
      <c r="C588" s="18"/>
      <c r="D588" s="418"/>
      <c r="E588" s="73"/>
      <c r="F588" s="73"/>
      <c r="G588" s="73"/>
      <c r="H588" s="73"/>
      <c r="I588" s="73"/>
      <c r="J588" s="73"/>
      <c r="K588" s="73"/>
    </row>
    <row r="589" spans="1:11" s="4" customFormat="1">
      <c r="A589" s="30"/>
      <c r="B589" s="267" t="s">
        <v>1231</v>
      </c>
      <c r="C589" s="18" t="s">
        <v>1262</v>
      </c>
      <c r="D589" s="418"/>
    </row>
    <row r="590" spans="1:11" s="4" customFormat="1">
      <c r="A590" s="30" t="s">
        <v>1470</v>
      </c>
      <c r="B590" s="276" t="s">
        <v>1471</v>
      </c>
      <c r="C590" s="18"/>
      <c r="D590" s="418"/>
    </row>
    <row r="591" spans="1:11" s="4" customFormat="1" ht="26.45">
      <c r="A591" s="30"/>
      <c r="B591" s="267" t="s">
        <v>1472</v>
      </c>
      <c r="C591" s="18"/>
      <c r="D591" s="418"/>
    </row>
    <row r="592" spans="1:11" s="4" customFormat="1">
      <c r="A592" s="30"/>
      <c r="B592" s="374" t="s">
        <v>1028</v>
      </c>
      <c r="C592" s="18" t="s">
        <v>1029</v>
      </c>
      <c r="D592" s="418"/>
    </row>
    <row r="593" spans="1:4" s="4" customFormat="1">
      <c r="A593" s="16"/>
      <c r="B593" s="295"/>
      <c r="C593" s="263"/>
      <c r="D593" s="418"/>
    </row>
    <row r="594" spans="1:4" s="4" customFormat="1">
      <c r="A594" s="30" t="s">
        <v>1473</v>
      </c>
      <c r="B594" s="276" t="s">
        <v>1474</v>
      </c>
      <c r="C594" s="18"/>
      <c r="D594" s="418"/>
    </row>
    <row r="595" spans="1:4" s="4" customFormat="1" ht="135" customHeight="1">
      <c r="A595" s="30"/>
      <c r="B595" s="267" t="s">
        <v>1475</v>
      </c>
      <c r="C595" s="18"/>
      <c r="D595" s="418"/>
    </row>
    <row r="596" spans="1:4" s="4" customFormat="1">
      <c r="A596" s="30"/>
      <c r="B596" s="267" t="s">
        <v>1028</v>
      </c>
      <c r="C596" s="18" t="s">
        <v>1029</v>
      </c>
      <c r="D596" s="418"/>
    </row>
    <row r="597" spans="1:4" s="4" customFormat="1">
      <c r="A597" s="30" t="s">
        <v>1476</v>
      </c>
      <c r="B597" s="276" t="s">
        <v>1477</v>
      </c>
      <c r="C597" s="18"/>
      <c r="D597" s="418"/>
    </row>
    <row r="598" spans="1:4" s="4" customFormat="1" ht="118.9">
      <c r="A598" s="30"/>
      <c r="B598" s="267" t="s">
        <v>1478</v>
      </c>
      <c r="C598" s="18"/>
      <c r="D598" s="418"/>
    </row>
    <row r="599" spans="1:4" s="4" customFormat="1">
      <c r="A599" s="30"/>
      <c r="B599" s="267" t="s">
        <v>1028</v>
      </c>
      <c r="C599" s="18" t="s">
        <v>1029</v>
      </c>
      <c r="D599" s="418"/>
    </row>
    <row r="600" spans="1:4" s="4" customFormat="1">
      <c r="A600" s="30" t="s">
        <v>1479</v>
      </c>
      <c r="B600" s="276" t="s">
        <v>1480</v>
      </c>
      <c r="C600" s="18"/>
      <c r="D600" s="418"/>
    </row>
    <row r="601" spans="1:4" s="4" customFormat="1" ht="92.45">
      <c r="A601" s="30"/>
      <c r="B601" s="267" t="s">
        <v>1481</v>
      </c>
      <c r="C601" s="18"/>
      <c r="D601" s="418"/>
    </row>
    <row r="602" spans="1:4" s="4" customFormat="1">
      <c r="A602" s="30"/>
      <c r="B602" s="267" t="s">
        <v>1231</v>
      </c>
      <c r="C602" s="18" t="s">
        <v>1262</v>
      </c>
      <c r="D602" s="418"/>
    </row>
    <row r="603" spans="1:4" s="4" customFormat="1">
      <c r="A603" s="30"/>
      <c r="B603" s="267"/>
      <c r="C603" s="18"/>
      <c r="D603" s="418"/>
    </row>
    <row r="604" spans="1:4" s="4" customFormat="1">
      <c r="A604" s="22" t="s">
        <v>1482</v>
      </c>
      <c r="B604" s="23" t="s">
        <v>1483</v>
      </c>
      <c r="C604" s="24"/>
      <c r="D604" s="418"/>
    </row>
    <row r="605" spans="1:4" s="4" customFormat="1">
      <c r="A605" s="124" t="s">
        <v>44</v>
      </c>
      <c r="B605" s="125" t="s">
        <v>1484</v>
      </c>
      <c r="C605" s="126"/>
      <c r="D605" s="418"/>
    </row>
    <row r="606" spans="1:4" s="4" customFormat="1" ht="52.9">
      <c r="A606" s="16"/>
      <c r="B606" s="95" t="s">
        <v>1485</v>
      </c>
      <c r="C606" s="108"/>
      <c r="D606" s="418"/>
    </row>
    <row r="607" spans="1:4" s="4" customFormat="1" ht="26.45">
      <c r="A607" s="16"/>
      <c r="B607" s="95" t="s">
        <v>1486</v>
      </c>
      <c r="C607" s="108"/>
      <c r="D607" s="418"/>
    </row>
    <row r="608" spans="1:4" s="4" customFormat="1">
      <c r="A608" s="122" t="s">
        <v>1487</v>
      </c>
      <c r="B608" s="123" t="s">
        <v>1488</v>
      </c>
      <c r="C608" s="108"/>
      <c r="D608" s="418"/>
    </row>
    <row r="609" spans="1:4" s="4" customFormat="1">
      <c r="A609" s="16"/>
      <c r="B609" s="283" t="s">
        <v>1028</v>
      </c>
      <c r="C609" s="108" t="s">
        <v>1029</v>
      </c>
      <c r="D609" s="418"/>
    </row>
    <row r="610" spans="1:4" s="4" customFormat="1">
      <c r="A610" s="123" t="s">
        <v>1489</v>
      </c>
      <c r="B610" s="123" t="s">
        <v>1490</v>
      </c>
      <c r="C610" s="108"/>
      <c r="D610" s="418"/>
    </row>
    <row r="611" spans="1:4" s="4" customFormat="1">
      <c r="A611" s="16"/>
      <c r="B611" s="283" t="s">
        <v>1028</v>
      </c>
      <c r="C611" s="108" t="s">
        <v>1029</v>
      </c>
      <c r="D611" s="418"/>
    </row>
    <row r="612" spans="1:4" s="4" customFormat="1">
      <c r="A612" s="123" t="s">
        <v>1491</v>
      </c>
      <c r="B612" s="123" t="s">
        <v>1492</v>
      </c>
      <c r="C612" s="108"/>
      <c r="D612" s="418"/>
    </row>
    <row r="613" spans="1:4" s="4" customFormat="1">
      <c r="A613" s="16"/>
      <c r="B613" s="283" t="s">
        <v>1028</v>
      </c>
      <c r="C613" s="108" t="s">
        <v>1029</v>
      </c>
      <c r="D613" s="418"/>
    </row>
    <row r="614" spans="1:4" s="4" customFormat="1">
      <c r="A614" s="123" t="s">
        <v>1493</v>
      </c>
      <c r="B614" s="123" t="s">
        <v>1494</v>
      </c>
      <c r="C614" s="108"/>
      <c r="D614" s="418"/>
    </row>
    <row r="615" spans="1:4" s="4" customFormat="1">
      <c r="A615" s="16"/>
      <c r="B615" s="283" t="s">
        <v>1028</v>
      </c>
      <c r="C615" s="108" t="s">
        <v>1029</v>
      </c>
      <c r="D615" s="418"/>
    </row>
    <row r="616" spans="1:4" s="4" customFormat="1">
      <c r="A616" s="123" t="s">
        <v>1495</v>
      </c>
      <c r="B616" s="123" t="s">
        <v>1496</v>
      </c>
      <c r="C616" s="108"/>
      <c r="D616" s="418"/>
    </row>
    <row r="617" spans="1:4" s="4" customFormat="1">
      <c r="A617" s="16"/>
      <c r="B617" s="283" t="s">
        <v>1028</v>
      </c>
      <c r="C617" s="108" t="s">
        <v>1029</v>
      </c>
      <c r="D617" s="418"/>
    </row>
    <row r="618" spans="1:4" s="4" customFormat="1">
      <c r="A618" s="123" t="s">
        <v>1497</v>
      </c>
      <c r="B618" s="123" t="s">
        <v>1498</v>
      </c>
      <c r="C618" s="108"/>
      <c r="D618" s="418"/>
    </row>
    <row r="619" spans="1:4" s="4" customFormat="1">
      <c r="A619" s="16"/>
      <c r="B619" s="283" t="s">
        <v>1076</v>
      </c>
      <c r="C619" s="108" t="s">
        <v>1077</v>
      </c>
      <c r="D619" s="418"/>
    </row>
    <row r="620" spans="1:4" s="4" customFormat="1">
      <c r="A620" s="123" t="s">
        <v>1499</v>
      </c>
      <c r="B620" s="123" t="s">
        <v>1500</v>
      </c>
      <c r="C620" s="108"/>
      <c r="D620" s="418"/>
    </row>
    <row r="621" spans="1:4" s="4" customFormat="1">
      <c r="A621" s="16"/>
      <c r="B621" s="283" t="s">
        <v>1028</v>
      </c>
      <c r="C621" s="108" t="s">
        <v>1029</v>
      </c>
      <c r="D621" s="418"/>
    </row>
    <row r="622" spans="1:4" s="4" customFormat="1">
      <c r="A622" s="123" t="s">
        <v>1501</v>
      </c>
      <c r="B622" s="123" t="s">
        <v>1502</v>
      </c>
      <c r="C622" s="108"/>
      <c r="D622" s="418"/>
    </row>
    <row r="623" spans="1:4" s="4" customFormat="1">
      <c r="A623" s="16"/>
      <c r="B623" s="283" t="s">
        <v>1028</v>
      </c>
      <c r="C623" s="108" t="s">
        <v>1029</v>
      </c>
      <c r="D623" s="418"/>
    </row>
    <row r="624" spans="1:4" s="2" customFormat="1">
      <c r="A624" s="123" t="s">
        <v>1503</v>
      </c>
      <c r="B624" s="123" t="s">
        <v>1504</v>
      </c>
      <c r="C624" s="108"/>
      <c r="D624" s="418"/>
    </row>
    <row r="625" spans="1:4" s="3" customFormat="1">
      <c r="A625" s="16"/>
      <c r="B625" s="283" t="s">
        <v>1028</v>
      </c>
      <c r="C625" s="108" t="s">
        <v>1029</v>
      </c>
      <c r="D625" s="418"/>
    </row>
    <row r="626" spans="1:4" s="2" customFormat="1">
      <c r="A626" s="123" t="s">
        <v>1505</v>
      </c>
      <c r="B626" s="123" t="s">
        <v>1506</v>
      </c>
      <c r="C626" s="108"/>
      <c r="D626" s="418"/>
    </row>
    <row r="627" spans="1:4" s="2" customFormat="1">
      <c r="A627" s="16"/>
      <c r="B627" s="283" t="s">
        <v>1028</v>
      </c>
      <c r="C627" s="108" t="s">
        <v>1029</v>
      </c>
      <c r="D627" s="418"/>
    </row>
    <row r="628" spans="1:4" s="3" customFormat="1">
      <c r="A628" s="123" t="s">
        <v>1507</v>
      </c>
      <c r="B628" s="123" t="s">
        <v>1508</v>
      </c>
      <c r="C628" s="108"/>
      <c r="D628" s="418"/>
    </row>
    <row r="629" spans="1:4" s="79" customFormat="1" ht="14.45">
      <c r="A629" s="16"/>
      <c r="B629" s="283" t="s">
        <v>1076</v>
      </c>
      <c r="C629" s="108" t="s">
        <v>1077</v>
      </c>
      <c r="D629" s="418"/>
    </row>
    <row r="630" spans="1:4" s="79" customFormat="1" ht="14.45">
      <c r="A630" s="123" t="s">
        <v>1509</v>
      </c>
      <c r="B630" s="123" t="s">
        <v>1510</v>
      </c>
      <c r="C630" s="108"/>
      <c r="D630" s="418"/>
    </row>
    <row r="631" spans="1:4" s="79" customFormat="1" ht="52.9">
      <c r="A631" s="16"/>
      <c r="B631" s="285" t="s">
        <v>1511</v>
      </c>
      <c r="C631" s="108"/>
      <c r="D631" s="418"/>
    </row>
    <row r="632" spans="1:4" s="79" customFormat="1" ht="14.45">
      <c r="A632" s="16"/>
      <c r="B632" s="283" t="s">
        <v>1076</v>
      </c>
      <c r="C632" s="108" t="s">
        <v>1077</v>
      </c>
      <c r="D632" s="418"/>
    </row>
    <row r="633" spans="1:4" s="79" customFormat="1" ht="14.45">
      <c r="A633" s="123" t="s">
        <v>1512</v>
      </c>
      <c r="B633" s="123" t="s">
        <v>1513</v>
      </c>
      <c r="C633" s="108"/>
      <c r="D633" s="418"/>
    </row>
    <row r="634" spans="1:4" s="79" customFormat="1" ht="37.5" customHeight="1">
      <c r="A634" s="16"/>
      <c r="B634" s="285" t="s">
        <v>1514</v>
      </c>
      <c r="C634" s="108"/>
      <c r="D634" s="418"/>
    </row>
    <row r="635" spans="1:4" s="79" customFormat="1" ht="14.45">
      <c r="A635" s="16"/>
      <c r="B635" s="283" t="s">
        <v>1076</v>
      </c>
      <c r="C635" s="108" t="s">
        <v>1077</v>
      </c>
      <c r="D635" s="418"/>
    </row>
    <row r="636" spans="1:4" s="79" customFormat="1" ht="14.45">
      <c r="A636" s="123" t="s">
        <v>1515</v>
      </c>
      <c r="B636" s="123" t="s">
        <v>1516</v>
      </c>
      <c r="C636" s="108"/>
      <c r="D636" s="418"/>
    </row>
    <row r="637" spans="1:4" s="79" customFormat="1" ht="14.45">
      <c r="A637" s="16"/>
      <c r="B637" s="283" t="s">
        <v>1028</v>
      </c>
      <c r="C637" s="108" t="s">
        <v>1029</v>
      </c>
      <c r="D637" s="418"/>
    </row>
    <row r="638" spans="1:4" s="79" customFormat="1" ht="14.45">
      <c r="A638" s="123" t="s">
        <v>1517</v>
      </c>
      <c r="B638" s="123" t="s">
        <v>1518</v>
      </c>
      <c r="C638" s="108"/>
      <c r="D638" s="418"/>
    </row>
    <row r="639" spans="1:4" s="3" customFormat="1">
      <c r="A639" s="16"/>
      <c r="B639" s="283" t="s">
        <v>1028</v>
      </c>
      <c r="C639" s="108" t="s">
        <v>1029</v>
      </c>
      <c r="D639" s="418"/>
    </row>
    <row r="640" spans="1:4" s="2" customFormat="1">
      <c r="A640" s="123" t="s">
        <v>1519</v>
      </c>
      <c r="B640" s="123" t="s">
        <v>1520</v>
      </c>
      <c r="C640" s="108"/>
      <c r="D640" s="418"/>
    </row>
    <row r="641" spans="1:4" s="3" customFormat="1">
      <c r="A641" s="16"/>
      <c r="B641" s="283" t="s">
        <v>1028</v>
      </c>
      <c r="C641" s="108" t="s">
        <v>1029</v>
      </c>
      <c r="D641" s="418"/>
    </row>
    <row r="642" spans="1:4" s="2" customFormat="1">
      <c r="A642" s="123" t="s">
        <v>1521</v>
      </c>
      <c r="B642" s="123" t="s">
        <v>1522</v>
      </c>
      <c r="C642" s="108"/>
      <c r="D642" s="418"/>
    </row>
    <row r="643" spans="1:4" s="3" customFormat="1">
      <c r="A643" s="16"/>
      <c r="B643" s="283" t="s">
        <v>1028</v>
      </c>
      <c r="C643" s="108" t="s">
        <v>1029</v>
      </c>
      <c r="D643" s="418"/>
    </row>
    <row r="644" spans="1:4" s="2" customFormat="1">
      <c r="A644" s="123" t="s">
        <v>1523</v>
      </c>
      <c r="B644" s="123" t="s">
        <v>1524</v>
      </c>
      <c r="C644" s="108"/>
      <c r="D644" s="418"/>
    </row>
    <row r="645" spans="1:4" s="3" customFormat="1">
      <c r="A645" s="16"/>
      <c r="B645" s="283" t="s">
        <v>1028</v>
      </c>
      <c r="C645" s="108" t="s">
        <v>1029</v>
      </c>
      <c r="D645" s="418"/>
    </row>
    <row r="646" spans="1:4" s="3" customFormat="1">
      <c r="A646" s="123" t="s">
        <v>1525</v>
      </c>
      <c r="B646" s="123" t="s">
        <v>1526</v>
      </c>
      <c r="C646" s="108"/>
      <c r="D646" s="418"/>
    </row>
    <row r="647" spans="1:4" s="3" customFormat="1">
      <c r="A647" s="16"/>
      <c r="B647" s="283" t="s">
        <v>1076</v>
      </c>
      <c r="C647" s="108" t="s">
        <v>1077</v>
      </c>
      <c r="D647" s="418"/>
    </row>
    <row r="648" spans="1:4" s="3" customFormat="1">
      <c r="A648" s="123" t="s">
        <v>1527</v>
      </c>
      <c r="B648" s="123" t="s">
        <v>1528</v>
      </c>
      <c r="C648" s="108"/>
      <c r="D648" s="418"/>
    </row>
    <row r="649" spans="1:4" s="3" customFormat="1">
      <c r="A649" s="16"/>
      <c r="B649" s="283" t="s">
        <v>1028</v>
      </c>
      <c r="C649" s="108" t="s">
        <v>1029</v>
      </c>
      <c r="D649" s="418"/>
    </row>
    <row r="650" spans="1:4" s="2" customFormat="1">
      <c r="A650" s="16" t="s">
        <v>45</v>
      </c>
      <c r="B650" s="17" t="s">
        <v>1529</v>
      </c>
      <c r="C650" s="108"/>
      <c r="D650" s="418"/>
    </row>
    <row r="651" spans="1:4" s="2" customFormat="1">
      <c r="A651" s="16"/>
      <c r="B651" s="283" t="s">
        <v>1028</v>
      </c>
      <c r="C651" s="108" t="s">
        <v>1029</v>
      </c>
      <c r="D651" s="418"/>
    </row>
    <row r="652" spans="1:4" s="2" customFormat="1">
      <c r="A652" s="16" t="s">
        <v>46</v>
      </c>
      <c r="B652" s="17" t="s">
        <v>1530</v>
      </c>
      <c r="C652" s="108"/>
      <c r="D652" s="418"/>
    </row>
    <row r="653" spans="1:4" s="3" customFormat="1" ht="26.45">
      <c r="A653" s="16"/>
      <c r="B653" s="95" t="s">
        <v>1531</v>
      </c>
      <c r="C653" s="108"/>
      <c r="D653" s="418"/>
    </row>
    <row r="654" spans="1:4" s="2" customFormat="1" ht="26.45">
      <c r="A654" s="16"/>
      <c r="B654" s="95" t="s">
        <v>1532</v>
      </c>
      <c r="C654" s="108"/>
      <c r="D654" s="418"/>
    </row>
    <row r="655" spans="1:4" s="3" customFormat="1">
      <c r="A655" s="123" t="s">
        <v>1533</v>
      </c>
      <c r="B655" s="123" t="s">
        <v>1534</v>
      </c>
      <c r="C655" s="108"/>
      <c r="D655" s="418"/>
    </row>
    <row r="656" spans="1:4" s="2" customFormat="1">
      <c r="A656" s="16"/>
      <c r="B656" s="283" t="s">
        <v>1028</v>
      </c>
      <c r="C656" s="108" t="s">
        <v>1029</v>
      </c>
      <c r="D656" s="418"/>
    </row>
    <row r="657" spans="1:4" s="3" customFormat="1">
      <c r="A657" s="123" t="s">
        <v>1535</v>
      </c>
      <c r="B657" s="123" t="s">
        <v>1536</v>
      </c>
      <c r="C657" s="108"/>
      <c r="D657" s="418"/>
    </row>
    <row r="658" spans="1:4" s="2" customFormat="1">
      <c r="A658" s="16"/>
      <c r="B658" s="283" t="s">
        <v>1028</v>
      </c>
      <c r="C658" s="108" t="s">
        <v>1029</v>
      </c>
      <c r="D658" s="418"/>
    </row>
    <row r="659" spans="1:4" s="3" customFormat="1">
      <c r="A659" s="123" t="s">
        <v>1537</v>
      </c>
      <c r="B659" s="123" t="s">
        <v>1538</v>
      </c>
      <c r="C659" s="108"/>
      <c r="D659" s="418"/>
    </row>
    <row r="660" spans="1:4" s="2" customFormat="1">
      <c r="A660" s="16"/>
      <c r="B660" s="283" t="s">
        <v>1028</v>
      </c>
      <c r="C660" s="108" t="s">
        <v>1029</v>
      </c>
      <c r="D660" s="418"/>
    </row>
    <row r="661" spans="1:4" s="2" customFormat="1">
      <c r="A661" s="30" t="s">
        <v>47</v>
      </c>
      <c r="B661" s="127" t="s">
        <v>1539</v>
      </c>
      <c r="C661" s="128"/>
      <c r="D661" s="418"/>
    </row>
    <row r="662" spans="1:4" s="2" customFormat="1">
      <c r="A662" s="55"/>
      <c r="B662" s="267" t="s">
        <v>1540</v>
      </c>
      <c r="C662" s="129"/>
      <c r="D662" s="418"/>
    </row>
    <row r="663" spans="1:4" s="2" customFormat="1">
      <c r="A663" s="55"/>
      <c r="B663" s="267" t="s">
        <v>1541</v>
      </c>
      <c r="C663" s="129"/>
      <c r="D663" s="418"/>
    </row>
    <row r="664" spans="1:4" s="2" customFormat="1">
      <c r="A664" s="111" t="s">
        <v>959</v>
      </c>
      <c r="B664" s="267" t="s">
        <v>1542</v>
      </c>
      <c r="C664" s="129" t="s">
        <v>959</v>
      </c>
      <c r="D664" s="418"/>
    </row>
    <row r="665" spans="1:4" s="2" customFormat="1">
      <c r="A665" s="111"/>
      <c r="B665" s="267" t="s">
        <v>1543</v>
      </c>
      <c r="C665" s="129"/>
      <c r="D665" s="418"/>
    </row>
    <row r="666" spans="1:4" s="2" customFormat="1" ht="26.45">
      <c r="A666" s="111"/>
      <c r="B666" s="267" t="s">
        <v>1544</v>
      </c>
      <c r="C666" s="129"/>
      <c r="D666" s="418"/>
    </row>
    <row r="667" spans="1:4" s="2" customFormat="1" ht="26.45">
      <c r="A667" s="111"/>
      <c r="B667" s="267" t="s">
        <v>1545</v>
      </c>
      <c r="C667" s="129"/>
      <c r="D667" s="418"/>
    </row>
    <row r="668" spans="1:4" s="3" customFormat="1" ht="26.45">
      <c r="A668" s="111"/>
      <c r="B668" s="267" t="s">
        <v>1546</v>
      </c>
      <c r="C668" s="129"/>
      <c r="D668" s="418"/>
    </row>
    <row r="669" spans="1:4" s="2" customFormat="1">
      <c r="A669" s="111" t="s">
        <v>959</v>
      </c>
      <c r="B669" s="267" t="s">
        <v>1547</v>
      </c>
      <c r="C669" s="129" t="s">
        <v>959</v>
      </c>
      <c r="D669" s="418"/>
    </row>
    <row r="670" spans="1:4" s="3" customFormat="1">
      <c r="A670" s="130"/>
      <c r="B670" s="283" t="s">
        <v>1028</v>
      </c>
      <c r="C670" s="131" t="s">
        <v>1029</v>
      </c>
      <c r="D670" s="418"/>
    </row>
    <row r="671" spans="1:4" s="2" customFormat="1">
      <c r="A671" s="30" t="s">
        <v>48</v>
      </c>
      <c r="B671" s="127" t="s">
        <v>1548</v>
      </c>
      <c r="C671" s="128"/>
      <c r="D671" s="418"/>
    </row>
    <row r="672" spans="1:4" s="3" customFormat="1">
      <c r="A672" s="55"/>
      <c r="B672" s="267" t="s">
        <v>1549</v>
      </c>
      <c r="C672" s="129"/>
      <c r="D672" s="418"/>
    </row>
    <row r="673" spans="1:4" s="2" customFormat="1">
      <c r="A673" s="55"/>
      <c r="B673" s="267" t="s">
        <v>1541</v>
      </c>
      <c r="C673" s="129"/>
      <c r="D673" s="418"/>
    </row>
    <row r="674" spans="1:4" s="3" customFormat="1">
      <c r="A674" s="111" t="s">
        <v>959</v>
      </c>
      <c r="B674" s="267" t="s">
        <v>1542</v>
      </c>
      <c r="C674" s="129" t="s">
        <v>959</v>
      </c>
      <c r="D674" s="418"/>
    </row>
    <row r="675" spans="1:4" s="2" customFormat="1">
      <c r="A675" s="111"/>
      <c r="B675" s="267" t="s">
        <v>1543</v>
      </c>
      <c r="C675" s="129"/>
      <c r="D675" s="418"/>
    </row>
    <row r="676" spans="1:4" s="3" customFormat="1" ht="26.45">
      <c r="A676" s="111"/>
      <c r="B676" s="267" t="s">
        <v>1544</v>
      </c>
      <c r="C676" s="129"/>
      <c r="D676" s="418"/>
    </row>
    <row r="677" spans="1:4" s="2" customFormat="1" ht="26.45">
      <c r="A677" s="111"/>
      <c r="B677" s="267" t="s">
        <v>1550</v>
      </c>
      <c r="C677" s="129"/>
      <c r="D677" s="418"/>
    </row>
    <row r="678" spans="1:4" s="3" customFormat="1">
      <c r="A678" s="111" t="s">
        <v>959</v>
      </c>
      <c r="B678" s="267" t="s">
        <v>1547</v>
      </c>
      <c r="C678" s="129" t="s">
        <v>959</v>
      </c>
      <c r="D678" s="418"/>
    </row>
    <row r="679" spans="1:4" s="2" customFormat="1">
      <c r="A679" s="130"/>
      <c r="B679" s="285" t="s">
        <v>1028</v>
      </c>
      <c r="C679" s="131" t="s">
        <v>1029</v>
      </c>
      <c r="D679" s="418"/>
    </row>
    <row r="680" spans="1:4" s="3" customFormat="1">
      <c r="A680" s="30" t="s">
        <v>49</v>
      </c>
      <c r="B680" s="127" t="s">
        <v>1551</v>
      </c>
      <c r="C680" s="128"/>
      <c r="D680" s="418"/>
    </row>
    <row r="681" spans="1:4" s="2" customFormat="1">
      <c r="A681" s="55"/>
      <c r="B681" s="267" t="s">
        <v>1552</v>
      </c>
      <c r="C681" s="129"/>
      <c r="D681" s="418"/>
    </row>
    <row r="682" spans="1:4" s="3" customFormat="1">
      <c r="A682" s="55"/>
      <c r="B682" s="267" t="s">
        <v>1541</v>
      </c>
      <c r="C682" s="129"/>
      <c r="D682" s="418"/>
    </row>
    <row r="683" spans="1:4" s="2" customFormat="1">
      <c r="A683" s="111" t="s">
        <v>959</v>
      </c>
      <c r="B683" s="267" t="s">
        <v>1542</v>
      </c>
      <c r="C683" s="129" t="s">
        <v>959</v>
      </c>
      <c r="D683" s="418"/>
    </row>
    <row r="684" spans="1:4" s="3" customFormat="1">
      <c r="A684" s="111"/>
      <c r="B684" s="267" t="s">
        <v>1543</v>
      </c>
      <c r="C684" s="129"/>
      <c r="D684" s="418"/>
    </row>
    <row r="685" spans="1:4" s="2" customFormat="1" ht="26.45">
      <c r="A685" s="111"/>
      <c r="B685" s="267" t="s">
        <v>1544</v>
      </c>
      <c r="C685" s="129"/>
      <c r="D685" s="418"/>
    </row>
    <row r="686" spans="1:4" s="3" customFormat="1" ht="26.45">
      <c r="A686" s="111"/>
      <c r="B686" s="267" t="s">
        <v>1550</v>
      </c>
      <c r="C686" s="129"/>
      <c r="D686" s="418"/>
    </row>
    <row r="687" spans="1:4" s="2" customFormat="1">
      <c r="A687" s="111" t="s">
        <v>959</v>
      </c>
      <c r="B687" s="267" t="s">
        <v>1547</v>
      </c>
      <c r="C687" s="129" t="s">
        <v>959</v>
      </c>
      <c r="D687" s="418"/>
    </row>
    <row r="688" spans="1:4" s="3" customFormat="1">
      <c r="A688" s="130"/>
      <c r="B688" s="285" t="s">
        <v>1028</v>
      </c>
      <c r="C688" s="131" t="s">
        <v>1029</v>
      </c>
      <c r="D688" s="418"/>
    </row>
    <row r="689" spans="1:4" s="2" customFormat="1">
      <c r="A689" s="30" t="s">
        <v>50</v>
      </c>
      <c r="B689" s="31" t="s">
        <v>1553</v>
      </c>
      <c r="C689" s="18"/>
      <c r="D689" s="418"/>
    </row>
    <row r="690" spans="1:4" s="3" customFormat="1">
      <c r="A690" s="30"/>
      <c r="B690" s="94" t="s">
        <v>1554</v>
      </c>
      <c r="C690" s="18"/>
      <c r="D690" s="418"/>
    </row>
    <row r="691" spans="1:4" s="2" customFormat="1" ht="39.6">
      <c r="A691" s="30"/>
      <c r="B691" s="282" t="s">
        <v>1555</v>
      </c>
      <c r="C691" s="18"/>
      <c r="D691" s="418"/>
    </row>
    <row r="692" spans="1:4" s="3" customFormat="1">
      <c r="A692" s="30"/>
      <c r="B692" s="94" t="s">
        <v>1556</v>
      </c>
      <c r="C692" s="18"/>
      <c r="D692" s="418"/>
    </row>
    <row r="693" spans="1:4" s="2" customFormat="1">
      <c r="A693" s="30"/>
      <c r="B693" s="94" t="s">
        <v>1557</v>
      </c>
      <c r="C693" s="18"/>
      <c r="D693" s="418"/>
    </row>
    <row r="694" spans="1:4" s="2" customFormat="1">
      <c r="A694" s="375" t="s">
        <v>1558</v>
      </c>
      <c r="B694" s="94" t="s">
        <v>1559</v>
      </c>
      <c r="C694" s="18"/>
      <c r="D694" s="418"/>
    </row>
    <row r="695" spans="1:4" s="2" customFormat="1" ht="52.9">
      <c r="A695" s="30"/>
      <c r="B695" s="267" t="s">
        <v>1560</v>
      </c>
      <c r="C695" s="18"/>
      <c r="D695" s="418"/>
    </row>
    <row r="696" spans="1:4" s="2" customFormat="1">
      <c r="A696" s="30"/>
      <c r="B696" s="283" t="s">
        <v>1028</v>
      </c>
      <c r="C696" s="18" t="s">
        <v>1029</v>
      </c>
      <c r="D696" s="418"/>
    </row>
    <row r="697" spans="1:4" s="2" customFormat="1">
      <c r="A697" s="375" t="s">
        <v>1561</v>
      </c>
      <c r="B697" s="267" t="s">
        <v>1562</v>
      </c>
      <c r="C697" s="18"/>
      <c r="D697" s="418"/>
    </row>
    <row r="698" spans="1:4" s="2" customFormat="1" ht="52.9">
      <c r="A698" s="30"/>
      <c r="B698" s="267" t="s">
        <v>1563</v>
      </c>
      <c r="C698" s="18"/>
      <c r="D698" s="418"/>
    </row>
    <row r="699" spans="1:4" s="2" customFormat="1">
      <c r="A699" s="30"/>
      <c r="B699" s="283" t="s">
        <v>1028</v>
      </c>
      <c r="C699" s="18" t="s">
        <v>1029</v>
      </c>
      <c r="D699" s="418"/>
    </row>
    <row r="700" spans="1:4" s="2" customFormat="1">
      <c r="A700" s="375" t="s">
        <v>1564</v>
      </c>
      <c r="B700" s="94" t="s">
        <v>1565</v>
      </c>
      <c r="C700" s="18"/>
      <c r="D700" s="418"/>
    </row>
    <row r="701" spans="1:4" s="2" customFormat="1" ht="52.9">
      <c r="A701" s="30"/>
      <c r="B701" s="267" t="s">
        <v>1566</v>
      </c>
      <c r="C701" s="18"/>
      <c r="D701" s="418"/>
    </row>
    <row r="702" spans="1:4" s="2" customFormat="1">
      <c r="A702" s="30"/>
      <c r="B702" s="283" t="s">
        <v>1028</v>
      </c>
      <c r="C702" s="18" t="s">
        <v>1029</v>
      </c>
      <c r="D702" s="418"/>
    </row>
    <row r="703" spans="1:4" s="2" customFormat="1">
      <c r="A703" s="375" t="s">
        <v>1567</v>
      </c>
      <c r="B703" s="94" t="s">
        <v>1568</v>
      </c>
      <c r="C703" s="18"/>
      <c r="D703" s="418"/>
    </row>
    <row r="704" spans="1:4" s="2" customFormat="1" ht="52.9">
      <c r="A704" s="30"/>
      <c r="B704" s="267" t="s">
        <v>1569</v>
      </c>
      <c r="C704" s="18"/>
      <c r="D704" s="418"/>
    </row>
    <row r="705" spans="1:4" s="2" customFormat="1">
      <c r="A705" s="30"/>
      <c r="B705" s="285" t="s">
        <v>1028</v>
      </c>
      <c r="C705" s="133" t="s">
        <v>1029</v>
      </c>
      <c r="D705" s="418"/>
    </row>
    <row r="706" spans="1:4" s="2" customFormat="1">
      <c r="A706" s="375" t="s">
        <v>1570</v>
      </c>
      <c r="B706" s="94" t="s">
        <v>1571</v>
      </c>
      <c r="C706" s="18"/>
      <c r="D706" s="418"/>
    </row>
    <row r="707" spans="1:4" s="2" customFormat="1" ht="52.9">
      <c r="A707" s="30"/>
      <c r="B707" s="267" t="s">
        <v>1572</v>
      </c>
      <c r="C707" s="18"/>
      <c r="D707" s="418"/>
    </row>
    <row r="708" spans="1:4" s="2" customFormat="1">
      <c r="A708" s="30"/>
      <c r="B708" s="283" t="s">
        <v>1028</v>
      </c>
      <c r="C708" s="18" t="s">
        <v>1029</v>
      </c>
      <c r="D708" s="418"/>
    </row>
    <row r="709" spans="1:4" s="4" customFormat="1">
      <c r="A709" s="132" t="s">
        <v>1573</v>
      </c>
      <c r="B709" s="132" t="s">
        <v>1574</v>
      </c>
      <c r="C709" s="133"/>
      <c r="D709" s="418"/>
    </row>
    <row r="710" spans="1:4" s="4" customFormat="1">
      <c r="A710" s="30"/>
      <c r="B710" s="285" t="s">
        <v>1028</v>
      </c>
      <c r="C710" s="133" t="s">
        <v>1029</v>
      </c>
      <c r="D710" s="418"/>
    </row>
    <row r="711" spans="1:4" s="4" customFormat="1">
      <c r="A711" s="132" t="s">
        <v>1575</v>
      </c>
      <c r="B711" s="132" t="s">
        <v>1576</v>
      </c>
      <c r="C711" s="133"/>
      <c r="D711" s="418"/>
    </row>
    <row r="712" spans="1:4" s="4" customFormat="1">
      <c r="A712" s="30"/>
      <c r="B712" s="285" t="s">
        <v>1028</v>
      </c>
      <c r="C712" s="133" t="s">
        <v>1029</v>
      </c>
      <c r="D712" s="418"/>
    </row>
    <row r="713" spans="1:4" s="4" customFormat="1" ht="12.75" customHeight="1">
      <c r="A713" s="132" t="s">
        <v>1577</v>
      </c>
      <c r="B713" s="132" t="s">
        <v>1578</v>
      </c>
      <c r="C713" s="133"/>
      <c r="D713" s="418"/>
    </row>
    <row r="714" spans="1:4" s="4" customFormat="1" ht="12.75" customHeight="1">
      <c r="A714" s="30"/>
      <c r="B714" s="285" t="s">
        <v>1028</v>
      </c>
      <c r="C714" s="133" t="s">
        <v>1029</v>
      </c>
      <c r="D714" s="418"/>
    </row>
    <row r="715" spans="1:4" s="4" customFormat="1">
      <c r="A715" s="132" t="s">
        <v>1579</v>
      </c>
      <c r="B715" s="132" t="s">
        <v>1580</v>
      </c>
      <c r="C715" s="133"/>
      <c r="D715" s="418"/>
    </row>
    <row r="716" spans="1:4" s="4" customFormat="1">
      <c r="A716" s="30"/>
      <c r="B716" s="285" t="s">
        <v>1028</v>
      </c>
      <c r="C716" s="133" t="s">
        <v>1029</v>
      </c>
      <c r="D716" s="418"/>
    </row>
    <row r="717" spans="1:4" s="4" customFormat="1">
      <c r="A717" s="132" t="s">
        <v>1581</v>
      </c>
      <c r="B717" s="132" t="s">
        <v>1582</v>
      </c>
      <c r="C717" s="133"/>
      <c r="D717" s="418"/>
    </row>
    <row r="718" spans="1:4" s="4" customFormat="1">
      <c r="A718" s="30"/>
      <c r="B718" s="285" t="s">
        <v>1028</v>
      </c>
      <c r="C718" s="133" t="s">
        <v>1029</v>
      </c>
      <c r="D718" s="418"/>
    </row>
    <row r="719" spans="1:4" s="4" customFormat="1" ht="17.25" customHeight="1">
      <c r="A719" s="375" t="s">
        <v>1583</v>
      </c>
      <c r="B719" s="132" t="s">
        <v>1584</v>
      </c>
      <c r="C719" s="133"/>
      <c r="D719" s="418"/>
    </row>
    <row r="720" spans="1:4" s="4" customFormat="1" ht="39.6">
      <c r="A720" s="30"/>
      <c r="B720" s="285" t="s">
        <v>1585</v>
      </c>
      <c r="C720" s="133"/>
      <c r="D720" s="418"/>
    </row>
    <row r="721" spans="1:4" s="4" customFormat="1">
      <c r="A721" s="30"/>
      <c r="B721" s="285" t="s">
        <v>1028</v>
      </c>
      <c r="C721" s="133" t="s">
        <v>1029</v>
      </c>
      <c r="D721" s="418"/>
    </row>
    <row r="722" spans="1:4" s="4" customFormat="1">
      <c r="A722" s="132" t="s">
        <v>1586</v>
      </c>
      <c r="B722" s="132" t="s">
        <v>1587</v>
      </c>
      <c r="C722" s="133"/>
      <c r="D722" s="418"/>
    </row>
    <row r="723" spans="1:4" s="4" customFormat="1">
      <c r="A723" s="30"/>
      <c r="B723" s="285" t="s">
        <v>1076</v>
      </c>
      <c r="C723" s="133" t="s">
        <v>1077</v>
      </c>
      <c r="D723" s="418"/>
    </row>
    <row r="724" spans="1:4" s="4" customFormat="1">
      <c r="A724" s="132" t="s">
        <v>1588</v>
      </c>
      <c r="B724" s="132" t="s">
        <v>1589</v>
      </c>
      <c r="C724" s="133"/>
      <c r="D724" s="418"/>
    </row>
    <row r="725" spans="1:4" s="4" customFormat="1">
      <c r="A725" s="30"/>
      <c r="B725" s="285" t="s">
        <v>1028</v>
      </c>
      <c r="C725" s="133" t="s">
        <v>1029</v>
      </c>
      <c r="D725" s="418"/>
    </row>
    <row r="726" spans="1:4" s="4" customFormat="1">
      <c r="A726" s="123" t="s">
        <v>1590</v>
      </c>
      <c r="B726" s="123" t="s">
        <v>1591</v>
      </c>
      <c r="C726" s="108"/>
      <c r="D726" s="418"/>
    </row>
    <row r="727" spans="1:4" s="4" customFormat="1">
      <c r="A727" s="16"/>
      <c r="B727" s="283" t="s">
        <v>1028</v>
      </c>
      <c r="C727" s="108" t="s">
        <v>1029</v>
      </c>
      <c r="D727" s="418"/>
    </row>
    <row r="728" spans="1:4" s="4" customFormat="1">
      <c r="A728" s="123" t="s">
        <v>1592</v>
      </c>
      <c r="B728" s="123" t="s">
        <v>1593</v>
      </c>
      <c r="C728" s="108"/>
      <c r="D728" s="418"/>
    </row>
    <row r="729" spans="1:4" s="4" customFormat="1" ht="173.65" customHeight="1">
      <c r="A729" s="16"/>
      <c r="B729" s="295" t="s">
        <v>1594</v>
      </c>
      <c r="C729" s="108"/>
      <c r="D729" s="418"/>
    </row>
    <row r="730" spans="1:4" s="4" customFormat="1">
      <c r="A730" s="16"/>
      <c r="B730" s="283" t="s">
        <v>1076</v>
      </c>
      <c r="C730" s="108" t="s">
        <v>1077</v>
      </c>
      <c r="D730" s="418"/>
    </row>
    <row r="731" spans="1:4" s="4" customFormat="1">
      <c r="A731" s="123" t="s">
        <v>1595</v>
      </c>
      <c r="B731" s="123" t="s">
        <v>1596</v>
      </c>
      <c r="C731" s="108"/>
      <c r="D731" s="418"/>
    </row>
    <row r="732" spans="1:4" s="4" customFormat="1">
      <c r="A732" s="16"/>
      <c r="B732" s="283" t="s">
        <v>1028</v>
      </c>
      <c r="C732" s="108" t="s">
        <v>1029</v>
      </c>
      <c r="D732" s="418"/>
    </row>
    <row r="733" spans="1:4" s="4" customFormat="1">
      <c r="A733" s="123" t="s">
        <v>1597</v>
      </c>
      <c r="B733" s="123" t="s">
        <v>1598</v>
      </c>
      <c r="C733" s="108"/>
      <c r="D733" s="418"/>
    </row>
    <row r="734" spans="1:4" s="4" customFormat="1">
      <c r="A734" s="16"/>
      <c r="B734" s="283" t="s">
        <v>1028</v>
      </c>
      <c r="C734" s="108" t="s">
        <v>1029</v>
      </c>
      <c r="D734" s="418"/>
    </row>
    <row r="735" spans="1:4" s="4" customFormat="1">
      <c r="A735" s="123" t="s">
        <v>1599</v>
      </c>
      <c r="B735" s="123" t="s">
        <v>1600</v>
      </c>
      <c r="C735" s="108"/>
      <c r="D735" s="418"/>
    </row>
    <row r="736" spans="1:4" s="4" customFormat="1">
      <c r="A736" s="16"/>
      <c r="B736" s="283" t="s">
        <v>1076</v>
      </c>
      <c r="C736" s="108" t="s">
        <v>1077</v>
      </c>
      <c r="D736" s="418"/>
    </row>
    <row r="737" spans="1:4" s="4" customFormat="1" ht="12.75" customHeight="1">
      <c r="A737" s="123" t="s">
        <v>1601</v>
      </c>
      <c r="B737" s="123" t="s">
        <v>1602</v>
      </c>
      <c r="C737" s="108"/>
      <c r="D737" s="418"/>
    </row>
    <row r="738" spans="1:4" s="4" customFormat="1">
      <c r="A738" s="111" t="s">
        <v>959</v>
      </c>
      <c r="B738" s="296" t="s">
        <v>1603</v>
      </c>
      <c r="C738" s="18" t="s">
        <v>959</v>
      </c>
      <c r="D738" s="418"/>
    </row>
    <row r="739" spans="1:4" s="4" customFormat="1">
      <c r="A739" s="111" t="s">
        <v>959</v>
      </c>
      <c r="B739" s="297" t="s">
        <v>1604</v>
      </c>
      <c r="C739" s="18" t="s">
        <v>959</v>
      </c>
      <c r="D739" s="418"/>
    </row>
    <row r="740" spans="1:4" s="4" customFormat="1">
      <c r="A740" s="30"/>
      <c r="B740" s="134" t="s">
        <v>1605</v>
      </c>
      <c r="C740" s="18"/>
      <c r="D740" s="418"/>
    </row>
    <row r="741" spans="1:4" s="4" customFormat="1">
      <c r="A741" s="30"/>
      <c r="B741" s="134" t="s">
        <v>1606</v>
      </c>
      <c r="C741" s="18"/>
      <c r="D741" s="418"/>
    </row>
    <row r="742" spans="1:4" s="4" customFormat="1" ht="26.25" customHeight="1">
      <c r="A742" s="298"/>
      <c r="B742" s="297" t="s">
        <v>1607</v>
      </c>
      <c r="C742" s="41"/>
      <c r="D742" s="418"/>
    </row>
    <row r="743" spans="1:4" s="4" customFormat="1">
      <c r="A743" s="298"/>
      <c r="B743" s="297" t="s">
        <v>1608</v>
      </c>
      <c r="C743" s="41"/>
      <c r="D743" s="418"/>
    </row>
    <row r="744" spans="1:4" s="4" customFormat="1">
      <c r="A744" s="298"/>
      <c r="B744" s="297" t="s">
        <v>1609</v>
      </c>
      <c r="C744" s="41"/>
      <c r="D744" s="418"/>
    </row>
    <row r="745" spans="1:4" s="4" customFormat="1">
      <c r="A745" s="298"/>
      <c r="B745" s="297" t="s">
        <v>1610</v>
      </c>
      <c r="C745" s="41"/>
      <c r="D745" s="418"/>
    </row>
    <row r="746" spans="1:4" s="4" customFormat="1">
      <c r="A746" s="299"/>
      <c r="B746" s="281" t="s">
        <v>1611</v>
      </c>
      <c r="C746" s="135"/>
      <c r="D746" s="418"/>
    </row>
    <row r="747" spans="1:4" s="4" customFormat="1">
      <c r="A747" s="16"/>
      <c r="B747" s="283" t="s">
        <v>1028</v>
      </c>
      <c r="C747" s="108" t="s">
        <v>1029</v>
      </c>
      <c r="D747" s="418"/>
    </row>
    <row r="748" spans="1:4" s="4" customFormat="1">
      <c r="A748" s="123" t="s">
        <v>1612</v>
      </c>
      <c r="B748" s="123" t="s">
        <v>1613</v>
      </c>
      <c r="C748" s="108"/>
      <c r="D748" s="418"/>
    </row>
    <row r="749" spans="1:4" s="4" customFormat="1">
      <c r="A749" s="16"/>
      <c r="B749" s="283" t="s">
        <v>1076</v>
      </c>
      <c r="C749" s="108" t="s">
        <v>1077</v>
      </c>
      <c r="D749" s="418"/>
    </row>
    <row r="750" spans="1:4" s="4" customFormat="1">
      <c r="A750" s="123" t="s">
        <v>1614</v>
      </c>
      <c r="B750" s="123" t="s">
        <v>1615</v>
      </c>
      <c r="C750" s="108"/>
      <c r="D750" s="418"/>
    </row>
    <row r="751" spans="1:4" s="4" customFormat="1">
      <c r="A751" s="16"/>
      <c r="B751" s="283" t="s">
        <v>1028</v>
      </c>
      <c r="C751" s="108" t="s">
        <v>1029</v>
      </c>
      <c r="D751" s="418"/>
    </row>
    <row r="752" spans="1:4" s="4" customFormat="1">
      <c r="A752" s="123" t="s">
        <v>1616</v>
      </c>
      <c r="B752" s="123" t="s">
        <v>1617</v>
      </c>
      <c r="C752" s="108"/>
      <c r="D752" s="418"/>
    </row>
    <row r="753" spans="1:4" s="4" customFormat="1" ht="25.5" customHeight="1">
      <c r="A753" s="132" t="s">
        <v>1618</v>
      </c>
      <c r="B753" s="132" t="s">
        <v>1619</v>
      </c>
      <c r="C753" s="133"/>
      <c r="D753" s="418"/>
    </row>
    <row r="754" spans="1:4" s="4" customFormat="1">
      <c r="A754" s="30"/>
      <c r="B754" s="285" t="s">
        <v>1231</v>
      </c>
      <c r="C754" s="133" t="s">
        <v>1262</v>
      </c>
      <c r="D754" s="418"/>
    </row>
    <row r="755" spans="1:4" s="4" customFormat="1">
      <c r="A755" s="132" t="s">
        <v>1620</v>
      </c>
      <c r="B755" s="132" t="s">
        <v>1621</v>
      </c>
      <c r="C755" s="133"/>
      <c r="D755" s="418"/>
    </row>
    <row r="756" spans="1:4" s="4" customFormat="1">
      <c r="A756" s="30"/>
      <c r="B756" s="285" t="s">
        <v>1231</v>
      </c>
      <c r="C756" s="133" t="s">
        <v>1262</v>
      </c>
      <c r="D756" s="418"/>
    </row>
    <row r="757" spans="1:4" s="4" customFormat="1">
      <c r="A757" s="30" t="s">
        <v>51</v>
      </c>
      <c r="B757" s="31" t="s">
        <v>1622</v>
      </c>
      <c r="C757" s="18"/>
      <c r="D757" s="418"/>
    </row>
    <row r="758" spans="1:4" s="4" customFormat="1">
      <c r="A758" s="30"/>
      <c r="B758" s="94" t="s">
        <v>1623</v>
      </c>
      <c r="C758" s="18"/>
      <c r="D758" s="418"/>
    </row>
    <row r="759" spans="1:4" s="4" customFormat="1" ht="26.45">
      <c r="A759" s="30"/>
      <c r="B759" s="282" t="s">
        <v>1624</v>
      </c>
      <c r="C759" s="18"/>
      <c r="D759" s="418"/>
    </row>
    <row r="760" spans="1:4" s="4" customFormat="1">
      <c r="A760" s="30"/>
      <c r="B760" s="94" t="s">
        <v>1557</v>
      </c>
      <c r="C760" s="18"/>
      <c r="D760" s="418"/>
    </row>
    <row r="761" spans="1:4" s="4" customFormat="1">
      <c r="A761" s="132" t="s">
        <v>1625</v>
      </c>
      <c r="B761" s="132" t="s">
        <v>1626</v>
      </c>
      <c r="C761" s="133"/>
      <c r="D761" s="418"/>
    </row>
    <row r="762" spans="1:4" s="4" customFormat="1">
      <c r="A762" s="30"/>
      <c r="B762" s="285" t="s">
        <v>1028</v>
      </c>
      <c r="C762" s="133" t="s">
        <v>1029</v>
      </c>
      <c r="D762" s="418"/>
    </row>
    <row r="763" spans="1:4" s="4" customFormat="1">
      <c r="A763" s="132" t="s">
        <v>1627</v>
      </c>
      <c r="B763" s="132" t="s">
        <v>1628</v>
      </c>
      <c r="C763" s="133"/>
      <c r="D763" s="418"/>
    </row>
    <row r="764" spans="1:4" s="4" customFormat="1">
      <c r="A764" s="30"/>
      <c r="B764" s="285" t="s">
        <v>1028</v>
      </c>
      <c r="C764" s="133" t="s">
        <v>1029</v>
      </c>
      <c r="D764" s="418"/>
    </row>
    <row r="765" spans="1:4" s="4" customFormat="1">
      <c r="A765" s="132" t="s">
        <v>1629</v>
      </c>
      <c r="B765" s="132" t="s">
        <v>1630</v>
      </c>
      <c r="C765" s="133"/>
      <c r="D765" s="418"/>
    </row>
    <row r="766" spans="1:4" s="4" customFormat="1">
      <c r="A766" s="30"/>
      <c r="B766" s="285" t="s">
        <v>1028</v>
      </c>
      <c r="C766" s="133" t="s">
        <v>1029</v>
      </c>
      <c r="D766" s="418"/>
    </row>
    <row r="767" spans="1:4" s="4" customFormat="1">
      <c r="A767" s="132" t="s">
        <v>1631</v>
      </c>
      <c r="B767" s="132" t="s">
        <v>1632</v>
      </c>
      <c r="C767" s="133"/>
      <c r="D767" s="418"/>
    </row>
    <row r="768" spans="1:4" s="4" customFormat="1">
      <c r="A768" s="30"/>
      <c r="B768" s="285" t="s">
        <v>1028</v>
      </c>
      <c r="C768" s="133" t="s">
        <v>1029</v>
      </c>
      <c r="D768" s="418"/>
    </row>
    <row r="769" spans="1:4" s="4" customFormat="1">
      <c r="A769" s="132" t="s">
        <v>1633</v>
      </c>
      <c r="B769" s="132" t="s">
        <v>1634</v>
      </c>
      <c r="C769" s="133"/>
      <c r="D769" s="418"/>
    </row>
    <row r="770" spans="1:4" s="4" customFormat="1">
      <c r="A770" s="30"/>
      <c r="B770" s="285" t="s">
        <v>1028</v>
      </c>
      <c r="C770" s="133" t="s">
        <v>1029</v>
      </c>
      <c r="D770" s="418"/>
    </row>
    <row r="771" spans="1:4" s="4" customFormat="1">
      <c r="A771" s="132" t="s">
        <v>1635</v>
      </c>
      <c r="B771" s="132" t="s">
        <v>1636</v>
      </c>
      <c r="C771" s="133"/>
      <c r="D771" s="418"/>
    </row>
    <row r="772" spans="1:4" s="4" customFormat="1">
      <c r="A772" s="30"/>
      <c r="B772" s="285" t="s">
        <v>1028</v>
      </c>
      <c r="C772" s="133" t="s">
        <v>1029</v>
      </c>
      <c r="D772" s="418"/>
    </row>
    <row r="773" spans="1:4" s="4" customFormat="1">
      <c r="A773" s="132" t="s">
        <v>1637</v>
      </c>
      <c r="B773" s="132" t="s">
        <v>1638</v>
      </c>
      <c r="C773" s="133"/>
      <c r="D773" s="418"/>
    </row>
    <row r="774" spans="1:4" s="4" customFormat="1">
      <c r="A774" s="30"/>
      <c r="B774" s="285" t="s">
        <v>1028</v>
      </c>
      <c r="C774" s="133" t="s">
        <v>1029</v>
      </c>
      <c r="D774" s="418"/>
    </row>
    <row r="775" spans="1:4" s="4" customFormat="1">
      <c r="A775" s="30" t="s">
        <v>1639</v>
      </c>
      <c r="B775" s="31" t="s">
        <v>1640</v>
      </c>
      <c r="C775" s="18"/>
      <c r="D775" s="418"/>
    </row>
    <row r="776" spans="1:4" s="4" customFormat="1" ht="26.45">
      <c r="A776" s="30"/>
      <c r="B776" s="94" t="s">
        <v>1641</v>
      </c>
      <c r="C776" s="18"/>
      <c r="D776" s="418"/>
    </row>
    <row r="777" spans="1:4" s="4" customFormat="1">
      <c r="A777" s="132" t="s">
        <v>1642</v>
      </c>
      <c r="B777" s="132" t="s">
        <v>1643</v>
      </c>
      <c r="C777" s="133"/>
      <c r="D777" s="418"/>
    </row>
    <row r="778" spans="1:4" s="4" customFormat="1">
      <c r="A778" s="30"/>
      <c r="B778" s="285" t="s">
        <v>1028</v>
      </c>
      <c r="C778" s="133" t="s">
        <v>1029</v>
      </c>
      <c r="D778" s="418"/>
    </row>
    <row r="779" spans="1:4" s="4" customFormat="1">
      <c r="A779" s="132" t="s">
        <v>1644</v>
      </c>
      <c r="B779" s="132" t="s">
        <v>1645</v>
      </c>
      <c r="C779" s="133"/>
      <c r="D779" s="418"/>
    </row>
    <row r="780" spans="1:4" s="4" customFormat="1">
      <c r="A780" s="30"/>
      <c r="B780" s="285" t="s">
        <v>1028</v>
      </c>
      <c r="C780" s="133" t="s">
        <v>1029</v>
      </c>
      <c r="D780" s="418"/>
    </row>
    <row r="781" spans="1:4" s="4" customFormat="1">
      <c r="A781" s="30" t="s">
        <v>1646</v>
      </c>
      <c r="B781" s="395" t="s">
        <v>1647</v>
      </c>
      <c r="C781" s="133"/>
      <c r="D781" s="418"/>
    </row>
    <row r="782" spans="1:4" s="4" customFormat="1">
      <c r="A782" s="30"/>
      <c r="B782" s="402" t="s">
        <v>1028</v>
      </c>
      <c r="C782" s="18" t="s">
        <v>1029</v>
      </c>
      <c r="D782" s="418"/>
    </row>
    <row r="783" spans="1:4" s="4" customFormat="1">
      <c r="A783" s="132" t="s">
        <v>1648</v>
      </c>
      <c r="B783" s="123" t="s">
        <v>1649</v>
      </c>
      <c r="C783" s="18"/>
      <c r="D783" s="418"/>
    </row>
    <row r="784" spans="1:4" s="4" customFormat="1">
      <c r="A784" s="30"/>
      <c r="B784" s="283" t="s">
        <v>1028</v>
      </c>
      <c r="C784" s="18" t="s">
        <v>1029</v>
      </c>
      <c r="D784" s="418"/>
    </row>
    <row r="785" spans="1:4" s="4" customFormat="1">
      <c r="A785" s="392" t="s">
        <v>1650</v>
      </c>
      <c r="B785" s="393" t="s">
        <v>1651</v>
      </c>
      <c r="C785" s="391"/>
      <c r="D785" s="418"/>
    </row>
    <row r="786" spans="1:4" s="4" customFormat="1">
      <c r="A786" s="389"/>
      <c r="B786" s="402" t="s">
        <v>1028</v>
      </c>
      <c r="C786" s="391" t="s">
        <v>1029</v>
      </c>
      <c r="D786" s="418"/>
    </row>
    <row r="787" spans="1:4" s="4" customFormat="1">
      <c r="A787" s="132" t="s">
        <v>1652</v>
      </c>
      <c r="B787" s="123" t="s">
        <v>1653</v>
      </c>
      <c r="C787" s="18"/>
      <c r="D787" s="418"/>
    </row>
    <row r="788" spans="1:4" s="4" customFormat="1">
      <c r="A788" s="30"/>
      <c r="B788" s="283" t="s">
        <v>1028</v>
      </c>
      <c r="C788" s="18" t="s">
        <v>1029</v>
      </c>
      <c r="D788" s="418"/>
    </row>
    <row r="789" spans="1:4" s="4" customFormat="1">
      <c r="A789" s="132" t="s">
        <v>1654</v>
      </c>
      <c r="B789" s="123" t="s">
        <v>1655</v>
      </c>
      <c r="C789" s="18"/>
      <c r="D789" s="418"/>
    </row>
    <row r="790" spans="1:4" s="4" customFormat="1">
      <c r="A790" s="30"/>
      <c r="B790" s="283" t="s">
        <v>1028</v>
      </c>
      <c r="C790" s="18" t="s">
        <v>1029</v>
      </c>
      <c r="D790" s="418"/>
    </row>
    <row r="791" spans="1:4" s="4" customFormat="1">
      <c r="A791" s="132" t="s">
        <v>1656</v>
      </c>
      <c r="B791" s="123" t="s">
        <v>1657</v>
      </c>
      <c r="C791" s="18"/>
      <c r="D791" s="418"/>
    </row>
    <row r="792" spans="1:4" s="4" customFormat="1">
      <c r="A792" s="30"/>
      <c r="B792" s="283" t="s">
        <v>1028</v>
      </c>
      <c r="C792" s="18" t="s">
        <v>1029</v>
      </c>
      <c r="D792" s="418"/>
    </row>
    <row r="793" spans="1:4" s="4" customFormat="1">
      <c r="A793" s="392" t="s">
        <v>1658</v>
      </c>
      <c r="B793" s="393" t="s">
        <v>1659</v>
      </c>
      <c r="C793" s="391"/>
      <c r="D793" s="418"/>
    </row>
    <row r="794" spans="1:4" s="4" customFormat="1">
      <c r="A794" s="389"/>
      <c r="B794" s="402" t="s">
        <v>1028</v>
      </c>
      <c r="C794" s="391" t="s">
        <v>1029</v>
      </c>
      <c r="D794" s="418"/>
    </row>
    <row r="795" spans="1:4" s="4" customFormat="1">
      <c r="A795" s="132" t="s">
        <v>1660</v>
      </c>
      <c r="B795" s="123" t="s">
        <v>1661</v>
      </c>
      <c r="C795" s="18"/>
      <c r="D795" s="418"/>
    </row>
    <row r="796" spans="1:4" s="4" customFormat="1">
      <c r="A796" s="30"/>
      <c r="B796" s="283" t="s">
        <v>1028</v>
      </c>
      <c r="C796" s="18" t="s">
        <v>1029</v>
      </c>
      <c r="D796" s="418"/>
    </row>
    <row r="797" spans="1:4" s="4" customFormat="1">
      <c r="A797" s="132" t="s">
        <v>1662</v>
      </c>
      <c r="B797" s="123" t="s">
        <v>1663</v>
      </c>
      <c r="C797" s="18"/>
      <c r="D797" s="481"/>
    </row>
    <row r="798" spans="1:4" s="4" customFormat="1">
      <c r="A798" s="30"/>
      <c r="B798" s="283" t="s">
        <v>1028</v>
      </c>
      <c r="C798" s="18" t="s">
        <v>1029</v>
      </c>
      <c r="D798" s="481"/>
    </row>
    <row r="799" spans="1:4" s="4" customFormat="1">
      <c r="A799" s="132" t="s">
        <v>1664</v>
      </c>
      <c r="B799" s="123" t="s">
        <v>1665</v>
      </c>
      <c r="C799" s="18"/>
      <c r="D799" s="418"/>
    </row>
    <row r="800" spans="1:4" s="4" customFormat="1">
      <c r="A800" s="30"/>
      <c r="B800" s="283" t="s">
        <v>1028</v>
      </c>
      <c r="C800" s="18" t="s">
        <v>1029</v>
      </c>
      <c r="D800" s="418"/>
    </row>
    <row r="801" spans="1:4" s="4" customFormat="1">
      <c r="A801" s="392" t="s">
        <v>1666</v>
      </c>
      <c r="B801" s="396" t="s">
        <v>1667</v>
      </c>
      <c r="C801" s="391"/>
      <c r="D801" s="423"/>
    </row>
    <row r="802" spans="1:4" s="4" customFormat="1">
      <c r="A802" s="389"/>
      <c r="B802" s="402" t="s">
        <v>1028</v>
      </c>
      <c r="C802" s="391" t="s">
        <v>1029</v>
      </c>
      <c r="D802" s="423"/>
    </row>
    <row r="803" spans="1:4" s="4" customFormat="1" ht="26.45">
      <c r="A803" s="132" t="s">
        <v>1668</v>
      </c>
      <c r="B803" s="402" t="s">
        <v>1669</v>
      </c>
      <c r="C803" s="391"/>
      <c r="D803" s="423"/>
    </row>
    <row r="804" spans="1:4" s="4" customFormat="1">
      <c r="A804" s="389"/>
      <c r="B804" s="402" t="s">
        <v>1028</v>
      </c>
      <c r="C804" s="391"/>
      <c r="D804" s="423"/>
    </row>
    <row r="805" spans="1:4" s="4" customFormat="1">
      <c r="A805" s="132" t="s">
        <v>1670</v>
      </c>
      <c r="B805" s="123" t="s">
        <v>1671</v>
      </c>
      <c r="C805" s="18"/>
      <c r="D805" s="418"/>
    </row>
    <row r="806" spans="1:4" s="4" customFormat="1">
      <c r="A806" s="30"/>
      <c r="B806" s="283" t="s">
        <v>1028</v>
      </c>
      <c r="C806" s="18" t="s">
        <v>1029</v>
      </c>
      <c r="D806" s="418"/>
    </row>
    <row r="807" spans="1:4" s="4" customFormat="1">
      <c r="A807" s="132" t="s">
        <v>1672</v>
      </c>
      <c r="B807" s="123" t="s">
        <v>1673</v>
      </c>
      <c r="C807" s="18"/>
      <c r="D807" s="418"/>
    </row>
    <row r="808" spans="1:4" s="4" customFormat="1">
      <c r="A808" s="30"/>
      <c r="B808" s="283" t="s">
        <v>1028</v>
      </c>
      <c r="C808" s="18" t="s">
        <v>1029</v>
      </c>
      <c r="D808" s="418"/>
    </row>
    <row r="809" spans="1:4" s="4" customFormat="1">
      <c r="A809" s="132" t="s">
        <v>1674</v>
      </c>
      <c r="B809" s="123" t="s">
        <v>1675</v>
      </c>
      <c r="C809" s="18"/>
      <c r="D809" s="418"/>
    </row>
    <row r="810" spans="1:4" s="4" customFormat="1">
      <c r="A810" s="30"/>
      <c r="B810" s="283" t="s">
        <v>1028</v>
      </c>
      <c r="C810" s="18" t="s">
        <v>1029</v>
      </c>
      <c r="D810" s="418"/>
    </row>
    <row r="811" spans="1:4" s="4" customFormat="1">
      <c r="A811" s="392" t="s">
        <v>1676</v>
      </c>
      <c r="B811" s="393" t="s">
        <v>1677</v>
      </c>
      <c r="C811" s="391"/>
      <c r="D811" s="418"/>
    </row>
    <row r="812" spans="1:4" s="4" customFormat="1">
      <c r="A812" s="389"/>
      <c r="B812" s="402" t="s">
        <v>1028</v>
      </c>
      <c r="C812" s="391" t="s">
        <v>1029</v>
      </c>
      <c r="D812" s="418"/>
    </row>
    <row r="813" spans="1:4" s="4" customFormat="1">
      <c r="A813" s="132" t="s">
        <v>1678</v>
      </c>
      <c r="B813" s="123" t="s">
        <v>1679</v>
      </c>
      <c r="C813" s="18"/>
      <c r="D813" s="418"/>
    </row>
    <row r="814" spans="1:4" s="4" customFormat="1">
      <c r="A814" s="132"/>
      <c r="B814" s="283" t="s">
        <v>1028</v>
      </c>
      <c r="C814" s="18" t="s">
        <v>1029</v>
      </c>
      <c r="D814" s="418"/>
    </row>
    <row r="815" spans="1:4" s="4" customFormat="1">
      <c r="A815" s="132" t="s">
        <v>1680</v>
      </c>
      <c r="B815" s="123" t="s">
        <v>1681</v>
      </c>
      <c r="C815" s="18"/>
      <c r="D815" s="418"/>
    </row>
    <row r="816" spans="1:4" s="4" customFormat="1">
      <c r="A816" s="30"/>
      <c r="B816" s="283" t="s">
        <v>1028</v>
      </c>
      <c r="C816" s="18" t="s">
        <v>1029</v>
      </c>
      <c r="D816" s="418"/>
    </row>
    <row r="817" spans="1:4" s="4" customFormat="1">
      <c r="A817" s="132" t="s">
        <v>1682</v>
      </c>
      <c r="B817" s="123" t="s">
        <v>1683</v>
      </c>
      <c r="C817" s="18"/>
      <c r="D817" s="418"/>
    </row>
    <row r="818" spans="1:4" s="4" customFormat="1">
      <c r="A818" s="30"/>
      <c r="B818" s="283" t="s">
        <v>1028</v>
      </c>
      <c r="C818" s="18" t="s">
        <v>1029</v>
      </c>
      <c r="D818" s="418"/>
    </row>
    <row r="819" spans="1:4" s="4" customFormat="1">
      <c r="A819" s="132" t="s">
        <v>1684</v>
      </c>
      <c r="B819" s="123" t="s">
        <v>1685</v>
      </c>
      <c r="C819" s="18"/>
      <c r="D819" s="418"/>
    </row>
    <row r="820" spans="1:4" s="4" customFormat="1">
      <c r="A820" s="30"/>
      <c r="B820" s="283" t="s">
        <v>1028</v>
      </c>
      <c r="C820" s="18" t="s">
        <v>1029</v>
      </c>
      <c r="D820" s="418"/>
    </row>
    <row r="821" spans="1:4" s="4" customFormat="1">
      <c r="A821" s="132" t="s">
        <v>1686</v>
      </c>
      <c r="B821" s="123" t="s">
        <v>1687</v>
      </c>
      <c r="C821" s="18"/>
      <c r="D821" s="418"/>
    </row>
    <row r="822" spans="1:4" s="4" customFormat="1">
      <c r="A822" s="30"/>
      <c r="B822" s="283" t="s">
        <v>1028</v>
      </c>
      <c r="C822" s="18" t="s">
        <v>1029</v>
      </c>
      <c r="D822" s="418"/>
    </row>
    <row r="823" spans="1:4" s="4" customFormat="1">
      <c r="A823" s="132" t="s">
        <v>1688</v>
      </c>
      <c r="B823" s="123" t="s">
        <v>1689</v>
      </c>
      <c r="C823" s="18"/>
      <c r="D823" s="418"/>
    </row>
    <row r="824" spans="1:4" s="4" customFormat="1">
      <c r="A824" s="30"/>
      <c r="B824" s="283" t="s">
        <v>1028</v>
      </c>
      <c r="C824" s="18" t="s">
        <v>1029</v>
      </c>
      <c r="D824" s="418"/>
    </row>
    <row r="825" spans="1:4" s="4" customFormat="1">
      <c r="A825" s="132" t="s">
        <v>1690</v>
      </c>
      <c r="B825" s="395" t="s">
        <v>1691</v>
      </c>
      <c r="C825" s="114"/>
      <c r="D825" s="418"/>
    </row>
    <row r="826" spans="1:4" s="4" customFormat="1">
      <c r="A826" s="16"/>
      <c r="B826" s="395" t="s">
        <v>1028</v>
      </c>
      <c r="C826" s="114" t="s">
        <v>1029</v>
      </c>
      <c r="D826" s="418"/>
    </row>
    <row r="827" spans="1:4" s="4" customFormat="1" ht="26.45">
      <c r="A827" s="132" t="s">
        <v>1692</v>
      </c>
      <c r="B827" s="395" t="s">
        <v>1693</v>
      </c>
      <c r="C827" s="114"/>
      <c r="D827" s="418"/>
    </row>
    <row r="828" spans="1:4" s="4" customFormat="1">
      <c r="A828" s="16"/>
      <c r="B828" s="395" t="s">
        <v>1028</v>
      </c>
      <c r="C828" s="114" t="s">
        <v>1029</v>
      </c>
      <c r="D828" s="418"/>
    </row>
    <row r="829" spans="1:4" s="4" customFormat="1">
      <c r="A829" s="132" t="s">
        <v>1694</v>
      </c>
      <c r="B829" s="395" t="s">
        <v>1695</v>
      </c>
      <c r="C829" s="114"/>
      <c r="D829" s="418"/>
    </row>
    <row r="830" spans="1:4" s="4" customFormat="1">
      <c r="A830" s="16"/>
      <c r="B830" s="395" t="s">
        <v>1028</v>
      </c>
      <c r="C830" s="114" t="s">
        <v>1029</v>
      </c>
      <c r="D830" s="418"/>
    </row>
    <row r="831" spans="1:4" s="4" customFormat="1">
      <c r="A831" s="392" t="s">
        <v>1696</v>
      </c>
      <c r="B831" s="397" t="s">
        <v>1697</v>
      </c>
      <c r="C831" s="398"/>
      <c r="D831" s="418"/>
    </row>
    <row r="832" spans="1:4" s="4" customFormat="1" ht="75.75" customHeight="1">
      <c r="A832" s="399"/>
      <c r="B832" s="400" t="s">
        <v>1698</v>
      </c>
      <c r="C832" s="401"/>
      <c r="D832" s="418"/>
    </row>
    <row r="833" spans="1:4" s="4" customFormat="1">
      <c r="A833" s="399"/>
      <c r="B833" s="395" t="s">
        <v>1028</v>
      </c>
      <c r="C833" s="394" t="s">
        <v>1029</v>
      </c>
      <c r="D833" s="418"/>
    </row>
    <row r="834" spans="1:4" s="4" customFormat="1">
      <c r="A834" s="123" t="s">
        <v>1699</v>
      </c>
      <c r="B834" s="123" t="s">
        <v>1700</v>
      </c>
      <c r="C834" s="108"/>
      <c r="D834" s="418"/>
    </row>
    <row r="835" spans="1:4" s="4" customFormat="1">
      <c r="A835" s="16"/>
      <c r="B835" s="283" t="s">
        <v>1028</v>
      </c>
      <c r="C835" s="108" t="s">
        <v>1029</v>
      </c>
      <c r="D835" s="418"/>
    </row>
    <row r="836" spans="1:4" s="4" customFormat="1">
      <c r="A836" s="123" t="s">
        <v>1701</v>
      </c>
      <c r="B836" s="123" t="s">
        <v>1702</v>
      </c>
      <c r="C836" s="108"/>
      <c r="D836" s="418"/>
    </row>
    <row r="837" spans="1:4" s="4" customFormat="1">
      <c r="A837" s="16"/>
      <c r="B837" s="283" t="s">
        <v>1028</v>
      </c>
      <c r="C837" s="108" t="s">
        <v>1029</v>
      </c>
      <c r="D837" s="418"/>
    </row>
    <row r="838" spans="1:4" s="4" customFormat="1">
      <c r="A838" s="123" t="s">
        <v>1703</v>
      </c>
      <c r="B838" s="123" t="s">
        <v>1704</v>
      </c>
      <c r="C838" s="108"/>
      <c r="D838" s="418"/>
    </row>
    <row r="839" spans="1:4" s="4" customFormat="1">
      <c r="A839" s="16"/>
      <c r="B839" s="283" t="s">
        <v>1028</v>
      </c>
      <c r="C839" s="108" t="s">
        <v>1029</v>
      </c>
      <c r="D839" s="418"/>
    </row>
    <row r="840" spans="1:4" s="4" customFormat="1">
      <c r="A840" s="392" t="s">
        <v>1705</v>
      </c>
      <c r="B840" s="402" t="s">
        <v>1706</v>
      </c>
      <c r="C840" s="391"/>
      <c r="D840" s="418"/>
    </row>
    <row r="841" spans="1:4" s="4" customFormat="1">
      <c r="A841" s="399"/>
      <c r="B841" s="402" t="s">
        <v>1028</v>
      </c>
      <c r="C841" s="391" t="s">
        <v>1029</v>
      </c>
      <c r="D841" s="418"/>
    </row>
    <row r="842" spans="1:4" s="4" customFormat="1">
      <c r="A842" s="392" t="s">
        <v>1707</v>
      </c>
      <c r="B842" s="402" t="s">
        <v>1708</v>
      </c>
      <c r="C842" s="391"/>
      <c r="D842" s="418"/>
    </row>
    <row r="843" spans="1:4" s="4" customFormat="1">
      <c r="A843" s="399"/>
      <c r="B843" s="402" t="s">
        <v>1028</v>
      </c>
      <c r="C843" s="391" t="s">
        <v>1029</v>
      </c>
      <c r="D843" s="418"/>
    </row>
    <row r="844" spans="1:4" s="4" customFormat="1">
      <c r="A844" s="392" t="s">
        <v>1709</v>
      </c>
      <c r="B844" s="403" t="s">
        <v>1710</v>
      </c>
      <c r="C844" s="391"/>
      <c r="D844" s="418"/>
    </row>
    <row r="845" spans="1:4" s="4" customFormat="1" ht="66">
      <c r="A845" s="399"/>
      <c r="B845" s="402" t="s">
        <v>1711</v>
      </c>
      <c r="C845" s="391"/>
      <c r="D845" s="418"/>
    </row>
    <row r="846" spans="1:4" s="4" customFormat="1">
      <c r="A846" s="399"/>
      <c r="B846" s="402" t="s">
        <v>1028</v>
      </c>
      <c r="C846" s="391" t="s">
        <v>1029</v>
      </c>
      <c r="D846" s="418"/>
    </row>
    <row r="847" spans="1:4" s="4" customFormat="1">
      <c r="A847" s="132" t="s">
        <v>1712</v>
      </c>
      <c r="B847" s="132" t="s">
        <v>1713</v>
      </c>
      <c r="C847" s="133"/>
      <c r="D847" s="418"/>
    </row>
    <row r="848" spans="1:4" s="4" customFormat="1">
      <c r="A848" s="30"/>
      <c r="B848" s="285" t="s">
        <v>1076</v>
      </c>
      <c r="C848" s="133" t="s">
        <v>1077</v>
      </c>
      <c r="D848" s="418"/>
    </row>
    <row r="849" spans="1:4" s="4" customFormat="1">
      <c r="A849" s="132" t="s">
        <v>1714</v>
      </c>
      <c r="B849" s="132" t="s">
        <v>1715</v>
      </c>
      <c r="C849" s="133"/>
      <c r="D849" s="418"/>
    </row>
    <row r="850" spans="1:4" s="4" customFormat="1">
      <c r="A850" s="30"/>
      <c r="B850" s="285" t="s">
        <v>1076</v>
      </c>
      <c r="C850" s="133" t="s">
        <v>1077</v>
      </c>
      <c r="D850" s="418"/>
    </row>
    <row r="851" spans="1:4" s="4" customFormat="1">
      <c r="A851" s="132" t="s">
        <v>1716</v>
      </c>
      <c r="B851" s="132" t="s">
        <v>1717</v>
      </c>
      <c r="C851" s="133"/>
      <c r="D851" s="418"/>
    </row>
    <row r="852" spans="1:4" s="4" customFormat="1">
      <c r="A852" s="30"/>
      <c r="B852" s="285" t="s">
        <v>1076</v>
      </c>
      <c r="C852" s="133" t="s">
        <v>1077</v>
      </c>
      <c r="D852" s="418"/>
    </row>
    <row r="853" spans="1:4" s="4" customFormat="1">
      <c r="A853" s="132" t="s">
        <v>1718</v>
      </c>
      <c r="B853" s="395" t="s">
        <v>1719</v>
      </c>
      <c r="C853" s="133"/>
      <c r="D853" s="418"/>
    </row>
    <row r="854" spans="1:4" s="4" customFormat="1">
      <c r="A854" s="30"/>
      <c r="B854" s="395" t="s">
        <v>1076</v>
      </c>
      <c r="C854" s="133" t="s">
        <v>1077</v>
      </c>
      <c r="D854" s="418"/>
    </row>
    <row r="855" spans="1:4" s="4" customFormat="1">
      <c r="A855" s="132" t="s">
        <v>1720</v>
      </c>
      <c r="B855" s="395" t="s">
        <v>1721</v>
      </c>
      <c r="C855" s="133"/>
      <c r="D855" s="418"/>
    </row>
    <row r="856" spans="1:4" s="4" customFormat="1">
      <c r="A856" s="30"/>
      <c r="B856" s="395" t="s">
        <v>1076</v>
      </c>
      <c r="C856" s="133" t="s">
        <v>1077</v>
      </c>
      <c r="D856" s="418"/>
    </row>
    <row r="857" spans="1:4" s="4" customFormat="1">
      <c r="A857" s="30" t="s">
        <v>1722</v>
      </c>
      <c r="B857" s="395" t="s">
        <v>1723</v>
      </c>
      <c r="C857" s="133"/>
      <c r="D857" s="418"/>
    </row>
    <row r="858" spans="1:4" s="4" customFormat="1">
      <c r="A858" s="30"/>
      <c r="B858" s="395" t="s">
        <v>1076</v>
      </c>
      <c r="C858" s="133" t="s">
        <v>1077</v>
      </c>
      <c r="D858" s="418"/>
    </row>
    <row r="859" spans="1:4" s="4" customFormat="1">
      <c r="A859" s="30" t="s">
        <v>1724</v>
      </c>
      <c r="B859" s="395" t="s">
        <v>1725</v>
      </c>
      <c r="C859" s="133"/>
      <c r="D859" s="418"/>
    </row>
    <row r="860" spans="1:4" s="4" customFormat="1">
      <c r="A860" s="30"/>
      <c r="B860" s="395" t="s">
        <v>1076</v>
      </c>
      <c r="C860" s="133" t="s">
        <v>1077</v>
      </c>
      <c r="D860" s="418"/>
    </row>
    <row r="861" spans="1:4" s="4" customFormat="1">
      <c r="A861" s="30" t="s">
        <v>1726</v>
      </c>
      <c r="B861" s="395" t="s">
        <v>1727</v>
      </c>
      <c r="C861" s="133"/>
      <c r="D861" s="418"/>
    </row>
    <row r="862" spans="1:4" s="4" customFormat="1">
      <c r="A862" s="30"/>
      <c r="B862" s="395" t="s">
        <v>1076</v>
      </c>
      <c r="C862" s="133" t="s">
        <v>1077</v>
      </c>
      <c r="D862" s="418"/>
    </row>
    <row r="863" spans="1:4" s="4" customFormat="1">
      <c r="A863" s="132" t="s">
        <v>1728</v>
      </c>
      <c r="B863" s="132" t="s">
        <v>1729</v>
      </c>
      <c r="C863" s="133"/>
      <c r="D863" s="418"/>
    </row>
    <row r="864" spans="1:4" s="4" customFormat="1">
      <c r="A864" s="30"/>
      <c r="B864" s="285" t="s">
        <v>1076</v>
      </c>
      <c r="C864" s="133" t="s">
        <v>1077</v>
      </c>
      <c r="D864" s="418"/>
    </row>
    <row r="865" spans="1:4" s="4" customFormat="1">
      <c r="A865" s="30" t="s">
        <v>1730</v>
      </c>
      <c r="B865" s="395" t="s">
        <v>1731</v>
      </c>
      <c r="C865" s="133"/>
      <c r="D865" s="418"/>
    </row>
    <row r="866" spans="1:4" s="4" customFormat="1">
      <c r="A866" s="30"/>
      <c r="B866" s="395" t="s">
        <v>1076</v>
      </c>
      <c r="C866" s="133" t="s">
        <v>1077</v>
      </c>
      <c r="D866" s="418"/>
    </row>
    <row r="867" spans="1:4" s="4" customFormat="1">
      <c r="A867" s="30" t="s">
        <v>1732</v>
      </c>
      <c r="B867" s="395" t="s">
        <v>1733</v>
      </c>
      <c r="C867" s="133"/>
      <c r="D867" s="418"/>
    </row>
    <row r="868" spans="1:4" s="4" customFormat="1">
      <c r="A868" s="30"/>
      <c r="B868" s="395" t="s">
        <v>1076</v>
      </c>
      <c r="C868" s="133" t="s">
        <v>1077</v>
      </c>
      <c r="D868" s="418"/>
    </row>
    <row r="869" spans="1:4" s="4" customFormat="1">
      <c r="A869" s="30" t="s">
        <v>1734</v>
      </c>
      <c r="B869" s="395" t="s">
        <v>1735</v>
      </c>
      <c r="C869" s="133"/>
      <c r="D869" s="418"/>
    </row>
    <row r="870" spans="1:4" s="4" customFormat="1">
      <c r="A870" s="30"/>
      <c r="B870" s="395" t="s">
        <v>1076</v>
      </c>
      <c r="C870" s="133" t="s">
        <v>1077</v>
      </c>
      <c r="D870" s="418"/>
    </row>
    <row r="871" spans="1:4" s="4" customFormat="1">
      <c r="A871" s="30" t="s">
        <v>1736</v>
      </c>
      <c r="B871" s="395" t="s">
        <v>1737</v>
      </c>
      <c r="C871" s="133"/>
      <c r="D871" s="418"/>
    </row>
    <row r="872" spans="1:4" s="4" customFormat="1">
      <c r="A872" s="30"/>
      <c r="B872" s="395" t="s">
        <v>1076</v>
      </c>
      <c r="C872" s="133" t="s">
        <v>1077</v>
      </c>
      <c r="D872" s="418"/>
    </row>
    <row r="873" spans="1:4" s="4" customFormat="1">
      <c r="A873" s="132" t="s">
        <v>1738</v>
      </c>
      <c r="B873" s="132" t="s">
        <v>1739</v>
      </c>
      <c r="C873" s="133"/>
      <c r="D873" s="418"/>
    </row>
    <row r="874" spans="1:4" s="4" customFormat="1">
      <c r="A874" s="30"/>
      <c r="B874" s="285" t="s">
        <v>1076</v>
      </c>
      <c r="C874" s="133" t="s">
        <v>1077</v>
      </c>
      <c r="D874" s="418"/>
    </row>
    <row r="875" spans="1:4" s="4" customFormat="1">
      <c r="A875" s="132" t="s">
        <v>1740</v>
      </c>
      <c r="B875" s="132" t="s">
        <v>1741</v>
      </c>
      <c r="C875" s="133"/>
      <c r="D875" s="418"/>
    </row>
    <row r="876" spans="1:4" s="4" customFormat="1">
      <c r="A876" s="30"/>
      <c r="B876" s="285" t="s">
        <v>1076</v>
      </c>
      <c r="C876" s="133" t="s">
        <v>1077</v>
      </c>
      <c r="D876" s="418"/>
    </row>
    <row r="877" spans="1:4" s="4" customFormat="1">
      <c r="A877" s="392" t="s">
        <v>1742</v>
      </c>
      <c r="B877" s="404" t="s">
        <v>1743</v>
      </c>
      <c r="C877" s="391"/>
      <c r="D877" s="418"/>
    </row>
    <row r="878" spans="1:4" s="4" customFormat="1" ht="39.6">
      <c r="A878" s="389"/>
      <c r="B878" s="388" t="s">
        <v>1744</v>
      </c>
      <c r="C878" s="391"/>
      <c r="D878" s="418"/>
    </row>
    <row r="879" spans="1:4" s="4" customFormat="1">
      <c r="A879" s="389"/>
      <c r="B879" s="402" t="s">
        <v>1076</v>
      </c>
      <c r="C879" s="391" t="s">
        <v>1077</v>
      </c>
      <c r="D879" s="418"/>
    </row>
    <row r="880" spans="1:4" s="4" customFormat="1">
      <c r="A880" s="392" t="s">
        <v>1745</v>
      </c>
      <c r="B880" s="404" t="s">
        <v>1746</v>
      </c>
      <c r="C880" s="391"/>
      <c r="D880" s="418"/>
    </row>
    <row r="881" spans="1:4" s="4" customFormat="1">
      <c r="A881" s="389"/>
      <c r="B881" s="402" t="s">
        <v>1076</v>
      </c>
      <c r="C881" s="391" t="s">
        <v>1077</v>
      </c>
      <c r="D881" s="418"/>
    </row>
    <row r="882" spans="1:4" s="4" customFormat="1">
      <c r="A882" s="389" t="s">
        <v>1747</v>
      </c>
      <c r="B882" s="402" t="s">
        <v>1748</v>
      </c>
      <c r="C882" s="391"/>
      <c r="D882" s="418"/>
    </row>
    <row r="883" spans="1:4" s="4" customFormat="1">
      <c r="A883" s="389"/>
      <c r="B883" s="402" t="s">
        <v>1028</v>
      </c>
      <c r="C883" s="391" t="s">
        <v>1029</v>
      </c>
      <c r="D883" s="418"/>
    </row>
    <row r="884" spans="1:4" s="4" customFormat="1">
      <c r="A884" s="132" t="s">
        <v>1749</v>
      </c>
      <c r="B884" s="123" t="s">
        <v>1750</v>
      </c>
      <c r="C884" s="18"/>
      <c r="D884" s="418"/>
    </row>
    <row r="885" spans="1:4" s="4" customFormat="1">
      <c r="A885" s="30"/>
      <c r="B885" s="283" t="s">
        <v>1028</v>
      </c>
      <c r="C885" s="18" t="s">
        <v>1029</v>
      </c>
      <c r="D885" s="418"/>
    </row>
    <row r="886" spans="1:4" s="4" customFormat="1">
      <c r="A886" s="132" t="s">
        <v>1751</v>
      </c>
      <c r="B886" s="123" t="s">
        <v>1752</v>
      </c>
      <c r="C886" s="18"/>
      <c r="D886" s="418"/>
    </row>
    <row r="887" spans="1:4" s="2" customFormat="1">
      <c r="A887" s="30"/>
      <c r="B887" s="283" t="s">
        <v>1028</v>
      </c>
      <c r="C887" s="18" t="s">
        <v>1029</v>
      </c>
      <c r="D887" s="418"/>
    </row>
    <row r="888" spans="1:4" s="2" customFormat="1">
      <c r="A888" s="397" t="s">
        <v>1753</v>
      </c>
      <c r="B888" s="405" t="s">
        <v>1754</v>
      </c>
      <c r="C888" s="18"/>
      <c r="D888" s="418"/>
    </row>
    <row r="889" spans="1:4" s="2" customFormat="1">
      <c r="A889" s="389"/>
      <c r="B889" s="402" t="s">
        <v>1028</v>
      </c>
      <c r="C889" s="18" t="s">
        <v>1029</v>
      </c>
      <c r="D889" s="418"/>
    </row>
    <row r="890" spans="1:4" s="2" customFormat="1">
      <c r="A890" s="397" t="s">
        <v>1755</v>
      </c>
      <c r="B890" s="404" t="s">
        <v>1756</v>
      </c>
      <c r="C890" s="391"/>
      <c r="D890" s="418"/>
    </row>
    <row r="891" spans="1:4" s="2" customFormat="1" ht="39.6">
      <c r="A891" s="389"/>
      <c r="B891" s="388" t="s">
        <v>1757</v>
      </c>
      <c r="C891" s="391"/>
      <c r="D891" s="418"/>
    </row>
    <row r="892" spans="1:4" s="2" customFormat="1">
      <c r="A892" s="389"/>
      <c r="B892" s="402" t="s">
        <v>1028</v>
      </c>
      <c r="C892" s="391" t="s">
        <v>1029</v>
      </c>
      <c r="D892" s="418"/>
    </row>
    <row r="893" spans="1:4" s="2" customFormat="1">
      <c r="A893" s="132" t="s">
        <v>1758</v>
      </c>
      <c r="B893" s="123" t="s">
        <v>1759</v>
      </c>
      <c r="C893" s="108"/>
      <c r="D893" s="418"/>
    </row>
    <row r="894" spans="1:4" s="2" customFormat="1">
      <c r="A894" s="30"/>
      <c r="B894" s="283" t="s">
        <v>1028</v>
      </c>
      <c r="C894" s="108" t="s">
        <v>1029</v>
      </c>
      <c r="D894" s="418"/>
    </row>
    <row r="895" spans="1:4" s="2" customFormat="1">
      <c r="A895" s="132" t="s">
        <v>1760</v>
      </c>
      <c r="B895" s="123" t="s">
        <v>1761</v>
      </c>
      <c r="C895" s="108"/>
      <c r="D895" s="418"/>
    </row>
    <row r="896" spans="1:4" s="2" customFormat="1">
      <c r="A896" s="30"/>
      <c r="B896" s="283" t="s">
        <v>1028</v>
      </c>
      <c r="C896" s="108" t="s">
        <v>1029</v>
      </c>
      <c r="D896" s="418"/>
    </row>
    <row r="897" spans="1:4" s="2" customFormat="1">
      <c r="A897" s="30" t="s">
        <v>1762</v>
      </c>
      <c r="B897" s="402" t="s">
        <v>1763</v>
      </c>
      <c r="C897" s="108"/>
      <c r="D897" s="418"/>
    </row>
    <row r="898" spans="1:4" s="2" customFormat="1">
      <c r="A898" s="30"/>
      <c r="B898" s="402" t="s">
        <v>1028</v>
      </c>
      <c r="C898" s="108" t="s">
        <v>1029</v>
      </c>
      <c r="D898" s="418"/>
    </row>
    <row r="899" spans="1:4" s="2" customFormat="1">
      <c r="A899" s="132" t="s">
        <v>1764</v>
      </c>
      <c r="B899" s="123" t="s">
        <v>1765</v>
      </c>
      <c r="C899" s="108"/>
      <c r="D899" s="418"/>
    </row>
    <row r="900" spans="1:4" s="2" customFormat="1">
      <c r="A900" s="30"/>
      <c r="B900" s="283" t="s">
        <v>1076</v>
      </c>
      <c r="C900" s="108" t="s">
        <v>1077</v>
      </c>
      <c r="D900" s="418"/>
    </row>
    <row r="901" spans="1:4" s="2" customFormat="1">
      <c r="A901" s="132" t="s">
        <v>1766</v>
      </c>
      <c r="B901" s="132" t="s">
        <v>1767</v>
      </c>
      <c r="C901" s="133"/>
      <c r="D901" s="418"/>
    </row>
    <row r="902" spans="1:4" s="2" customFormat="1">
      <c r="A902" s="30"/>
      <c r="B902" s="285" t="s">
        <v>1028</v>
      </c>
      <c r="C902" s="133" t="s">
        <v>1029</v>
      </c>
      <c r="D902" s="418"/>
    </row>
    <row r="903" spans="1:4" s="2" customFormat="1">
      <c r="A903" s="132" t="s">
        <v>1768</v>
      </c>
      <c r="B903" s="132" t="s">
        <v>1769</v>
      </c>
      <c r="C903" s="133"/>
      <c r="D903" s="418"/>
    </row>
    <row r="904" spans="1:4" s="2" customFormat="1">
      <c r="A904" s="30"/>
      <c r="B904" s="285" t="s">
        <v>1076</v>
      </c>
      <c r="C904" s="133" t="s">
        <v>1077</v>
      </c>
      <c r="D904" s="418"/>
    </row>
    <row r="905" spans="1:4" s="2" customFormat="1">
      <c r="A905" s="132" t="s">
        <v>1770</v>
      </c>
      <c r="B905" s="132" t="s">
        <v>1771</v>
      </c>
      <c r="C905" s="133"/>
      <c r="D905" s="418"/>
    </row>
    <row r="906" spans="1:4" s="2" customFormat="1">
      <c r="A906" s="30"/>
      <c r="B906" s="285" t="s">
        <v>1028</v>
      </c>
      <c r="C906" s="133" t="s">
        <v>1029</v>
      </c>
      <c r="D906" s="418"/>
    </row>
    <row r="907" spans="1:4" s="2" customFormat="1">
      <c r="A907" s="397" t="s">
        <v>1772</v>
      </c>
      <c r="B907" s="397" t="s">
        <v>1773</v>
      </c>
      <c r="C907" s="394"/>
      <c r="D907" s="418"/>
    </row>
    <row r="908" spans="1:4" s="2" customFormat="1" ht="39.6">
      <c r="A908" s="389"/>
      <c r="B908" s="388" t="s">
        <v>1774</v>
      </c>
      <c r="C908" s="391"/>
      <c r="D908" s="418"/>
    </row>
    <row r="909" spans="1:4" s="2" customFormat="1">
      <c r="A909" s="389"/>
      <c r="B909" s="402" t="s">
        <v>1028</v>
      </c>
      <c r="C909" s="391" t="s">
        <v>1029</v>
      </c>
      <c r="D909" s="418"/>
    </row>
    <row r="910" spans="1:4" s="2" customFormat="1">
      <c r="A910" s="397" t="s">
        <v>1775</v>
      </c>
      <c r="B910" s="403" t="s">
        <v>1776</v>
      </c>
      <c r="C910" s="391"/>
      <c r="D910" s="418"/>
    </row>
    <row r="911" spans="1:4" s="2" customFormat="1" ht="39.6">
      <c r="A911" s="389"/>
      <c r="B911" s="388" t="s">
        <v>1777</v>
      </c>
      <c r="C911" s="391"/>
      <c r="D911" s="418"/>
    </row>
    <row r="912" spans="1:4" s="2" customFormat="1">
      <c r="A912" s="389"/>
      <c r="B912" s="402" t="s">
        <v>1028</v>
      </c>
      <c r="C912" s="391" t="s">
        <v>1029</v>
      </c>
      <c r="D912" s="418"/>
    </row>
    <row r="913" spans="1:4" s="2" customFormat="1">
      <c r="A913" s="132" t="s">
        <v>1778</v>
      </c>
      <c r="B913" s="132" t="s">
        <v>1779</v>
      </c>
      <c r="C913" s="133"/>
      <c r="D913" s="418"/>
    </row>
    <row r="914" spans="1:4" s="2" customFormat="1" ht="39.6">
      <c r="A914" s="132"/>
      <c r="B914" s="285" t="s">
        <v>1780</v>
      </c>
      <c r="C914" s="133"/>
      <c r="D914" s="418"/>
    </row>
    <row r="915" spans="1:4" s="2" customFormat="1">
      <c r="A915" s="132" t="s">
        <v>1781</v>
      </c>
      <c r="B915" s="132" t="s">
        <v>1782</v>
      </c>
      <c r="C915" s="133"/>
      <c r="D915" s="418"/>
    </row>
    <row r="916" spans="1:4" s="2" customFormat="1">
      <c r="A916" s="30"/>
      <c r="B916" s="285" t="s">
        <v>1231</v>
      </c>
      <c r="C916" s="133" t="s">
        <v>1262</v>
      </c>
      <c r="D916" s="418"/>
    </row>
    <row r="917" spans="1:4" s="2" customFormat="1">
      <c r="A917" s="132" t="s">
        <v>1783</v>
      </c>
      <c r="B917" s="132" t="s">
        <v>1784</v>
      </c>
      <c r="C917" s="133"/>
      <c r="D917" s="418"/>
    </row>
    <row r="918" spans="1:4" s="2" customFormat="1">
      <c r="A918" s="30"/>
      <c r="B918" s="285" t="s">
        <v>1231</v>
      </c>
      <c r="C918" s="133" t="s">
        <v>1262</v>
      </c>
      <c r="D918" s="418"/>
    </row>
    <row r="919" spans="1:4" s="2" customFormat="1">
      <c r="A919" s="30" t="s">
        <v>1785</v>
      </c>
      <c r="B919" s="205" t="s">
        <v>1786</v>
      </c>
      <c r="C919" s="133"/>
      <c r="D919" s="418"/>
    </row>
    <row r="920" spans="1:4" s="2" customFormat="1" ht="79.150000000000006">
      <c r="A920" s="30"/>
      <c r="B920" s="285" t="s">
        <v>1787</v>
      </c>
      <c r="C920" s="133"/>
      <c r="D920" s="418"/>
    </row>
    <row r="921" spans="1:4" s="2" customFormat="1">
      <c r="A921" s="30"/>
      <c r="B921" s="285" t="s">
        <v>1076</v>
      </c>
      <c r="C921" s="133" t="s">
        <v>1077</v>
      </c>
      <c r="D921" s="418"/>
    </row>
    <row r="922" spans="1:4" s="2" customFormat="1">
      <c r="A922" s="30" t="s">
        <v>1788</v>
      </c>
      <c r="B922" s="115" t="s">
        <v>1789</v>
      </c>
      <c r="C922" s="133"/>
      <c r="D922" s="418"/>
    </row>
    <row r="923" spans="1:4" s="2" customFormat="1" ht="132">
      <c r="A923" s="30"/>
      <c r="B923" s="285" t="s">
        <v>1790</v>
      </c>
      <c r="C923" s="133"/>
      <c r="D923" s="418"/>
    </row>
    <row r="924" spans="1:4" s="2" customFormat="1">
      <c r="A924" s="132" t="s">
        <v>1791</v>
      </c>
      <c r="B924" s="376" t="s">
        <v>1792</v>
      </c>
      <c r="C924" s="133"/>
      <c r="D924" s="418"/>
    </row>
    <row r="925" spans="1:4" s="2" customFormat="1">
      <c r="A925" s="30"/>
      <c r="B925" s="285" t="s">
        <v>1076</v>
      </c>
      <c r="C925" s="133" t="s">
        <v>1077</v>
      </c>
      <c r="D925" s="418"/>
    </row>
    <row r="926" spans="1:4" s="2" customFormat="1">
      <c r="A926" s="132" t="s">
        <v>1793</v>
      </c>
      <c r="B926" s="376" t="s">
        <v>1794</v>
      </c>
      <c r="C926" s="133"/>
      <c r="D926" s="418"/>
    </row>
    <row r="927" spans="1:4" s="2" customFormat="1">
      <c r="A927" s="132"/>
      <c r="B927" s="285" t="s">
        <v>1076</v>
      </c>
      <c r="C927" s="133" t="s">
        <v>1077</v>
      </c>
      <c r="D927" s="418"/>
    </row>
    <row r="928" spans="1:4" s="2" customFormat="1">
      <c r="A928" s="132" t="s">
        <v>1795</v>
      </c>
      <c r="B928" s="376" t="s">
        <v>1796</v>
      </c>
      <c r="C928" s="133"/>
      <c r="D928" s="418"/>
    </row>
    <row r="929" spans="1:4" s="2" customFormat="1">
      <c r="A929" s="30"/>
      <c r="B929" s="285" t="s">
        <v>1076</v>
      </c>
      <c r="C929" s="133" t="s">
        <v>1077</v>
      </c>
      <c r="D929" s="418"/>
    </row>
    <row r="930" spans="1:4" s="2" customFormat="1">
      <c r="A930" s="132" t="s">
        <v>1797</v>
      </c>
      <c r="B930" s="376" t="s">
        <v>1798</v>
      </c>
      <c r="C930" s="133"/>
      <c r="D930" s="418"/>
    </row>
    <row r="931" spans="1:4" s="2" customFormat="1">
      <c r="A931" s="132"/>
      <c r="B931" s="285" t="s">
        <v>1076</v>
      </c>
      <c r="C931" s="133" t="s">
        <v>1077</v>
      </c>
      <c r="D931" s="418"/>
    </row>
    <row r="932" spans="1:4" s="2" customFormat="1">
      <c r="A932" s="30" t="s">
        <v>1799</v>
      </c>
      <c r="B932" s="115" t="s">
        <v>1800</v>
      </c>
      <c r="C932" s="133"/>
      <c r="D932" s="418"/>
    </row>
    <row r="933" spans="1:4" s="2" customFormat="1" ht="92.45">
      <c r="A933" s="132"/>
      <c r="B933" s="285" t="s">
        <v>1801</v>
      </c>
      <c r="C933" s="133"/>
      <c r="D933" s="418"/>
    </row>
    <row r="934" spans="1:4" s="2" customFormat="1">
      <c r="A934" s="132"/>
      <c r="B934" s="285" t="s">
        <v>1028</v>
      </c>
      <c r="C934" s="133" t="s">
        <v>1029</v>
      </c>
      <c r="D934" s="418"/>
    </row>
    <row r="935" spans="1:4" s="2" customFormat="1">
      <c r="A935" s="30" t="s">
        <v>1802</v>
      </c>
      <c r="B935" s="31" t="s">
        <v>1803</v>
      </c>
      <c r="C935" s="18"/>
      <c r="D935" s="418"/>
    </row>
    <row r="936" spans="1:4" s="2" customFormat="1" ht="26.45">
      <c r="A936" s="111" t="s">
        <v>959</v>
      </c>
      <c r="B936" s="113" t="s">
        <v>1804</v>
      </c>
      <c r="C936" s="18"/>
      <c r="D936" s="418"/>
    </row>
    <row r="937" spans="1:4" s="2" customFormat="1">
      <c r="A937" s="132" t="s">
        <v>1805</v>
      </c>
      <c r="B937" s="132" t="s">
        <v>1806</v>
      </c>
      <c r="C937" s="18"/>
      <c r="D937" s="418"/>
    </row>
    <row r="938" spans="1:4" s="2" customFormat="1">
      <c r="A938" s="300"/>
      <c r="B938" s="285" t="s">
        <v>1028</v>
      </c>
      <c r="C938" s="18" t="s">
        <v>1029</v>
      </c>
      <c r="D938" s="418"/>
    </row>
    <row r="939" spans="1:4" s="2" customFormat="1">
      <c r="A939" s="132" t="s">
        <v>1807</v>
      </c>
      <c r="B939" s="132" t="s">
        <v>1808</v>
      </c>
      <c r="C939" s="18"/>
      <c r="D939" s="418"/>
    </row>
    <row r="940" spans="1:4" s="2" customFormat="1">
      <c r="A940" s="300"/>
      <c r="B940" s="285" t="s">
        <v>1028</v>
      </c>
      <c r="C940" s="18" t="s">
        <v>1029</v>
      </c>
      <c r="D940" s="418"/>
    </row>
    <row r="941" spans="1:4" s="2" customFormat="1">
      <c r="A941" s="132" t="s">
        <v>1809</v>
      </c>
      <c r="B941" s="132" t="s">
        <v>1810</v>
      </c>
      <c r="C941" s="18"/>
      <c r="D941" s="418"/>
    </row>
    <row r="942" spans="1:4" s="2" customFormat="1">
      <c r="A942" s="300"/>
      <c r="B942" s="285" t="s">
        <v>1028</v>
      </c>
      <c r="C942" s="18" t="s">
        <v>1029</v>
      </c>
      <c r="D942" s="418"/>
    </row>
    <row r="943" spans="1:4" s="2" customFormat="1">
      <c r="A943" s="132" t="s">
        <v>1811</v>
      </c>
      <c r="B943" s="132" t="s">
        <v>1812</v>
      </c>
      <c r="C943" s="18"/>
      <c r="D943" s="418"/>
    </row>
    <row r="944" spans="1:4" s="2" customFormat="1">
      <c r="A944" s="300"/>
      <c r="B944" s="285" t="s">
        <v>1028</v>
      </c>
      <c r="C944" s="18" t="s">
        <v>1029</v>
      </c>
      <c r="D944" s="418"/>
    </row>
    <row r="945" spans="1:4" s="2" customFormat="1">
      <c r="A945" s="132" t="s">
        <v>1813</v>
      </c>
      <c r="B945" s="132" t="s">
        <v>1814</v>
      </c>
      <c r="C945" s="18"/>
      <c r="D945" s="418"/>
    </row>
    <row r="946" spans="1:4" s="2" customFormat="1">
      <c r="A946" s="300"/>
      <c r="B946" s="285" t="s">
        <v>1028</v>
      </c>
      <c r="C946" s="18" t="s">
        <v>1029</v>
      </c>
      <c r="D946" s="418"/>
    </row>
    <row r="947" spans="1:4" s="2" customFormat="1">
      <c r="A947" s="132" t="s">
        <v>1815</v>
      </c>
      <c r="B947" s="132" t="s">
        <v>1816</v>
      </c>
      <c r="C947" s="18"/>
      <c r="D947" s="418"/>
    </row>
    <row r="948" spans="1:4" s="2" customFormat="1">
      <c r="A948" s="300"/>
      <c r="B948" s="285" t="s">
        <v>1028</v>
      </c>
      <c r="C948" s="18" t="s">
        <v>1029</v>
      </c>
      <c r="D948" s="418"/>
    </row>
    <row r="949" spans="1:4" s="2" customFormat="1">
      <c r="A949" s="132" t="s">
        <v>1817</v>
      </c>
      <c r="B949" s="132" t="s">
        <v>1818</v>
      </c>
      <c r="C949" s="18"/>
      <c r="D949" s="418"/>
    </row>
    <row r="950" spans="1:4" s="2" customFormat="1">
      <c r="A950" s="300"/>
      <c r="B950" s="285" t="s">
        <v>1028</v>
      </c>
      <c r="C950" s="18" t="s">
        <v>1029</v>
      </c>
      <c r="D950" s="418"/>
    </row>
    <row r="951" spans="1:4" s="2" customFormat="1">
      <c r="A951" s="132" t="s">
        <v>1819</v>
      </c>
      <c r="B951" s="132" t="s">
        <v>1820</v>
      </c>
      <c r="C951" s="18"/>
      <c r="D951" s="418"/>
    </row>
    <row r="952" spans="1:4" s="2" customFormat="1">
      <c r="A952" s="111" t="s">
        <v>959</v>
      </c>
      <c r="B952" s="285" t="s">
        <v>1028</v>
      </c>
      <c r="C952" s="18" t="s">
        <v>1029</v>
      </c>
      <c r="D952" s="418"/>
    </row>
    <row r="953" spans="1:4" s="2" customFormat="1">
      <c r="A953" s="132" t="s">
        <v>1821</v>
      </c>
      <c r="B953" s="132" t="s">
        <v>1822</v>
      </c>
      <c r="C953" s="18"/>
      <c r="D953" s="418"/>
    </row>
    <row r="954" spans="1:4" s="2" customFormat="1">
      <c r="A954" s="111" t="s">
        <v>959</v>
      </c>
      <c r="B954" s="285" t="s">
        <v>1028</v>
      </c>
      <c r="C954" s="18" t="s">
        <v>1029</v>
      </c>
      <c r="D954" s="418"/>
    </row>
    <row r="955" spans="1:4" s="2" customFormat="1">
      <c r="A955" s="132" t="s">
        <v>1823</v>
      </c>
      <c r="B955" s="132" t="s">
        <v>1824</v>
      </c>
      <c r="C955" s="18"/>
      <c r="D955" s="418"/>
    </row>
    <row r="956" spans="1:4" s="2" customFormat="1">
      <c r="A956" s="111" t="s">
        <v>959</v>
      </c>
      <c r="B956" s="285" t="s">
        <v>1028</v>
      </c>
      <c r="C956" s="18" t="s">
        <v>1029</v>
      </c>
      <c r="D956" s="418"/>
    </row>
    <row r="957" spans="1:4" s="2" customFormat="1">
      <c r="A957" s="132" t="s">
        <v>1825</v>
      </c>
      <c r="B957" s="132" t="s">
        <v>1826</v>
      </c>
      <c r="C957" s="18"/>
      <c r="D957" s="418"/>
    </row>
    <row r="958" spans="1:4" s="2" customFormat="1">
      <c r="A958" s="111" t="s">
        <v>959</v>
      </c>
      <c r="B958" s="285" t="s">
        <v>1028</v>
      </c>
      <c r="C958" s="18" t="s">
        <v>1029</v>
      </c>
      <c r="D958" s="418"/>
    </row>
    <row r="959" spans="1:4" s="2" customFormat="1">
      <c r="A959" s="132" t="s">
        <v>1827</v>
      </c>
      <c r="B959" s="132" t="s">
        <v>1828</v>
      </c>
      <c r="C959" s="18"/>
      <c r="D959" s="418"/>
    </row>
    <row r="960" spans="1:4" s="2" customFormat="1">
      <c r="A960" s="111" t="s">
        <v>959</v>
      </c>
      <c r="B960" s="285" t="s">
        <v>1028</v>
      </c>
      <c r="C960" s="18" t="s">
        <v>1029</v>
      </c>
      <c r="D960" s="418"/>
    </row>
    <row r="961" spans="1:4" s="2" customFormat="1">
      <c r="A961" s="132" t="s">
        <v>1829</v>
      </c>
      <c r="B961" s="132" t="s">
        <v>1830</v>
      </c>
      <c r="C961" s="18"/>
      <c r="D961" s="418"/>
    </row>
    <row r="962" spans="1:4" s="2" customFormat="1">
      <c r="A962" s="111" t="s">
        <v>959</v>
      </c>
      <c r="B962" s="285" t="s">
        <v>1028</v>
      </c>
      <c r="C962" s="18" t="s">
        <v>1029</v>
      </c>
      <c r="D962" s="418"/>
    </row>
    <row r="963" spans="1:4" s="2" customFormat="1">
      <c r="A963" s="30" t="s">
        <v>1831</v>
      </c>
      <c r="B963" s="31" t="s">
        <v>1832</v>
      </c>
      <c r="C963" s="18"/>
      <c r="D963" s="418"/>
    </row>
    <row r="964" spans="1:4" s="2" customFormat="1" ht="26.45">
      <c r="A964" s="30"/>
      <c r="B964" s="94" t="s">
        <v>1833</v>
      </c>
      <c r="C964" s="18"/>
      <c r="D964" s="418"/>
    </row>
    <row r="965" spans="1:4" s="2" customFormat="1">
      <c r="A965" s="30"/>
      <c r="B965" s="94" t="s">
        <v>1834</v>
      </c>
      <c r="C965" s="18"/>
      <c r="D965" s="418"/>
    </row>
    <row r="966" spans="1:4" s="2" customFormat="1">
      <c r="A966" s="30"/>
      <c r="B966" s="94" t="s">
        <v>1835</v>
      </c>
      <c r="C966" s="18"/>
      <c r="D966" s="418"/>
    </row>
    <row r="967" spans="1:4" s="2" customFormat="1">
      <c r="A967" s="30"/>
      <c r="B967" s="94" t="s">
        <v>1836</v>
      </c>
      <c r="C967" s="18"/>
      <c r="D967" s="418"/>
    </row>
    <row r="968" spans="1:4" s="2" customFormat="1">
      <c r="A968" s="30"/>
      <c r="B968" s="94" t="s">
        <v>1837</v>
      </c>
      <c r="C968" s="18"/>
      <c r="D968" s="418"/>
    </row>
    <row r="969" spans="1:4" s="2" customFormat="1">
      <c r="A969" s="30"/>
      <c r="B969" s="94" t="s">
        <v>1838</v>
      </c>
      <c r="C969" s="18"/>
      <c r="D969" s="418"/>
    </row>
    <row r="970" spans="1:4" s="2" customFormat="1">
      <c r="A970" s="30"/>
      <c r="B970" s="94" t="s">
        <v>1839</v>
      </c>
      <c r="C970" s="18"/>
      <c r="D970" s="418"/>
    </row>
    <row r="971" spans="1:4" s="2" customFormat="1">
      <c r="A971" s="30"/>
      <c r="B971" s="31" t="s">
        <v>1231</v>
      </c>
      <c r="C971" s="18" t="s">
        <v>1262</v>
      </c>
      <c r="D971" s="418"/>
    </row>
    <row r="972" spans="1:4" s="2" customFormat="1">
      <c r="A972" s="30" t="s">
        <v>1840</v>
      </c>
      <c r="B972" s="31" t="s">
        <v>1841</v>
      </c>
      <c r="C972" s="18"/>
      <c r="D972" s="418"/>
    </row>
    <row r="973" spans="1:4" s="2" customFormat="1" ht="26.45">
      <c r="A973" s="30"/>
      <c r="B973" s="94" t="s">
        <v>1842</v>
      </c>
      <c r="C973" s="18"/>
      <c r="D973" s="418"/>
    </row>
    <row r="974" spans="1:4" s="2" customFormat="1">
      <c r="A974" s="30"/>
      <c r="B974" s="94" t="s">
        <v>1834</v>
      </c>
      <c r="C974" s="18"/>
      <c r="D974" s="418"/>
    </row>
    <row r="975" spans="1:4" s="2" customFormat="1">
      <c r="A975" s="30"/>
      <c r="B975" s="94" t="s">
        <v>1835</v>
      </c>
      <c r="C975" s="18"/>
      <c r="D975" s="418"/>
    </row>
    <row r="976" spans="1:4" s="2" customFormat="1">
      <c r="A976" s="30"/>
      <c r="B976" s="94" t="s">
        <v>1836</v>
      </c>
      <c r="C976" s="18"/>
      <c r="D976" s="418"/>
    </row>
    <row r="977" spans="1:4" s="2" customFormat="1">
      <c r="A977" s="30"/>
      <c r="B977" s="94" t="s">
        <v>1843</v>
      </c>
      <c r="C977" s="18"/>
      <c r="D977" s="418"/>
    </row>
    <row r="978" spans="1:4" s="2" customFormat="1">
      <c r="A978" s="30"/>
      <c r="B978" s="94" t="s">
        <v>1838</v>
      </c>
      <c r="C978" s="18"/>
      <c r="D978" s="418"/>
    </row>
    <row r="979" spans="1:4" s="2" customFormat="1">
      <c r="A979" s="30"/>
      <c r="B979" s="94" t="s">
        <v>1839</v>
      </c>
      <c r="C979" s="18"/>
      <c r="D979" s="418"/>
    </row>
    <row r="980" spans="1:4" s="2" customFormat="1">
      <c r="A980" s="55" t="s">
        <v>1844</v>
      </c>
      <c r="B980" s="226" t="s">
        <v>1845</v>
      </c>
      <c r="C980" s="18"/>
      <c r="D980" s="418"/>
    </row>
    <row r="981" spans="1:4" s="2" customFormat="1">
      <c r="A981" s="30"/>
      <c r="B981" s="267" t="s">
        <v>1231</v>
      </c>
      <c r="C981" s="18" t="s">
        <v>1262</v>
      </c>
      <c r="D981" s="418"/>
    </row>
    <row r="982" spans="1:4" s="2" customFormat="1">
      <c r="A982" s="55" t="s">
        <v>1846</v>
      </c>
      <c r="B982" s="77" t="s">
        <v>1847</v>
      </c>
      <c r="C982" s="18"/>
      <c r="D982" s="418"/>
    </row>
    <row r="983" spans="1:4" s="2" customFormat="1">
      <c r="A983" s="286"/>
      <c r="B983" s="267" t="s">
        <v>1231</v>
      </c>
      <c r="C983" s="18" t="s">
        <v>1262</v>
      </c>
      <c r="D983" s="418"/>
    </row>
    <row r="984" spans="1:4" s="2" customFormat="1">
      <c r="A984" s="286"/>
      <c r="B984" s="369" t="s">
        <v>1231</v>
      </c>
      <c r="C984" s="18" t="s">
        <v>1262</v>
      </c>
      <c r="D984" s="418"/>
    </row>
    <row r="985" spans="1:4" s="2" customFormat="1" ht="17.25" customHeight="1">
      <c r="A985" s="30" t="s">
        <v>1848</v>
      </c>
      <c r="B985" s="377" t="s">
        <v>1849</v>
      </c>
      <c r="C985" s="18"/>
      <c r="D985" s="418"/>
    </row>
    <row r="986" spans="1:4" s="2" customFormat="1" ht="140.25" customHeight="1">
      <c r="A986" s="286"/>
      <c r="B986" s="378" t="s">
        <v>1850</v>
      </c>
      <c r="C986" s="18"/>
      <c r="D986" s="418"/>
    </row>
    <row r="987" spans="1:4" s="2" customFormat="1">
      <c r="A987" s="286"/>
      <c r="B987" s="369" t="s">
        <v>1231</v>
      </c>
      <c r="C987" s="18" t="s">
        <v>1262</v>
      </c>
      <c r="D987" s="418"/>
    </row>
    <row r="988" spans="1:4" s="2" customFormat="1" ht="18" customHeight="1">
      <c r="A988" s="30" t="s">
        <v>1851</v>
      </c>
      <c r="B988" s="377" t="s">
        <v>1852</v>
      </c>
      <c r="C988" s="18"/>
      <c r="D988" s="418"/>
    </row>
    <row r="989" spans="1:4" s="2" customFormat="1" ht="138" customHeight="1">
      <c r="A989" s="286"/>
      <c r="B989" s="378" t="s">
        <v>1850</v>
      </c>
      <c r="C989" s="18"/>
      <c r="D989" s="418"/>
    </row>
    <row r="990" spans="1:4" s="2" customFormat="1">
      <c r="A990" s="286"/>
      <c r="B990" s="369" t="s">
        <v>1231</v>
      </c>
      <c r="C990" s="18" t="s">
        <v>1262</v>
      </c>
      <c r="D990" s="418"/>
    </row>
    <row r="991" spans="1:4" s="2" customFormat="1">
      <c r="A991" s="30" t="s">
        <v>1853</v>
      </c>
      <c r="B991" s="68" t="s">
        <v>1854</v>
      </c>
      <c r="C991" s="18"/>
      <c r="D991" s="418"/>
    </row>
    <row r="992" spans="1:4" s="2" customFormat="1" ht="39.6">
      <c r="A992" s="30"/>
      <c r="B992" s="267" t="s">
        <v>1855</v>
      </c>
      <c r="C992" s="18"/>
      <c r="D992" s="418"/>
    </row>
    <row r="993" spans="1:4" s="2" customFormat="1">
      <c r="A993" s="30"/>
      <c r="B993" s="267" t="s">
        <v>1028</v>
      </c>
      <c r="C993" s="131" t="s">
        <v>1029</v>
      </c>
      <c r="D993" s="418"/>
    </row>
    <row r="994" spans="1:4" s="2" customFormat="1">
      <c r="A994" s="30" t="s">
        <v>1856</v>
      </c>
      <c r="B994" s="31" t="s">
        <v>1857</v>
      </c>
      <c r="C994" s="131"/>
      <c r="D994" s="418"/>
    </row>
    <row r="995" spans="1:4" s="2" customFormat="1" ht="52.9">
      <c r="A995" s="30"/>
      <c r="B995" s="267" t="s">
        <v>1858</v>
      </c>
      <c r="C995" s="131"/>
      <c r="D995" s="418"/>
    </row>
    <row r="996" spans="1:4" s="2" customFormat="1">
      <c r="A996" s="30"/>
      <c r="B996" s="267" t="s">
        <v>1076</v>
      </c>
      <c r="C996" s="131" t="s">
        <v>1077</v>
      </c>
      <c r="D996" s="418"/>
    </row>
    <row r="997" spans="1:4" s="2" customFormat="1">
      <c r="A997" s="30" t="s">
        <v>1859</v>
      </c>
      <c r="B997" s="31" t="s">
        <v>1860</v>
      </c>
      <c r="C997" s="131"/>
      <c r="D997" s="418"/>
    </row>
    <row r="998" spans="1:4" s="2" customFormat="1" ht="79.150000000000006">
      <c r="A998" s="30"/>
      <c r="B998" s="267" t="s">
        <v>1861</v>
      </c>
      <c r="C998" s="131"/>
      <c r="D998" s="418"/>
    </row>
    <row r="999" spans="1:4" s="2" customFormat="1">
      <c r="A999" s="30"/>
      <c r="B999" s="267" t="s">
        <v>1028</v>
      </c>
      <c r="C999" s="131" t="s">
        <v>1029</v>
      </c>
      <c r="D999" s="418"/>
    </row>
    <row r="1000" spans="1:4" s="2" customFormat="1">
      <c r="A1000" s="30" t="s">
        <v>1862</v>
      </c>
      <c r="B1000" s="127" t="s">
        <v>1863</v>
      </c>
      <c r="C1000" s="128"/>
      <c r="D1000" s="418"/>
    </row>
    <row r="1001" spans="1:4" s="2" customFormat="1">
      <c r="A1001" s="55"/>
      <c r="B1001" s="267" t="s">
        <v>1864</v>
      </c>
      <c r="C1001" s="129"/>
      <c r="D1001" s="418"/>
    </row>
    <row r="1002" spans="1:4" s="2" customFormat="1">
      <c r="A1002" s="55"/>
      <c r="B1002" s="267" t="s">
        <v>1541</v>
      </c>
      <c r="C1002" s="129"/>
      <c r="D1002" s="418"/>
    </row>
    <row r="1003" spans="1:4" s="2" customFormat="1">
      <c r="A1003" s="111" t="s">
        <v>959</v>
      </c>
      <c r="B1003" s="267" t="s">
        <v>1542</v>
      </c>
      <c r="C1003" s="129" t="s">
        <v>959</v>
      </c>
      <c r="D1003" s="418"/>
    </row>
    <row r="1004" spans="1:4" s="2" customFormat="1">
      <c r="A1004" s="111"/>
      <c r="B1004" s="267" t="s">
        <v>1543</v>
      </c>
      <c r="C1004" s="129"/>
      <c r="D1004" s="418"/>
    </row>
    <row r="1005" spans="1:4" s="2" customFormat="1" ht="26.45">
      <c r="A1005" s="111"/>
      <c r="B1005" s="267" t="s">
        <v>1865</v>
      </c>
      <c r="C1005" s="129"/>
      <c r="D1005" s="418"/>
    </row>
    <row r="1006" spans="1:4" s="2" customFormat="1" ht="26.45">
      <c r="A1006" s="111"/>
      <c r="B1006" s="267" t="s">
        <v>1866</v>
      </c>
      <c r="C1006" s="129"/>
      <c r="D1006" s="418"/>
    </row>
    <row r="1007" spans="1:4" s="2" customFormat="1">
      <c r="A1007" s="111" t="s">
        <v>959</v>
      </c>
      <c r="B1007" s="267" t="s">
        <v>1547</v>
      </c>
      <c r="C1007" s="129" t="s">
        <v>959</v>
      </c>
      <c r="D1007" s="418"/>
    </row>
    <row r="1008" spans="1:4" s="3" customFormat="1">
      <c r="A1008" s="130"/>
      <c r="B1008" s="136" t="s">
        <v>1028</v>
      </c>
      <c r="C1008" s="131" t="s">
        <v>1029</v>
      </c>
      <c r="D1008" s="418"/>
    </row>
    <row r="1009" spans="1:4" s="3" customFormat="1">
      <c r="A1009" s="30" t="s">
        <v>1867</v>
      </c>
      <c r="B1009" s="127" t="s">
        <v>1868</v>
      </c>
      <c r="C1009" s="128"/>
      <c r="D1009" s="418"/>
    </row>
    <row r="1010" spans="1:4" s="3" customFormat="1">
      <c r="A1010" s="55"/>
      <c r="B1010" s="267" t="s">
        <v>1869</v>
      </c>
      <c r="C1010" s="129"/>
      <c r="D1010" s="418"/>
    </row>
    <row r="1011" spans="1:4" s="3" customFormat="1">
      <c r="A1011" s="55"/>
      <c r="B1011" s="267" t="s">
        <v>1541</v>
      </c>
      <c r="C1011" s="129"/>
      <c r="D1011" s="418"/>
    </row>
    <row r="1012" spans="1:4" s="8" customFormat="1">
      <c r="A1012" s="111" t="s">
        <v>959</v>
      </c>
      <c r="B1012" s="267" t="s">
        <v>1542</v>
      </c>
      <c r="C1012" s="129" t="s">
        <v>959</v>
      </c>
      <c r="D1012" s="418"/>
    </row>
    <row r="1013" spans="1:4" s="3" customFormat="1">
      <c r="A1013" s="111"/>
      <c r="B1013" s="267" t="s">
        <v>1543</v>
      </c>
      <c r="C1013" s="129"/>
      <c r="D1013" s="418"/>
    </row>
    <row r="1014" spans="1:4" s="3" customFormat="1" ht="26.45">
      <c r="A1014" s="111"/>
      <c r="B1014" s="267" t="s">
        <v>1865</v>
      </c>
      <c r="C1014" s="129"/>
      <c r="D1014" s="418"/>
    </row>
    <row r="1015" spans="1:4" s="3" customFormat="1" ht="26.45">
      <c r="A1015" s="111"/>
      <c r="B1015" s="267" t="s">
        <v>1870</v>
      </c>
      <c r="C1015" s="129"/>
      <c r="D1015" s="418"/>
    </row>
    <row r="1016" spans="1:4" s="2" customFormat="1" ht="14.25" customHeight="1">
      <c r="A1016" s="111" t="s">
        <v>959</v>
      </c>
      <c r="B1016" s="267" t="s">
        <v>1547</v>
      </c>
      <c r="C1016" s="129" t="s">
        <v>959</v>
      </c>
      <c r="D1016" s="418"/>
    </row>
    <row r="1017" spans="1:4" s="2" customFormat="1">
      <c r="A1017" s="130"/>
      <c r="B1017" s="136" t="s">
        <v>1028</v>
      </c>
      <c r="C1017" s="131" t="s">
        <v>1029</v>
      </c>
      <c r="D1017" s="418"/>
    </row>
    <row r="1018" spans="1:4" s="2" customFormat="1">
      <c r="A1018" s="30" t="s">
        <v>1871</v>
      </c>
      <c r="B1018" s="127" t="s">
        <v>1872</v>
      </c>
      <c r="C1018" s="128"/>
      <c r="D1018" s="418"/>
    </row>
    <row r="1019" spans="1:4" s="2" customFormat="1">
      <c r="A1019" s="55"/>
      <c r="B1019" s="267" t="s">
        <v>1873</v>
      </c>
      <c r="C1019" s="129"/>
      <c r="D1019" s="418"/>
    </row>
    <row r="1020" spans="1:4" s="2" customFormat="1">
      <c r="A1020" s="55"/>
      <c r="B1020" s="267" t="s">
        <v>1541</v>
      </c>
      <c r="C1020" s="129"/>
      <c r="D1020" s="418"/>
    </row>
    <row r="1021" spans="1:4" s="2" customFormat="1">
      <c r="A1021" s="111" t="s">
        <v>959</v>
      </c>
      <c r="B1021" s="267" t="s">
        <v>1542</v>
      </c>
      <c r="C1021" s="129" t="s">
        <v>959</v>
      </c>
      <c r="D1021" s="418"/>
    </row>
    <row r="1022" spans="1:4" s="2" customFormat="1">
      <c r="A1022" s="111"/>
      <c r="B1022" s="267" t="s">
        <v>1543</v>
      </c>
      <c r="C1022" s="129"/>
      <c r="D1022" s="418"/>
    </row>
    <row r="1023" spans="1:4" s="3" customFormat="1" ht="26.45">
      <c r="A1023" s="111"/>
      <c r="B1023" s="267" t="s">
        <v>1865</v>
      </c>
      <c r="C1023" s="129"/>
      <c r="D1023" s="418"/>
    </row>
    <row r="1024" spans="1:4" s="3" customFormat="1" ht="26.45">
      <c r="A1024" s="111"/>
      <c r="B1024" s="267" t="s">
        <v>1874</v>
      </c>
      <c r="C1024" s="129"/>
      <c r="D1024" s="418"/>
    </row>
    <row r="1025" spans="1:4" s="3" customFormat="1">
      <c r="A1025" s="111" t="s">
        <v>959</v>
      </c>
      <c r="B1025" s="267" t="s">
        <v>1547</v>
      </c>
      <c r="C1025" s="129" t="s">
        <v>959</v>
      </c>
      <c r="D1025" s="418"/>
    </row>
    <row r="1026" spans="1:4" s="3" customFormat="1">
      <c r="A1026" s="130"/>
      <c r="B1026" s="136" t="s">
        <v>1028</v>
      </c>
      <c r="C1026" s="131" t="s">
        <v>1029</v>
      </c>
      <c r="D1026" s="418"/>
    </row>
    <row r="1027" spans="1:4" s="3" customFormat="1">
      <c r="A1027" s="30" t="s">
        <v>1875</v>
      </c>
      <c r="B1027" s="31" t="s">
        <v>1876</v>
      </c>
      <c r="C1027" s="131"/>
      <c r="D1027" s="418"/>
    </row>
    <row r="1028" spans="1:4" s="3" customFormat="1" ht="132">
      <c r="A1028" s="130"/>
      <c r="B1028" s="267" t="s">
        <v>1877</v>
      </c>
      <c r="C1028" s="131"/>
      <c r="D1028" s="418"/>
    </row>
    <row r="1029" spans="1:4" s="3" customFormat="1">
      <c r="A1029" s="130"/>
      <c r="B1029" s="136" t="s">
        <v>1028</v>
      </c>
      <c r="C1029" s="131" t="s">
        <v>1029</v>
      </c>
      <c r="D1029" s="418"/>
    </row>
    <row r="1030" spans="1:4" s="3" customFormat="1">
      <c r="A1030" s="30" t="s">
        <v>1878</v>
      </c>
      <c r="B1030" s="31" t="s">
        <v>1879</v>
      </c>
      <c r="C1030" s="131"/>
      <c r="D1030" s="418"/>
    </row>
    <row r="1031" spans="1:4" s="3" customFormat="1" ht="39.6">
      <c r="A1031" s="130"/>
      <c r="B1031" s="267" t="s">
        <v>1880</v>
      </c>
      <c r="C1031" s="131"/>
      <c r="D1031" s="418"/>
    </row>
    <row r="1032" spans="1:4" s="3" customFormat="1">
      <c r="A1032" s="130"/>
      <c r="B1032" s="136" t="s">
        <v>1028</v>
      </c>
      <c r="C1032" s="131" t="s">
        <v>1029</v>
      </c>
      <c r="D1032" s="418"/>
    </row>
    <row r="1033" spans="1:4" s="2" customFormat="1">
      <c r="A1033" s="22" t="s">
        <v>1881</v>
      </c>
      <c r="B1033" s="23" t="s">
        <v>1882</v>
      </c>
      <c r="C1033" s="24"/>
      <c r="D1033" s="255"/>
    </row>
    <row r="1034" spans="1:4" s="73" customFormat="1">
      <c r="A1034" s="37" t="s">
        <v>52</v>
      </c>
      <c r="B1034" s="38" t="s">
        <v>1883</v>
      </c>
      <c r="C1034" s="27"/>
      <c r="D1034" s="424"/>
    </row>
    <row r="1035" spans="1:4" s="73" customFormat="1">
      <c r="A1035" s="111" t="s">
        <v>959</v>
      </c>
      <c r="B1035" s="267" t="s">
        <v>1884</v>
      </c>
      <c r="C1035" s="18" t="s">
        <v>959</v>
      </c>
      <c r="D1035" s="418"/>
    </row>
    <row r="1036" spans="1:4" s="73" customFormat="1">
      <c r="A1036" s="111"/>
      <c r="B1036" s="267" t="s">
        <v>998</v>
      </c>
      <c r="C1036" s="18" t="s">
        <v>999</v>
      </c>
      <c r="D1036" s="418"/>
    </row>
    <row r="1037" spans="1:4" s="73" customFormat="1">
      <c r="A1037" s="30" t="s">
        <v>53</v>
      </c>
      <c r="B1037" s="227" t="s">
        <v>1885</v>
      </c>
      <c r="C1037" s="18"/>
      <c r="D1037" s="418"/>
    </row>
    <row r="1038" spans="1:4" s="73" customFormat="1" ht="16.149999999999999">
      <c r="A1038" s="228"/>
      <c r="B1038" s="301" t="s">
        <v>1886</v>
      </c>
      <c r="C1038" s="468"/>
      <c r="D1038" s="425"/>
    </row>
    <row r="1039" spans="1:4" s="73" customFormat="1" ht="16.149999999999999">
      <c r="A1039" s="228"/>
      <c r="B1039" s="302" t="s">
        <v>1887</v>
      </c>
      <c r="C1039" s="468"/>
      <c r="D1039" s="425"/>
    </row>
    <row r="1040" spans="1:4" s="73" customFormat="1" ht="16.149999999999999">
      <c r="A1040" s="228"/>
      <c r="B1040" s="302" t="s">
        <v>1888</v>
      </c>
      <c r="C1040" s="468"/>
      <c r="D1040" s="425"/>
    </row>
    <row r="1041" spans="1:4" s="73" customFormat="1" ht="16.149999999999999">
      <c r="A1041" s="228"/>
      <c r="B1041" s="302" t="s">
        <v>1889</v>
      </c>
      <c r="C1041" s="468"/>
      <c r="D1041" s="425"/>
    </row>
    <row r="1042" spans="1:4" s="73" customFormat="1">
      <c r="A1042" s="132" t="s">
        <v>1890</v>
      </c>
      <c r="B1042" s="132" t="s">
        <v>1891</v>
      </c>
      <c r="C1042" s="18"/>
      <c r="D1042" s="418"/>
    </row>
    <row r="1043" spans="1:4" s="73" customFormat="1">
      <c r="A1043" s="111"/>
      <c r="B1043" s="267" t="s">
        <v>1076</v>
      </c>
      <c r="C1043" s="18" t="s">
        <v>1077</v>
      </c>
      <c r="D1043" s="418"/>
    </row>
    <row r="1044" spans="1:4" s="73" customFormat="1">
      <c r="A1044" s="132" t="s">
        <v>1892</v>
      </c>
      <c r="B1044" s="132" t="s">
        <v>1893</v>
      </c>
      <c r="C1044" s="18"/>
      <c r="D1044" s="418"/>
    </row>
    <row r="1045" spans="1:4" s="73" customFormat="1">
      <c r="A1045" s="111"/>
      <c r="B1045" s="267" t="s">
        <v>1231</v>
      </c>
      <c r="C1045" s="18" t="s">
        <v>1262</v>
      </c>
      <c r="D1045" s="418"/>
    </row>
    <row r="1046" spans="1:4" s="73" customFormat="1">
      <c r="A1046" s="132" t="s">
        <v>1894</v>
      </c>
      <c r="B1046" s="132" t="s">
        <v>1895</v>
      </c>
      <c r="C1046" s="18"/>
      <c r="D1046" s="418"/>
    </row>
    <row r="1047" spans="1:4" s="2" customFormat="1">
      <c r="A1047" s="111"/>
      <c r="B1047" s="267" t="s">
        <v>1028</v>
      </c>
      <c r="C1047" s="18" t="s">
        <v>1029</v>
      </c>
      <c r="D1047" s="418"/>
    </row>
    <row r="1048" spans="1:4" s="3" customFormat="1">
      <c r="A1048" s="30" t="s">
        <v>54</v>
      </c>
      <c r="B1048" s="31" t="s">
        <v>1896</v>
      </c>
      <c r="C1048" s="18"/>
      <c r="D1048" s="418"/>
    </row>
    <row r="1049" spans="1:4" s="2" customFormat="1" ht="26.45">
      <c r="A1049" s="111" t="s">
        <v>959</v>
      </c>
      <c r="B1049" s="267" t="s">
        <v>1897</v>
      </c>
      <c r="C1049" s="18" t="s">
        <v>959</v>
      </c>
      <c r="D1049" s="418"/>
    </row>
    <row r="1050" spans="1:4" s="2" customFormat="1">
      <c r="A1050" s="111" t="s">
        <v>959</v>
      </c>
      <c r="B1050" s="267" t="s">
        <v>1898</v>
      </c>
      <c r="C1050" s="18" t="s">
        <v>959</v>
      </c>
      <c r="D1050" s="418"/>
    </row>
    <row r="1051" spans="1:4" s="2" customFormat="1">
      <c r="A1051" s="111" t="s">
        <v>959</v>
      </c>
      <c r="B1051" s="267" t="s">
        <v>1899</v>
      </c>
      <c r="C1051" s="18" t="s">
        <v>959</v>
      </c>
      <c r="D1051" s="418"/>
    </row>
    <row r="1052" spans="1:4" s="2" customFormat="1">
      <c r="A1052" s="132" t="s">
        <v>1900</v>
      </c>
      <c r="B1052" s="132" t="s">
        <v>1901</v>
      </c>
      <c r="C1052" s="18"/>
      <c r="D1052" s="418"/>
    </row>
    <row r="1053" spans="1:4" s="2" customFormat="1">
      <c r="A1053" s="111"/>
      <c r="B1053" s="267" t="s">
        <v>1076</v>
      </c>
      <c r="C1053" s="18" t="s">
        <v>1077</v>
      </c>
      <c r="D1053" s="418"/>
    </row>
    <row r="1054" spans="1:4" s="3" customFormat="1">
      <c r="A1054" s="132" t="s">
        <v>1902</v>
      </c>
      <c r="B1054" s="132" t="s">
        <v>1903</v>
      </c>
      <c r="C1054" s="18"/>
      <c r="D1054" s="418"/>
    </row>
    <row r="1055" spans="1:4" s="2" customFormat="1">
      <c r="A1055" s="111"/>
      <c r="B1055" s="267" t="s">
        <v>1231</v>
      </c>
      <c r="C1055" s="18" t="s">
        <v>1262</v>
      </c>
      <c r="D1055" s="418"/>
    </row>
    <row r="1056" spans="1:4" s="2" customFormat="1">
      <c r="A1056" s="132" t="s">
        <v>1904</v>
      </c>
      <c r="B1056" s="132" t="s">
        <v>1905</v>
      </c>
      <c r="C1056" s="18"/>
      <c r="D1056" s="418"/>
    </row>
    <row r="1057" spans="1:4" s="2" customFormat="1">
      <c r="A1057" s="111"/>
      <c r="B1057" s="267" t="s">
        <v>1028</v>
      </c>
      <c r="C1057" s="18" t="s">
        <v>1029</v>
      </c>
      <c r="D1057" s="418"/>
    </row>
    <row r="1058" spans="1:4" s="2" customFormat="1">
      <c r="A1058" s="30" t="s">
        <v>55</v>
      </c>
      <c r="B1058" s="31" t="s">
        <v>1906</v>
      </c>
      <c r="C1058" s="18"/>
      <c r="D1058" s="418"/>
    </row>
    <row r="1059" spans="1:4" s="2" customFormat="1" ht="26.45">
      <c r="A1059" s="111"/>
      <c r="B1059" s="267" t="s">
        <v>1907</v>
      </c>
      <c r="C1059" s="18" t="s">
        <v>959</v>
      </c>
      <c r="D1059" s="418"/>
    </row>
    <row r="1060" spans="1:4" s="2" customFormat="1">
      <c r="A1060" s="111" t="s">
        <v>959</v>
      </c>
      <c r="B1060" s="267" t="s">
        <v>1887</v>
      </c>
      <c r="C1060" s="18" t="s">
        <v>959</v>
      </c>
      <c r="D1060" s="418"/>
    </row>
    <row r="1061" spans="1:4" s="2" customFormat="1">
      <c r="A1061" s="111" t="s">
        <v>959</v>
      </c>
      <c r="B1061" s="267" t="s">
        <v>1888</v>
      </c>
      <c r="C1061" s="18" t="s">
        <v>959</v>
      </c>
      <c r="D1061" s="418"/>
    </row>
    <row r="1062" spans="1:4" s="2" customFormat="1">
      <c r="A1062" s="111" t="s">
        <v>959</v>
      </c>
      <c r="B1062" s="267" t="s">
        <v>1889</v>
      </c>
      <c r="C1062" s="18" t="s">
        <v>959</v>
      </c>
      <c r="D1062" s="418"/>
    </row>
    <row r="1063" spans="1:4" s="2" customFormat="1">
      <c r="A1063" s="55" t="s">
        <v>1908</v>
      </c>
      <c r="B1063" s="77" t="s">
        <v>1909</v>
      </c>
      <c r="C1063" s="18"/>
      <c r="D1063" s="418"/>
    </row>
    <row r="1064" spans="1:4" s="2" customFormat="1">
      <c r="A1064" s="111"/>
      <c r="B1064" s="267" t="s">
        <v>1076</v>
      </c>
      <c r="C1064" s="18" t="s">
        <v>1077</v>
      </c>
      <c r="D1064" s="418"/>
    </row>
    <row r="1065" spans="1:4" s="2" customFormat="1" ht="29.25" customHeight="1">
      <c r="A1065" s="55" t="s">
        <v>1910</v>
      </c>
      <c r="B1065" s="77" t="s">
        <v>1911</v>
      </c>
      <c r="C1065" s="18"/>
      <c r="D1065" s="418"/>
    </row>
    <row r="1066" spans="1:4" s="2" customFormat="1">
      <c r="A1066" s="111"/>
      <c r="B1066" s="267" t="s">
        <v>1076</v>
      </c>
      <c r="C1066" s="18" t="s">
        <v>1077</v>
      </c>
      <c r="D1066" s="418"/>
    </row>
    <row r="1067" spans="1:4" s="2" customFormat="1">
      <c r="A1067" s="55" t="s">
        <v>1912</v>
      </c>
      <c r="B1067" s="77" t="s">
        <v>1913</v>
      </c>
      <c r="C1067" s="18"/>
      <c r="D1067" s="418"/>
    </row>
    <row r="1068" spans="1:4" s="2" customFormat="1">
      <c r="A1068" s="111"/>
      <c r="B1068" s="267" t="s">
        <v>1076</v>
      </c>
      <c r="C1068" s="18" t="s">
        <v>1077</v>
      </c>
      <c r="D1068" s="418"/>
    </row>
    <row r="1069" spans="1:4" s="2" customFormat="1">
      <c r="A1069" s="55" t="s">
        <v>1914</v>
      </c>
      <c r="B1069" s="77" t="s">
        <v>1915</v>
      </c>
      <c r="C1069" s="18"/>
      <c r="D1069" s="418"/>
    </row>
    <row r="1070" spans="1:4" s="2" customFormat="1">
      <c r="A1070" s="111"/>
      <c r="B1070" s="267" t="s">
        <v>1076</v>
      </c>
      <c r="C1070" s="18" t="s">
        <v>1077</v>
      </c>
      <c r="D1070" s="418"/>
    </row>
    <row r="1071" spans="1:4" s="2" customFormat="1">
      <c r="A1071" s="55" t="s">
        <v>1916</v>
      </c>
      <c r="B1071" s="77" t="s">
        <v>1917</v>
      </c>
      <c r="C1071" s="18"/>
      <c r="D1071" s="418"/>
    </row>
    <row r="1072" spans="1:4" s="2" customFormat="1">
      <c r="A1072" s="111"/>
      <c r="B1072" s="267" t="s">
        <v>1076</v>
      </c>
      <c r="C1072" s="18" t="s">
        <v>1077</v>
      </c>
      <c r="D1072" s="418"/>
    </row>
    <row r="1073" spans="1:4" s="75" customFormat="1">
      <c r="A1073" s="55" t="s">
        <v>1918</v>
      </c>
      <c r="B1073" s="77" t="s">
        <v>1919</v>
      </c>
      <c r="C1073" s="18"/>
      <c r="D1073" s="418"/>
    </row>
    <row r="1074" spans="1:4" s="75" customFormat="1">
      <c r="A1074" s="111"/>
      <c r="B1074" s="267" t="s">
        <v>1076</v>
      </c>
      <c r="C1074" s="18" t="s">
        <v>1077</v>
      </c>
      <c r="D1074" s="418"/>
    </row>
    <row r="1075" spans="1:4" s="75" customFormat="1">
      <c r="A1075" s="55" t="s">
        <v>1920</v>
      </c>
      <c r="B1075" s="77" t="s">
        <v>1921</v>
      </c>
      <c r="C1075" s="18"/>
      <c r="D1075" s="418"/>
    </row>
    <row r="1076" spans="1:4" s="75" customFormat="1">
      <c r="A1076" s="111" t="s">
        <v>959</v>
      </c>
      <c r="B1076" s="267" t="s">
        <v>1028</v>
      </c>
      <c r="C1076" s="18" t="s">
        <v>1029</v>
      </c>
      <c r="D1076" s="418"/>
    </row>
    <row r="1077" spans="1:4" s="2" customFormat="1">
      <c r="A1077" s="55" t="s">
        <v>1922</v>
      </c>
      <c r="B1077" s="77" t="s">
        <v>1923</v>
      </c>
      <c r="C1077" s="18"/>
      <c r="D1077" s="418"/>
    </row>
    <row r="1078" spans="1:4" s="2" customFormat="1">
      <c r="A1078" s="111" t="s">
        <v>959</v>
      </c>
      <c r="B1078" s="267" t="s">
        <v>1231</v>
      </c>
      <c r="C1078" s="18" t="s">
        <v>1262</v>
      </c>
      <c r="D1078" s="418"/>
    </row>
    <row r="1079" spans="1:4" s="2" customFormat="1">
      <c r="A1079" s="55" t="s">
        <v>1924</v>
      </c>
      <c r="B1079" s="77" t="s">
        <v>1925</v>
      </c>
      <c r="C1079" s="18"/>
      <c r="D1079" s="418"/>
    </row>
    <row r="1080" spans="1:4" s="2" customFormat="1">
      <c r="A1080" s="111" t="s">
        <v>959</v>
      </c>
      <c r="B1080" s="267" t="s">
        <v>1028</v>
      </c>
      <c r="C1080" s="18" t="s">
        <v>1029</v>
      </c>
      <c r="D1080" s="418"/>
    </row>
    <row r="1081" spans="1:4" s="2" customFormat="1">
      <c r="A1081" s="55" t="s">
        <v>1926</v>
      </c>
      <c r="B1081" s="77" t="s">
        <v>1927</v>
      </c>
      <c r="C1081" s="18"/>
      <c r="D1081" s="418"/>
    </row>
    <row r="1082" spans="1:4" s="2" customFormat="1" ht="27.75" customHeight="1">
      <c r="A1082" s="111" t="s">
        <v>959</v>
      </c>
      <c r="B1082" s="267" t="s">
        <v>1231</v>
      </c>
      <c r="C1082" s="18" t="s">
        <v>1262</v>
      </c>
      <c r="D1082" s="418"/>
    </row>
    <row r="1083" spans="1:4" s="2" customFormat="1">
      <c r="A1083" s="55" t="s">
        <v>1928</v>
      </c>
      <c r="B1083" s="77" t="s">
        <v>1929</v>
      </c>
      <c r="C1083" s="18"/>
      <c r="D1083" s="418"/>
    </row>
    <row r="1084" spans="1:4" s="2" customFormat="1">
      <c r="A1084" s="111"/>
      <c r="B1084" s="267" t="s">
        <v>1076</v>
      </c>
      <c r="C1084" s="18" t="s">
        <v>1077</v>
      </c>
      <c r="D1084" s="418"/>
    </row>
    <row r="1085" spans="1:4" s="2" customFormat="1">
      <c r="A1085" s="55" t="s">
        <v>1930</v>
      </c>
      <c r="B1085" s="77" t="s">
        <v>1931</v>
      </c>
      <c r="C1085" s="18"/>
      <c r="D1085" s="418"/>
    </row>
    <row r="1086" spans="1:4" s="2" customFormat="1">
      <c r="A1086" s="111"/>
      <c r="B1086" s="267" t="s">
        <v>1076</v>
      </c>
      <c r="C1086" s="18" t="s">
        <v>1077</v>
      </c>
      <c r="D1086" s="418"/>
    </row>
    <row r="1087" spans="1:4" s="2" customFormat="1">
      <c r="A1087" s="55" t="s">
        <v>1932</v>
      </c>
      <c r="B1087" s="77" t="s">
        <v>1933</v>
      </c>
      <c r="C1087" s="18"/>
      <c r="D1087" s="418"/>
    </row>
    <row r="1088" spans="1:4" s="2" customFormat="1">
      <c r="A1088" s="111"/>
      <c r="B1088" s="267" t="s">
        <v>1028</v>
      </c>
      <c r="C1088" s="18" t="s">
        <v>1029</v>
      </c>
      <c r="D1088" s="418"/>
    </row>
    <row r="1089" spans="1:4" s="2" customFormat="1">
      <c r="A1089" s="55" t="s">
        <v>1934</v>
      </c>
      <c r="B1089" s="77" t="s">
        <v>1935</v>
      </c>
      <c r="C1089" s="18"/>
      <c r="D1089" s="418"/>
    </row>
    <row r="1090" spans="1:4" s="2" customFormat="1">
      <c r="A1090" s="111"/>
      <c r="B1090" s="267" t="s">
        <v>1028</v>
      </c>
      <c r="C1090" s="18" t="s">
        <v>1029</v>
      </c>
      <c r="D1090" s="418"/>
    </row>
    <row r="1091" spans="1:4" s="75" customFormat="1">
      <c r="A1091" s="55" t="s">
        <v>1936</v>
      </c>
      <c r="B1091" s="77" t="s">
        <v>1937</v>
      </c>
      <c r="C1091" s="18"/>
      <c r="D1091" s="418"/>
    </row>
    <row r="1092" spans="1:4" s="75" customFormat="1">
      <c r="A1092" s="140"/>
      <c r="B1092" s="303" t="s">
        <v>1028</v>
      </c>
      <c r="C1092" s="109" t="s">
        <v>1029</v>
      </c>
      <c r="D1092" s="418"/>
    </row>
    <row r="1093" spans="1:4" s="75" customFormat="1" ht="13.9">
      <c r="A1093" s="13" t="s">
        <v>1938</v>
      </c>
      <c r="B1093" s="33" t="s">
        <v>1939</v>
      </c>
      <c r="C1093" s="15"/>
      <c r="D1093" s="254"/>
    </row>
    <row r="1094" spans="1:4" s="75" customFormat="1">
      <c r="A1094" s="43" t="s">
        <v>1940</v>
      </c>
      <c r="B1094" s="44" t="s">
        <v>1941</v>
      </c>
      <c r="C1094" s="24"/>
      <c r="D1094" s="255"/>
    </row>
    <row r="1095" spans="1:4" s="2" customFormat="1">
      <c r="A1095" s="141" t="s">
        <v>73</v>
      </c>
      <c r="B1095" s="115" t="s">
        <v>1942</v>
      </c>
      <c r="C1095" s="18"/>
      <c r="D1095" s="418"/>
    </row>
    <row r="1096" spans="1:4" s="2" customFormat="1" ht="39.6">
      <c r="A1096" s="30"/>
      <c r="B1096" s="94" t="s">
        <v>1943</v>
      </c>
      <c r="C1096" s="18"/>
      <c r="D1096" s="418"/>
    </row>
    <row r="1097" spans="1:4" s="2" customFormat="1" ht="26.45">
      <c r="A1097" s="30"/>
      <c r="B1097" s="267" t="s">
        <v>1944</v>
      </c>
      <c r="C1097" s="18"/>
      <c r="D1097" s="418"/>
    </row>
    <row r="1098" spans="1:4" s="2" customFormat="1">
      <c r="A1098" s="30"/>
      <c r="B1098" s="267" t="s">
        <v>1945</v>
      </c>
      <c r="C1098" s="18"/>
      <c r="D1098" s="418"/>
    </row>
    <row r="1099" spans="1:4" s="2" customFormat="1">
      <c r="A1099" s="55" t="s">
        <v>1946</v>
      </c>
      <c r="B1099" s="226" t="s">
        <v>1947</v>
      </c>
      <c r="C1099" s="18"/>
      <c r="D1099" s="418"/>
    </row>
    <row r="1100" spans="1:4" s="2" customFormat="1">
      <c r="A1100" s="30"/>
      <c r="B1100" s="267" t="s">
        <v>1028</v>
      </c>
      <c r="C1100" s="18" t="s">
        <v>1029</v>
      </c>
      <c r="D1100" s="418"/>
    </row>
    <row r="1101" spans="1:4" s="2" customFormat="1">
      <c r="A1101" s="55" t="s">
        <v>1948</v>
      </c>
      <c r="B1101" s="226" t="s">
        <v>1949</v>
      </c>
      <c r="C1101" s="18"/>
      <c r="D1101" s="418"/>
    </row>
    <row r="1102" spans="1:4" s="2" customFormat="1">
      <c r="A1102" s="30"/>
      <c r="B1102" s="267" t="s">
        <v>1028</v>
      </c>
      <c r="C1102" s="18" t="s">
        <v>1029</v>
      </c>
      <c r="D1102" s="418"/>
    </row>
    <row r="1103" spans="1:4" s="2" customFormat="1">
      <c r="A1103" s="141" t="s">
        <v>74</v>
      </c>
      <c r="B1103" s="115" t="s">
        <v>1950</v>
      </c>
      <c r="C1103" s="18"/>
      <c r="D1103" s="418"/>
    </row>
    <row r="1104" spans="1:4" s="2" customFormat="1" ht="26.45">
      <c r="A1104" s="30"/>
      <c r="B1104" s="94" t="s">
        <v>1951</v>
      </c>
      <c r="C1104" s="18"/>
      <c r="D1104" s="418"/>
    </row>
    <row r="1105" spans="1:4" s="2" customFormat="1">
      <c r="A1105" s="30"/>
      <c r="B1105" s="267" t="s">
        <v>998</v>
      </c>
      <c r="C1105" s="18" t="s">
        <v>999</v>
      </c>
      <c r="D1105" s="418"/>
    </row>
    <row r="1106" spans="1:4" s="2" customFormat="1">
      <c r="A1106" s="141" t="s">
        <v>75</v>
      </c>
      <c r="B1106" s="379" t="s">
        <v>1952</v>
      </c>
      <c r="C1106" s="18"/>
      <c r="D1106" s="418"/>
    </row>
    <row r="1107" spans="1:4" s="2" customFormat="1" ht="195.75" customHeight="1">
      <c r="A1107" s="30"/>
      <c r="B1107" s="378" t="s">
        <v>1953</v>
      </c>
      <c r="C1107" s="18"/>
      <c r="D1107" s="418"/>
    </row>
    <row r="1108" spans="1:4" s="2" customFormat="1">
      <c r="A1108" s="30"/>
      <c r="B1108" s="267" t="s">
        <v>998</v>
      </c>
      <c r="C1108" s="18" t="s">
        <v>999</v>
      </c>
      <c r="D1108" s="418"/>
    </row>
    <row r="1109" spans="1:4" s="2" customFormat="1">
      <c r="A1109" s="30"/>
      <c r="B1109" s="267"/>
      <c r="C1109" s="18"/>
      <c r="D1109" s="418"/>
    </row>
    <row r="1110" spans="1:4" s="73" customFormat="1">
      <c r="A1110" s="43" t="s">
        <v>1954</v>
      </c>
      <c r="B1110" s="44" t="s">
        <v>1955</v>
      </c>
      <c r="C1110" s="24"/>
      <c r="D1110" s="255"/>
    </row>
    <row r="1111" spans="1:4" s="73" customFormat="1" ht="15" customHeight="1">
      <c r="A1111" s="219" t="s">
        <v>81</v>
      </c>
      <c r="B1111" s="160" t="s">
        <v>1956</v>
      </c>
      <c r="C1111" s="221"/>
      <c r="D1111" s="420"/>
    </row>
    <row r="1112" spans="1:4" s="73" customFormat="1" ht="39.6">
      <c r="A1112" s="30"/>
      <c r="B1112" s="267" t="s">
        <v>1957</v>
      </c>
      <c r="C1112" s="115"/>
      <c r="D1112" s="426"/>
    </row>
    <row r="1113" spans="1:4" s="73" customFormat="1" ht="26.45">
      <c r="A1113" s="30"/>
      <c r="B1113" s="267" t="s">
        <v>1958</v>
      </c>
      <c r="C1113" s="115"/>
      <c r="D1113" s="426"/>
    </row>
    <row r="1114" spans="1:4" s="73" customFormat="1" ht="39.6">
      <c r="A1114" s="30"/>
      <c r="B1114" s="267" t="s">
        <v>1959</v>
      </c>
      <c r="C1114" s="115"/>
      <c r="D1114" s="426"/>
    </row>
    <row r="1115" spans="1:4" s="73" customFormat="1" ht="26.45">
      <c r="A1115" s="30"/>
      <c r="B1115" s="267" t="s">
        <v>1960</v>
      </c>
      <c r="C1115" s="115"/>
      <c r="D1115" s="426"/>
    </row>
    <row r="1116" spans="1:4" s="73" customFormat="1">
      <c r="A1116" s="55" t="s">
        <v>1961</v>
      </c>
      <c r="B1116" s="123" t="s">
        <v>1962</v>
      </c>
      <c r="C1116" s="18"/>
      <c r="D1116" s="418"/>
    </row>
    <row r="1117" spans="1:4" s="73" customFormat="1">
      <c r="A1117" s="55"/>
      <c r="B1117" s="267" t="s">
        <v>1963</v>
      </c>
      <c r="C1117" s="18"/>
      <c r="D1117" s="418"/>
    </row>
    <row r="1118" spans="1:4" s="2" customFormat="1" ht="26.45">
      <c r="A1118" s="55"/>
      <c r="B1118" s="267" t="s">
        <v>1964</v>
      </c>
      <c r="C1118" s="18"/>
      <c r="D1118" s="418"/>
    </row>
    <row r="1119" spans="1:4" s="2" customFormat="1" ht="26.45">
      <c r="A1119" s="55"/>
      <c r="B1119" s="267" t="s">
        <v>1965</v>
      </c>
      <c r="C1119" s="18"/>
      <c r="D1119" s="418"/>
    </row>
    <row r="1120" spans="1:4" s="2" customFormat="1">
      <c r="A1120" s="55"/>
      <c r="B1120" s="267" t="s">
        <v>1966</v>
      </c>
      <c r="C1120" s="18"/>
      <c r="D1120" s="418"/>
    </row>
    <row r="1121" spans="1:4" s="2" customFormat="1">
      <c r="A1121" s="55"/>
      <c r="B1121" s="267" t="s">
        <v>1967</v>
      </c>
      <c r="C1121" s="18"/>
      <c r="D1121" s="418"/>
    </row>
    <row r="1122" spans="1:4" s="2" customFormat="1" ht="26.45">
      <c r="A1122" s="55"/>
      <c r="B1122" s="267" t="s">
        <v>1968</v>
      </c>
      <c r="C1122" s="18"/>
      <c r="D1122" s="418"/>
    </row>
    <row r="1123" spans="1:4" s="2" customFormat="1" ht="26.45">
      <c r="A1123" s="55"/>
      <c r="B1123" s="267" t="s">
        <v>1969</v>
      </c>
      <c r="C1123" s="18"/>
      <c r="D1123" s="418"/>
    </row>
    <row r="1124" spans="1:4" s="2" customFormat="1" ht="39.6">
      <c r="A1124" s="55"/>
      <c r="B1124" s="267" t="s">
        <v>1970</v>
      </c>
      <c r="C1124" s="18"/>
      <c r="D1124" s="418"/>
    </row>
    <row r="1125" spans="1:4" s="2" customFormat="1" ht="39.6">
      <c r="A1125" s="55"/>
      <c r="B1125" s="267" t="s">
        <v>1971</v>
      </c>
      <c r="C1125" s="18"/>
      <c r="D1125" s="418"/>
    </row>
    <row r="1126" spans="1:4" s="2" customFormat="1" ht="14.25" customHeight="1">
      <c r="A1126" s="286"/>
      <c r="B1126" s="267" t="s">
        <v>1028</v>
      </c>
      <c r="C1126" s="18" t="s">
        <v>1029</v>
      </c>
      <c r="D1126" s="418"/>
    </row>
    <row r="1127" spans="1:4" s="2" customFormat="1">
      <c r="A1127" s="55" t="s">
        <v>1972</v>
      </c>
      <c r="B1127" s="123" t="s">
        <v>1973</v>
      </c>
      <c r="C1127" s="18"/>
      <c r="D1127" s="418"/>
    </row>
    <row r="1128" spans="1:4" s="2" customFormat="1">
      <c r="A1128" s="55"/>
      <c r="B1128" s="267" t="s">
        <v>1963</v>
      </c>
      <c r="C1128" s="18"/>
      <c r="D1128" s="418"/>
    </row>
    <row r="1129" spans="1:4" s="2" customFormat="1" ht="26.45">
      <c r="A1129" s="55"/>
      <c r="B1129" s="267" t="s">
        <v>1974</v>
      </c>
      <c r="C1129" s="18"/>
      <c r="D1129" s="418"/>
    </row>
    <row r="1130" spans="1:4" s="2" customFormat="1">
      <c r="A1130" s="55"/>
      <c r="B1130" s="267" t="s">
        <v>1975</v>
      </c>
      <c r="C1130" s="18"/>
      <c r="D1130" s="418"/>
    </row>
    <row r="1131" spans="1:4" s="2" customFormat="1">
      <c r="A1131" s="55"/>
      <c r="B1131" s="267" t="s">
        <v>1976</v>
      </c>
      <c r="C1131" s="18"/>
      <c r="D1131" s="418"/>
    </row>
    <row r="1132" spans="1:4" s="2" customFormat="1" ht="39.6">
      <c r="A1132" s="55"/>
      <c r="B1132" s="267" t="s">
        <v>1971</v>
      </c>
      <c r="C1132" s="18"/>
      <c r="D1132" s="418"/>
    </row>
    <row r="1133" spans="1:4" s="2" customFormat="1">
      <c r="A1133" s="286"/>
      <c r="B1133" s="267" t="s">
        <v>1028</v>
      </c>
      <c r="C1133" s="18" t="s">
        <v>1029</v>
      </c>
      <c r="D1133" s="418"/>
    </row>
    <row r="1134" spans="1:4" s="2" customFormat="1">
      <c r="A1134" s="55" t="s">
        <v>1977</v>
      </c>
      <c r="B1134" s="123" t="s">
        <v>1978</v>
      </c>
      <c r="C1134" s="18"/>
      <c r="D1134" s="418"/>
    </row>
    <row r="1135" spans="1:4" s="2" customFormat="1" ht="39.6">
      <c r="A1135" s="55"/>
      <c r="B1135" s="267" t="s">
        <v>1979</v>
      </c>
      <c r="C1135" s="18"/>
      <c r="D1135" s="418"/>
    </row>
    <row r="1136" spans="1:4" s="2" customFormat="1" ht="26.45">
      <c r="A1136" s="55"/>
      <c r="B1136" s="267" t="s">
        <v>1980</v>
      </c>
      <c r="C1136" s="18"/>
      <c r="D1136" s="418"/>
    </row>
    <row r="1137" spans="1:4" s="2" customFormat="1">
      <c r="A1137" s="286"/>
      <c r="B1137" s="267" t="s">
        <v>1028</v>
      </c>
      <c r="C1137" s="18" t="s">
        <v>1029</v>
      </c>
      <c r="D1137" s="418"/>
    </row>
    <row r="1138" spans="1:4" s="2" customFormat="1">
      <c r="A1138" s="55" t="s">
        <v>1981</v>
      </c>
      <c r="B1138" s="123" t="s">
        <v>1982</v>
      </c>
      <c r="C1138" s="18"/>
      <c r="D1138" s="418"/>
    </row>
    <row r="1139" spans="1:4" s="2" customFormat="1">
      <c r="A1139" s="55"/>
      <c r="B1139" s="267" t="s">
        <v>1975</v>
      </c>
      <c r="C1139" s="18"/>
      <c r="D1139" s="418"/>
    </row>
    <row r="1140" spans="1:4" s="2" customFormat="1">
      <c r="A1140" s="55"/>
      <c r="B1140" s="267" t="s">
        <v>1983</v>
      </c>
      <c r="C1140" s="18"/>
      <c r="D1140" s="418"/>
    </row>
    <row r="1141" spans="1:4" s="2" customFormat="1">
      <c r="A1141" s="304"/>
      <c r="B1141" s="303" t="s">
        <v>1028</v>
      </c>
      <c r="C1141" s="109" t="s">
        <v>1029</v>
      </c>
      <c r="D1141" s="418"/>
    </row>
    <row r="1142" spans="1:4" s="2" customFormat="1">
      <c r="A1142" s="229" t="s">
        <v>1984</v>
      </c>
      <c r="B1142" s="230" t="s">
        <v>1985</v>
      </c>
      <c r="C1142" s="221"/>
      <c r="D1142" s="420"/>
    </row>
    <row r="1143" spans="1:4" s="75" customFormat="1">
      <c r="A1143" s="55"/>
      <c r="B1143" s="267" t="s">
        <v>1986</v>
      </c>
      <c r="C1143" s="18"/>
      <c r="D1143" s="418"/>
    </row>
    <row r="1144" spans="1:4" s="75" customFormat="1" ht="26.45">
      <c r="A1144" s="55"/>
      <c r="B1144" s="267" t="s">
        <v>1987</v>
      </c>
      <c r="C1144" s="18"/>
      <c r="D1144" s="418"/>
    </row>
    <row r="1145" spans="1:4" s="2" customFormat="1">
      <c r="A1145" s="55"/>
      <c r="B1145" s="267" t="s">
        <v>1988</v>
      </c>
      <c r="C1145" s="18"/>
      <c r="D1145" s="418"/>
    </row>
    <row r="1146" spans="1:4" s="2" customFormat="1">
      <c r="A1146" s="55"/>
      <c r="B1146" s="267" t="s">
        <v>1989</v>
      </c>
      <c r="C1146" s="18"/>
      <c r="D1146" s="418"/>
    </row>
    <row r="1147" spans="1:4" s="2" customFormat="1" ht="26.45">
      <c r="A1147" s="55"/>
      <c r="B1147" s="267" t="s">
        <v>1990</v>
      </c>
      <c r="C1147" s="18"/>
      <c r="D1147" s="418"/>
    </row>
    <row r="1148" spans="1:4" s="2" customFormat="1" ht="39.6">
      <c r="A1148" s="55"/>
      <c r="B1148" s="267" t="s">
        <v>1971</v>
      </c>
      <c r="C1148" s="18"/>
      <c r="D1148" s="418"/>
    </row>
    <row r="1149" spans="1:4" s="2" customFormat="1">
      <c r="A1149" s="286"/>
      <c r="B1149" s="267" t="s">
        <v>1028</v>
      </c>
      <c r="C1149" s="18" t="s">
        <v>1029</v>
      </c>
      <c r="D1149" s="418"/>
    </row>
    <row r="1150" spans="1:4" s="2" customFormat="1">
      <c r="A1150" s="55" t="s">
        <v>1991</v>
      </c>
      <c r="B1150" s="123" t="s">
        <v>1992</v>
      </c>
      <c r="C1150" s="18"/>
      <c r="D1150" s="418"/>
    </row>
    <row r="1151" spans="1:4" s="2" customFormat="1" ht="26.45">
      <c r="A1151" s="55"/>
      <c r="B1151" s="267" t="s">
        <v>1993</v>
      </c>
      <c r="C1151" s="18"/>
      <c r="D1151" s="418"/>
    </row>
    <row r="1152" spans="1:4" s="2" customFormat="1">
      <c r="A1152" s="55"/>
      <c r="B1152" s="267" t="s">
        <v>1994</v>
      </c>
      <c r="C1152" s="18"/>
      <c r="D1152" s="418"/>
    </row>
    <row r="1153" spans="1:4" s="2" customFormat="1">
      <c r="A1153" s="286"/>
      <c r="B1153" s="267" t="s">
        <v>1028</v>
      </c>
      <c r="C1153" s="18" t="s">
        <v>1029</v>
      </c>
      <c r="D1153" s="418"/>
    </row>
    <row r="1154" spans="1:4" s="2" customFormat="1">
      <c r="A1154" s="55" t="s">
        <v>1995</v>
      </c>
      <c r="B1154" s="123" t="s">
        <v>1996</v>
      </c>
      <c r="C1154" s="18"/>
      <c r="D1154" s="418"/>
    </row>
    <row r="1155" spans="1:4" s="2" customFormat="1">
      <c r="A1155" s="55"/>
      <c r="B1155" s="267" t="s">
        <v>1963</v>
      </c>
      <c r="C1155" s="18"/>
      <c r="D1155" s="418"/>
    </row>
    <row r="1156" spans="1:4" s="2" customFormat="1" ht="26.45">
      <c r="A1156" s="55"/>
      <c r="B1156" s="267" t="s">
        <v>1997</v>
      </c>
      <c r="C1156" s="18"/>
      <c r="D1156" s="418"/>
    </row>
    <row r="1157" spans="1:4" s="2" customFormat="1" ht="39.6">
      <c r="A1157" s="55"/>
      <c r="B1157" s="267" t="s">
        <v>1971</v>
      </c>
      <c r="C1157" s="18"/>
      <c r="D1157" s="418"/>
    </row>
    <row r="1158" spans="1:4" s="2" customFormat="1">
      <c r="A1158" s="286"/>
      <c r="B1158" s="267" t="s">
        <v>1428</v>
      </c>
      <c r="C1158" s="18" t="s">
        <v>1429</v>
      </c>
      <c r="D1158" s="418"/>
    </row>
    <row r="1159" spans="1:4" s="2" customFormat="1" ht="14.25" customHeight="1">
      <c r="A1159" s="55" t="s">
        <v>1998</v>
      </c>
      <c r="B1159" s="123" t="s">
        <v>1999</v>
      </c>
      <c r="C1159" s="18"/>
      <c r="D1159" s="418"/>
    </row>
    <row r="1160" spans="1:4" s="2" customFormat="1">
      <c r="A1160" s="55"/>
      <c r="B1160" s="267" t="s">
        <v>2000</v>
      </c>
      <c r="C1160" s="18"/>
      <c r="D1160" s="418"/>
    </row>
    <row r="1161" spans="1:4" s="2" customFormat="1">
      <c r="A1161" s="55"/>
      <c r="B1161" s="267" t="s">
        <v>2001</v>
      </c>
      <c r="C1161" s="18"/>
      <c r="D1161" s="418"/>
    </row>
    <row r="1162" spans="1:4" s="2" customFormat="1" ht="26.45">
      <c r="A1162" s="55"/>
      <c r="B1162" s="267" t="s">
        <v>2002</v>
      </c>
      <c r="C1162" s="18"/>
      <c r="D1162" s="418"/>
    </row>
    <row r="1163" spans="1:4" s="2" customFormat="1">
      <c r="A1163" s="55"/>
      <c r="B1163" s="267" t="s">
        <v>2003</v>
      </c>
      <c r="C1163" s="18"/>
      <c r="D1163" s="418"/>
    </row>
    <row r="1164" spans="1:4" s="2" customFormat="1">
      <c r="A1164" s="55"/>
      <c r="B1164" s="267" t="s">
        <v>2004</v>
      </c>
      <c r="C1164" s="18"/>
      <c r="D1164" s="418"/>
    </row>
    <row r="1165" spans="1:4" s="2" customFormat="1">
      <c r="A1165" s="286"/>
      <c r="B1165" s="305" t="s">
        <v>2005</v>
      </c>
      <c r="C1165" s="18" t="s">
        <v>2006</v>
      </c>
      <c r="D1165" s="418"/>
    </row>
    <row r="1166" spans="1:4" s="2" customFormat="1" ht="26.45">
      <c r="A1166" s="55" t="s">
        <v>2007</v>
      </c>
      <c r="B1166" s="123" t="s">
        <v>2008</v>
      </c>
      <c r="C1166" s="18"/>
      <c r="D1166" s="418"/>
    </row>
    <row r="1167" spans="1:4" s="2" customFormat="1">
      <c r="A1167" s="286"/>
      <c r="B1167" s="267" t="s">
        <v>2009</v>
      </c>
      <c r="C1167" s="18"/>
      <c r="D1167" s="418"/>
    </row>
    <row r="1168" spans="1:4" s="2" customFormat="1">
      <c r="A1168" s="286"/>
      <c r="B1168" s="267" t="s">
        <v>2001</v>
      </c>
      <c r="C1168" s="18"/>
      <c r="D1168" s="418"/>
    </row>
    <row r="1169" spans="1:4" s="2" customFormat="1" ht="26.45">
      <c r="A1169" s="286"/>
      <c r="B1169" s="267" t="s">
        <v>2010</v>
      </c>
      <c r="C1169" s="18"/>
      <c r="D1169" s="418"/>
    </row>
    <row r="1170" spans="1:4" s="2" customFormat="1">
      <c r="A1170" s="286"/>
      <c r="B1170" s="267" t="s">
        <v>2003</v>
      </c>
      <c r="C1170" s="18"/>
      <c r="D1170" s="418"/>
    </row>
    <row r="1171" spans="1:4" s="2" customFormat="1">
      <c r="A1171" s="286"/>
      <c r="B1171" s="267" t="s">
        <v>2004</v>
      </c>
      <c r="C1171" s="18"/>
      <c r="D1171" s="418"/>
    </row>
    <row r="1172" spans="1:4" s="2" customFormat="1">
      <c r="A1172" s="286"/>
      <c r="B1172" s="267" t="s">
        <v>2011</v>
      </c>
      <c r="C1172" s="18" t="s">
        <v>2012</v>
      </c>
      <c r="D1172" s="418"/>
    </row>
    <row r="1173" spans="1:4" s="2" customFormat="1">
      <c r="A1173" s="55" t="s">
        <v>2013</v>
      </c>
      <c r="B1173" s="123" t="s">
        <v>2014</v>
      </c>
      <c r="C1173" s="18"/>
      <c r="D1173" s="418"/>
    </row>
    <row r="1174" spans="1:4" s="2" customFormat="1">
      <c r="A1174" s="55"/>
      <c r="B1174" s="267" t="s">
        <v>2015</v>
      </c>
      <c r="C1174" s="18"/>
      <c r="D1174" s="418"/>
    </row>
    <row r="1175" spans="1:4" s="3" customFormat="1">
      <c r="A1175" s="55"/>
      <c r="B1175" s="267" t="s">
        <v>2016</v>
      </c>
      <c r="C1175" s="18"/>
      <c r="D1175" s="418"/>
    </row>
    <row r="1176" spans="1:4" s="3" customFormat="1" ht="26.45">
      <c r="A1176" s="55"/>
      <c r="B1176" s="267" t="s">
        <v>2017</v>
      </c>
      <c r="C1176" s="18"/>
      <c r="D1176" s="418"/>
    </row>
    <row r="1177" spans="1:4" s="3" customFormat="1">
      <c r="A1177" s="55"/>
      <c r="B1177" s="267" t="s">
        <v>2003</v>
      </c>
      <c r="C1177" s="18"/>
      <c r="D1177" s="418"/>
    </row>
    <row r="1178" spans="1:4" s="2" customFormat="1">
      <c r="A1178" s="286"/>
      <c r="B1178" s="267" t="s">
        <v>2004</v>
      </c>
      <c r="C1178" s="18"/>
      <c r="D1178" s="418"/>
    </row>
    <row r="1179" spans="1:4" s="2" customFormat="1">
      <c r="A1179" s="286"/>
      <c r="B1179" s="267" t="s">
        <v>2011</v>
      </c>
      <c r="C1179" s="18" t="s">
        <v>2012</v>
      </c>
      <c r="D1179" s="418"/>
    </row>
    <row r="1180" spans="1:4" s="2" customFormat="1" ht="28.15">
      <c r="A1180" s="55" t="s">
        <v>2018</v>
      </c>
      <c r="B1180" s="123" t="s">
        <v>2019</v>
      </c>
      <c r="C1180" s="18"/>
      <c r="D1180" s="418"/>
    </row>
    <row r="1181" spans="1:4" s="3" customFormat="1" ht="24.75" customHeight="1">
      <c r="A1181" s="55"/>
      <c r="B1181" s="267" t="s">
        <v>2020</v>
      </c>
      <c r="C1181" s="18"/>
      <c r="D1181" s="418"/>
    </row>
    <row r="1182" spans="1:4" s="2" customFormat="1">
      <c r="A1182" s="55"/>
      <c r="B1182" s="267" t="s">
        <v>2021</v>
      </c>
      <c r="C1182" s="18"/>
      <c r="D1182" s="418"/>
    </row>
    <row r="1183" spans="1:4" s="2" customFormat="1">
      <c r="A1183" s="55"/>
      <c r="B1183" s="267" t="s">
        <v>2022</v>
      </c>
      <c r="C1183" s="18"/>
      <c r="D1183" s="418"/>
    </row>
    <row r="1184" spans="1:4" s="3" customFormat="1">
      <c r="A1184" s="55"/>
      <c r="B1184" s="267" t="s">
        <v>2023</v>
      </c>
      <c r="C1184" s="18"/>
      <c r="D1184" s="418"/>
    </row>
    <row r="1185" spans="1:4" s="3" customFormat="1">
      <c r="A1185" s="286"/>
      <c r="B1185" s="267" t="s">
        <v>2024</v>
      </c>
      <c r="C1185" s="18"/>
      <c r="D1185" s="418"/>
    </row>
    <row r="1186" spans="1:4" s="3" customFormat="1">
      <c r="A1186" s="286"/>
      <c r="B1186" s="267" t="s">
        <v>1028</v>
      </c>
      <c r="C1186" s="18" t="s">
        <v>1029</v>
      </c>
      <c r="D1186" s="418"/>
    </row>
    <row r="1187" spans="1:4" s="3" customFormat="1" ht="28.15">
      <c r="A1187" s="55" t="s">
        <v>2025</v>
      </c>
      <c r="B1187" s="123" t="s">
        <v>2026</v>
      </c>
      <c r="C1187" s="18"/>
      <c r="D1187" s="418"/>
    </row>
    <row r="1188" spans="1:4" s="3" customFormat="1">
      <c r="A1188" s="55"/>
      <c r="B1188" s="267" t="s">
        <v>2027</v>
      </c>
      <c r="C1188" s="18"/>
      <c r="D1188" s="418"/>
    </row>
    <row r="1189" spans="1:4" s="3" customFormat="1">
      <c r="A1189" s="55"/>
      <c r="B1189" s="267" t="s">
        <v>2028</v>
      </c>
      <c r="C1189" s="18"/>
      <c r="D1189" s="418"/>
    </row>
    <row r="1190" spans="1:4" s="3" customFormat="1">
      <c r="A1190" s="55"/>
      <c r="B1190" s="267" t="s">
        <v>2029</v>
      </c>
      <c r="C1190" s="18"/>
      <c r="D1190" s="418"/>
    </row>
    <row r="1191" spans="1:4" s="3" customFormat="1">
      <c r="A1191" s="304"/>
      <c r="B1191" s="303" t="s">
        <v>1028</v>
      </c>
      <c r="C1191" s="109" t="s">
        <v>1029</v>
      </c>
      <c r="D1191" s="418"/>
    </row>
    <row r="1192" spans="1:4" s="3" customFormat="1" ht="39.6">
      <c r="A1192" s="229" t="s">
        <v>2030</v>
      </c>
      <c r="B1192" s="230" t="s">
        <v>2031</v>
      </c>
      <c r="C1192" s="221"/>
      <c r="D1192" s="418"/>
    </row>
    <row r="1193" spans="1:4" s="3" customFormat="1" ht="26.45">
      <c r="A1193" s="55"/>
      <c r="B1193" s="267" t="s">
        <v>2032</v>
      </c>
      <c r="C1193" s="18"/>
      <c r="D1193" s="418"/>
    </row>
    <row r="1194" spans="1:4" s="3" customFormat="1" ht="26.45">
      <c r="A1194" s="55"/>
      <c r="B1194" s="267" t="s">
        <v>2033</v>
      </c>
      <c r="C1194" s="18"/>
      <c r="D1194" s="418"/>
    </row>
    <row r="1195" spans="1:4" s="3" customFormat="1">
      <c r="A1195" s="286"/>
      <c r="B1195" s="285" t="s">
        <v>1028</v>
      </c>
      <c r="C1195" s="18" t="s">
        <v>1029</v>
      </c>
      <c r="D1195" s="418"/>
    </row>
    <row r="1196" spans="1:4" s="3" customFormat="1" ht="26.45">
      <c r="A1196" s="55" t="s">
        <v>2034</v>
      </c>
      <c r="B1196" s="123" t="s">
        <v>2035</v>
      </c>
      <c r="C1196" s="18"/>
      <c r="D1196" s="418"/>
    </row>
    <row r="1197" spans="1:4" s="2" customFormat="1">
      <c r="A1197" s="55"/>
      <c r="B1197" s="267" t="s">
        <v>2036</v>
      </c>
      <c r="C1197" s="18"/>
      <c r="D1197" s="418"/>
    </row>
    <row r="1198" spans="1:4" s="2" customFormat="1">
      <c r="A1198" s="55"/>
      <c r="B1198" s="267" t="s">
        <v>2037</v>
      </c>
      <c r="C1198" s="18"/>
      <c r="D1198" s="418"/>
    </row>
    <row r="1199" spans="1:4" s="2" customFormat="1">
      <c r="A1199" s="55"/>
      <c r="B1199" s="267" t="s">
        <v>2038</v>
      </c>
      <c r="C1199" s="18"/>
      <c r="D1199" s="418"/>
    </row>
    <row r="1200" spans="1:4" s="2" customFormat="1">
      <c r="A1200" s="286"/>
      <c r="B1200" s="267" t="s">
        <v>1028</v>
      </c>
      <c r="C1200" s="18" t="s">
        <v>1029</v>
      </c>
      <c r="D1200" s="418"/>
    </row>
    <row r="1201" spans="1:4" s="2" customFormat="1">
      <c r="A1201" s="22" t="s">
        <v>2039</v>
      </c>
      <c r="B1201" s="23" t="s">
        <v>2040</v>
      </c>
      <c r="C1201" s="24"/>
      <c r="D1201" s="255"/>
    </row>
    <row r="1202" spans="1:4" s="2" customFormat="1" ht="26.45">
      <c r="A1202" s="30"/>
      <c r="B1202" s="267" t="s">
        <v>2041</v>
      </c>
      <c r="C1202" s="41"/>
      <c r="D1202" s="427"/>
    </row>
    <row r="1203" spans="1:4" s="2" customFormat="1" ht="52.9">
      <c r="A1203" s="30"/>
      <c r="B1203" s="267" t="s">
        <v>2042</v>
      </c>
      <c r="C1203" s="41"/>
      <c r="D1203" s="427"/>
    </row>
    <row r="1204" spans="1:4" s="2" customFormat="1" ht="26.45">
      <c r="A1204" s="30"/>
      <c r="B1204" s="267" t="s">
        <v>2043</v>
      </c>
      <c r="C1204" s="41"/>
      <c r="D1204" s="427"/>
    </row>
    <row r="1205" spans="1:4" s="2" customFormat="1">
      <c r="A1205" s="286"/>
      <c r="B1205" s="285" t="s">
        <v>1028</v>
      </c>
      <c r="C1205" s="18" t="s">
        <v>1029</v>
      </c>
      <c r="D1205" s="418"/>
    </row>
    <row r="1206" spans="1:4" s="2" customFormat="1">
      <c r="A1206" s="22" t="s">
        <v>76</v>
      </c>
      <c r="B1206" s="23" t="s">
        <v>2044</v>
      </c>
      <c r="C1206" s="24"/>
      <c r="D1206" s="255"/>
    </row>
    <row r="1207" spans="1:4" s="3" customFormat="1">
      <c r="A1207" s="30"/>
      <c r="B1207" s="306" t="s">
        <v>2045</v>
      </c>
      <c r="C1207" s="41"/>
      <c r="D1207" s="427"/>
    </row>
    <row r="1208" spans="1:4" s="2" customFormat="1" ht="25.5" customHeight="1">
      <c r="A1208" s="30"/>
      <c r="B1208" s="307" t="s">
        <v>2046</v>
      </c>
      <c r="C1208" s="41"/>
      <c r="D1208" s="427"/>
    </row>
    <row r="1209" spans="1:4" s="2" customFormat="1">
      <c r="A1209" s="30"/>
      <c r="B1209" s="307" t="s">
        <v>2047</v>
      </c>
      <c r="C1209" s="41"/>
      <c r="D1209" s="427"/>
    </row>
    <row r="1210" spans="1:4" s="2" customFormat="1">
      <c r="A1210" s="30"/>
      <c r="B1210" s="307" t="s">
        <v>2048</v>
      </c>
      <c r="C1210" s="41"/>
      <c r="D1210" s="427"/>
    </row>
    <row r="1211" spans="1:4" s="2" customFormat="1" ht="26.45">
      <c r="A1211" s="30"/>
      <c r="B1211" s="307" t="s">
        <v>2049</v>
      </c>
      <c r="C1211" s="41"/>
      <c r="D1211" s="427"/>
    </row>
    <row r="1212" spans="1:4" s="2" customFormat="1" ht="26.45">
      <c r="A1212" s="30"/>
      <c r="B1212" s="307" t="s">
        <v>2050</v>
      </c>
      <c r="C1212" s="41"/>
      <c r="D1212" s="427"/>
    </row>
    <row r="1213" spans="1:4" s="2" customFormat="1">
      <c r="A1213" s="30"/>
      <c r="B1213" s="307" t="s">
        <v>2051</v>
      </c>
      <c r="C1213" s="41"/>
      <c r="D1213" s="427"/>
    </row>
    <row r="1214" spans="1:4" s="2" customFormat="1">
      <c r="A1214" s="286"/>
      <c r="B1214" s="285" t="s">
        <v>1028</v>
      </c>
      <c r="C1214" s="18" t="s">
        <v>1029</v>
      </c>
      <c r="D1214" s="427"/>
    </row>
    <row r="1215" spans="1:4" s="2" customFormat="1">
      <c r="A1215" s="22" t="s">
        <v>2052</v>
      </c>
      <c r="B1215" s="23" t="s">
        <v>2053</v>
      </c>
      <c r="C1215" s="24"/>
      <c r="D1215" s="255"/>
    </row>
    <row r="1216" spans="1:4" s="2" customFormat="1">
      <c r="A1216" s="37" t="s">
        <v>90</v>
      </c>
      <c r="B1216" s="46" t="s">
        <v>2054</v>
      </c>
      <c r="C1216" s="21"/>
      <c r="D1216" s="428"/>
    </row>
    <row r="1217" spans="1:4" s="2" customFormat="1">
      <c r="A1217" s="308"/>
      <c r="B1217" s="309" t="s">
        <v>2055</v>
      </c>
      <c r="C1217" s="21"/>
      <c r="D1217" s="428"/>
    </row>
    <row r="1218" spans="1:4" s="2" customFormat="1">
      <c r="A1218" s="308"/>
      <c r="B1218" s="309" t="s">
        <v>2001</v>
      </c>
      <c r="C1218" s="21"/>
      <c r="D1218" s="428"/>
    </row>
    <row r="1219" spans="1:4" s="2" customFormat="1" ht="26.45">
      <c r="A1219" s="308"/>
      <c r="B1219" s="309" t="s">
        <v>2002</v>
      </c>
      <c r="C1219" s="21"/>
      <c r="D1219" s="428"/>
    </row>
    <row r="1220" spans="1:4" s="2" customFormat="1">
      <c r="A1220" s="308"/>
      <c r="B1220" s="309" t="s">
        <v>2003</v>
      </c>
      <c r="C1220" s="21"/>
      <c r="D1220" s="428"/>
    </row>
    <row r="1221" spans="1:4" s="3" customFormat="1">
      <c r="A1221" s="308"/>
      <c r="B1221" s="309" t="s">
        <v>2004</v>
      </c>
      <c r="C1221" s="21"/>
      <c r="D1221" s="428"/>
    </row>
    <row r="1222" spans="1:4" s="3" customFormat="1">
      <c r="A1222" s="308"/>
      <c r="B1222" s="310" t="s">
        <v>2056</v>
      </c>
      <c r="C1222" s="21" t="s">
        <v>2057</v>
      </c>
      <c r="D1222" s="428"/>
    </row>
    <row r="1223" spans="1:4" s="2" customFormat="1" ht="26.45">
      <c r="A1223" s="28" t="s">
        <v>91</v>
      </c>
      <c r="B1223" s="42" t="s">
        <v>2058</v>
      </c>
      <c r="C1223" s="21"/>
      <c r="D1223" s="428"/>
    </row>
    <row r="1224" spans="1:4" s="2" customFormat="1" ht="13.5" customHeight="1">
      <c r="A1224" s="308"/>
      <c r="B1224" s="309" t="s">
        <v>2055</v>
      </c>
      <c r="C1224" s="21"/>
      <c r="D1224" s="428"/>
    </row>
    <row r="1225" spans="1:4" s="2" customFormat="1">
      <c r="A1225" s="308"/>
      <c r="B1225" s="309" t="s">
        <v>2001</v>
      </c>
      <c r="C1225" s="21"/>
      <c r="D1225" s="428"/>
    </row>
    <row r="1226" spans="1:4" s="2" customFormat="1" ht="15" customHeight="1">
      <c r="A1226" s="308"/>
      <c r="B1226" s="309" t="s">
        <v>2002</v>
      </c>
      <c r="C1226" s="21"/>
      <c r="D1226" s="428"/>
    </row>
    <row r="1227" spans="1:4" s="2" customFormat="1">
      <c r="A1227" s="308"/>
      <c r="B1227" s="309" t="s">
        <v>2003</v>
      </c>
      <c r="C1227" s="21"/>
      <c r="D1227" s="428"/>
    </row>
    <row r="1228" spans="1:4" s="2" customFormat="1">
      <c r="A1228" s="308"/>
      <c r="B1228" s="309" t="s">
        <v>2004</v>
      </c>
      <c r="C1228" s="21"/>
      <c r="D1228" s="428"/>
    </row>
    <row r="1229" spans="1:4" s="2" customFormat="1" ht="26.45">
      <c r="A1229" s="308"/>
      <c r="B1229" s="310" t="s">
        <v>2059</v>
      </c>
      <c r="C1229" s="21" t="s">
        <v>2060</v>
      </c>
      <c r="D1229" s="428"/>
    </row>
    <row r="1230" spans="1:4" s="2" customFormat="1" ht="26.45">
      <c r="A1230" s="28" t="s">
        <v>2061</v>
      </c>
      <c r="B1230" s="42" t="s">
        <v>2062</v>
      </c>
      <c r="C1230" s="32"/>
      <c r="D1230" s="428"/>
    </row>
    <row r="1231" spans="1:4" s="2" customFormat="1">
      <c r="A1231" s="308"/>
      <c r="B1231" s="311" t="s">
        <v>2063</v>
      </c>
      <c r="C1231" s="21" t="s">
        <v>1029</v>
      </c>
      <c r="D1231" s="428"/>
    </row>
    <row r="1232" spans="1:4" s="3" customFormat="1" ht="26.45">
      <c r="A1232" s="28" t="s">
        <v>2064</v>
      </c>
      <c r="B1232" s="42" t="s">
        <v>2065</v>
      </c>
      <c r="C1232" s="32"/>
      <c r="D1232" s="428"/>
    </row>
    <row r="1233" spans="1:4" s="3" customFormat="1">
      <c r="A1233" s="308"/>
      <c r="B1233" s="311" t="s">
        <v>2063</v>
      </c>
      <c r="C1233" s="21" t="s">
        <v>1029</v>
      </c>
      <c r="D1233" s="428"/>
    </row>
    <row r="1234" spans="1:4" s="3" customFormat="1" ht="39.6">
      <c r="A1234" s="28" t="s">
        <v>2066</v>
      </c>
      <c r="B1234" s="42" t="s">
        <v>2067</v>
      </c>
      <c r="C1234" s="32"/>
      <c r="D1234" s="428"/>
    </row>
    <row r="1235" spans="1:4" s="3" customFormat="1">
      <c r="A1235" s="308"/>
      <c r="B1235" s="311" t="s">
        <v>2063</v>
      </c>
      <c r="C1235" s="21" t="s">
        <v>1029</v>
      </c>
      <c r="D1235" s="428"/>
    </row>
    <row r="1236" spans="1:4" s="2" customFormat="1" ht="26.45">
      <c r="A1236" s="28" t="s">
        <v>2068</v>
      </c>
      <c r="B1236" s="42" t="s">
        <v>2069</v>
      </c>
      <c r="C1236" s="32"/>
      <c r="D1236" s="428"/>
    </row>
    <row r="1237" spans="1:4" s="2" customFormat="1">
      <c r="A1237" s="308"/>
      <c r="B1237" s="311" t="s">
        <v>2063</v>
      </c>
      <c r="C1237" s="21" t="s">
        <v>1029</v>
      </c>
      <c r="D1237" s="428"/>
    </row>
    <row r="1238" spans="1:4" s="2" customFormat="1" ht="26.45">
      <c r="A1238" s="28" t="s">
        <v>2070</v>
      </c>
      <c r="B1238" s="42" t="s">
        <v>2071</v>
      </c>
      <c r="C1238" s="32"/>
      <c r="D1238" s="428"/>
    </row>
    <row r="1239" spans="1:4" s="2" customFormat="1" ht="15" customHeight="1">
      <c r="A1239" s="308"/>
      <c r="B1239" s="311" t="s">
        <v>2063</v>
      </c>
      <c r="C1239" s="21" t="s">
        <v>1029</v>
      </c>
      <c r="D1239" s="428"/>
    </row>
    <row r="1240" spans="1:4" s="2" customFormat="1" ht="39.6">
      <c r="A1240" s="28" t="s">
        <v>2072</v>
      </c>
      <c r="B1240" s="42" t="s">
        <v>2073</v>
      </c>
      <c r="C1240" s="32"/>
      <c r="D1240" s="428"/>
    </row>
    <row r="1241" spans="1:4" s="2" customFormat="1">
      <c r="A1241" s="308"/>
      <c r="B1241" s="311" t="s">
        <v>2063</v>
      </c>
      <c r="C1241" s="21" t="s">
        <v>1029</v>
      </c>
      <c r="D1241" s="428"/>
    </row>
    <row r="1242" spans="1:4" s="2" customFormat="1">
      <c r="A1242" s="30" t="s">
        <v>2074</v>
      </c>
      <c r="B1242" s="115" t="s">
        <v>2075</v>
      </c>
      <c r="C1242" s="41"/>
      <c r="D1242" s="428"/>
    </row>
    <row r="1243" spans="1:4" s="2" customFormat="1">
      <c r="A1243" s="286" t="s">
        <v>2076</v>
      </c>
      <c r="B1243" s="267" t="s">
        <v>2077</v>
      </c>
      <c r="C1243" s="41"/>
      <c r="D1243" s="428"/>
    </row>
    <row r="1244" spans="1:4" s="3" customFormat="1" ht="26.45">
      <c r="A1244" s="137"/>
      <c r="B1244" s="312" t="s">
        <v>2078</v>
      </c>
      <c r="C1244" s="195"/>
      <c r="D1244" s="418"/>
    </row>
    <row r="1245" spans="1:4" s="3" customFormat="1">
      <c r="A1245" s="286"/>
      <c r="B1245" s="285" t="s">
        <v>2063</v>
      </c>
      <c r="C1245" s="18" t="s">
        <v>1029</v>
      </c>
      <c r="D1245" s="418"/>
    </row>
    <row r="1246" spans="1:4" s="3" customFormat="1">
      <c r="A1246" s="286" t="s">
        <v>2079</v>
      </c>
      <c r="B1246" s="238" t="s">
        <v>2080</v>
      </c>
      <c r="C1246" s="41"/>
      <c r="D1246" s="418"/>
    </row>
    <row r="1247" spans="1:4" s="3" customFormat="1" ht="26.45">
      <c r="A1247" s="137"/>
      <c r="B1247" s="312" t="s">
        <v>2081</v>
      </c>
      <c r="C1247" s="195"/>
      <c r="D1247" s="418"/>
    </row>
    <row r="1248" spans="1:4" s="3" customFormat="1">
      <c r="A1248" s="286"/>
      <c r="B1248" s="285" t="s">
        <v>2063</v>
      </c>
      <c r="C1248" s="18" t="s">
        <v>1029</v>
      </c>
      <c r="D1248" s="418"/>
    </row>
    <row r="1249" spans="1:4" s="3" customFormat="1">
      <c r="A1249" s="30" t="s">
        <v>2082</v>
      </c>
      <c r="B1249" s="115" t="s">
        <v>2083</v>
      </c>
      <c r="C1249" s="41"/>
      <c r="D1249" s="418"/>
    </row>
    <row r="1250" spans="1:4" s="3" customFormat="1" ht="39.6">
      <c r="A1250" s="137"/>
      <c r="B1250" s="312" t="s">
        <v>2084</v>
      </c>
      <c r="C1250" s="195"/>
      <c r="D1250" s="418"/>
    </row>
    <row r="1251" spans="1:4" s="3" customFormat="1">
      <c r="A1251" s="286"/>
      <c r="B1251" s="285" t="s">
        <v>2063</v>
      </c>
      <c r="C1251" s="18" t="s">
        <v>1029</v>
      </c>
      <c r="D1251" s="418"/>
    </row>
    <row r="1252" spans="1:4" s="3" customFormat="1">
      <c r="A1252" s="30" t="s">
        <v>2085</v>
      </c>
      <c r="B1252" s="115" t="s">
        <v>2086</v>
      </c>
      <c r="C1252" s="41"/>
      <c r="D1252" s="418"/>
    </row>
    <row r="1253" spans="1:4" s="3" customFormat="1" ht="39.6">
      <c r="A1253" s="137"/>
      <c r="B1253" s="312" t="s">
        <v>2087</v>
      </c>
      <c r="C1253" s="195"/>
      <c r="D1253" s="418"/>
    </row>
    <row r="1254" spans="1:4" s="3" customFormat="1">
      <c r="A1254" s="286"/>
      <c r="B1254" s="285" t="s">
        <v>2063</v>
      </c>
      <c r="C1254" s="18" t="s">
        <v>1029</v>
      </c>
      <c r="D1254" s="418"/>
    </row>
    <row r="1255" spans="1:4" s="3" customFormat="1">
      <c r="A1255" s="30" t="s">
        <v>2088</v>
      </c>
      <c r="B1255" s="115" t="s">
        <v>2089</v>
      </c>
      <c r="C1255" s="41"/>
      <c r="D1255" s="418"/>
    </row>
    <row r="1256" spans="1:4" s="3" customFormat="1" ht="39.6">
      <c r="A1256" s="137"/>
      <c r="B1256" s="312" t="s">
        <v>2087</v>
      </c>
      <c r="C1256" s="195"/>
      <c r="D1256" s="418"/>
    </row>
    <row r="1257" spans="1:4" s="3" customFormat="1">
      <c r="A1257" s="304"/>
      <c r="B1257" s="313" t="s">
        <v>2063</v>
      </c>
      <c r="C1257" s="109" t="s">
        <v>1029</v>
      </c>
      <c r="D1257" s="418"/>
    </row>
    <row r="1258" spans="1:4" s="3" customFormat="1" ht="13.9">
      <c r="A1258" s="13" t="s">
        <v>2090</v>
      </c>
      <c r="B1258" s="14" t="s">
        <v>2091</v>
      </c>
      <c r="C1258" s="15"/>
      <c r="D1258" s="254"/>
    </row>
    <row r="1259" spans="1:4" s="3" customFormat="1">
      <c r="A1259" s="22" t="s">
        <v>2092</v>
      </c>
      <c r="B1259" s="23" t="s">
        <v>2093</v>
      </c>
      <c r="C1259" s="24"/>
      <c r="D1259" s="255"/>
    </row>
    <row r="1260" spans="1:4" s="3" customFormat="1">
      <c r="A1260" s="30" t="s">
        <v>92</v>
      </c>
      <c r="B1260" s="31" t="s">
        <v>2094</v>
      </c>
      <c r="C1260" s="18"/>
      <c r="D1260" s="418"/>
    </row>
    <row r="1261" spans="1:4" s="3" customFormat="1" ht="39.6">
      <c r="A1261" s="111"/>
      <c r="B1261" s="94" t="s">
        <v>2095</v>
      </c>
      <c r="C1261" s="18"/>
      <c r="D1261" s="418"/>
    </row>
    <row r="1262" spans="1:4" s="3" customFormat="1">
      <c r="A1262" s="111"/>
      <c r="B1262" s="267" t="s">
        <v>1076</v>
      </c>
      <c r="C1262" s="18" t="s">
        <v>1077</v>
      </c>
      <c r="D1262" s="418"/>
    </row>
    <row r="1263" spans="1:4" s="3" customFormat="1">
      <c r="A1263" s="30" t="s">
        <v>93</v>
      </c>
      <c r="B1263" s="31" t="s">
        <v>2096</v>
      </c>
      <c r="C1263" s="18"/>
      <c r="D1263" s="418"/>
    </row>
    <row r="1264" spans="1:4" s="3" customFormat="1">
      <c r="A1264" s="111"/>
      <c r="B1264" s="267" t="s">
        <v>2097</v>
      </c>
      <c r="C1264" s="18" t="s">
        <v>2098</v>
      </c>
      <c r="D1264" s="418"/>
    </row>
    <row r="1265" spans="1:4" s="3" customFormat="1">
      <c r="A1265" s="22" t="s">
        <v>2099</v>
      </c>
      <c r="B1265" s="23" t="s">
        <v>2100</v>
      </c>
      <c r="C1265" s="24"/>
      <c r="D1265" s="255"/>
    </row>
    <row r="1266" spans="1:4" s="3" customFormat="1">
      <c r="A1266" s="30" t="s">
        <v>106</v>
      </c>
      <c r="B1266" s="31" t="s">
        <v>2101</v>
      </c>
      <c r="C1266" s="18"/>
      <c r="D1266" s="418"/>
    </row>
    <row r="1267" spans="1:4" s="3" customFormat="1" ht="26.45">
      <c r="A1267" s="55"/>
      <c r="B1267" s="94" t="s">
        <v>2102</v>
      </c>
      <c r="C1267" s="18"/>
      <c r="D1267" s="418"/>
    </row>
    <row r="1268" spans="1:4" s="3" customFormat="1">
      <c r="A1268" s="55"/>
      <c r="B1268" s="94" t="s">
        <v>2103</v>
      </c>
      <c r="C1268" s="18"/>
      <c r="D1268" s="418"/>
    </row>
    <row r="1269" spans="1:4" s="3" customFormat="1">
      <c r="A1269" s="55"/>
      <c r="B1269" s="267" t="s">
        <v>2104</v>
      </c>
      <c r="C1269" s="18"/>
      <c r="D1269" s="418"/>
    </row>
    <row r="1270" spans="1:4" s="3" customFormat="1">
      <c r="A1270" s="55"/>
      <c r="B1270" s="94" t="s">
        <v>2105</v>
      </c>
      <c r="C1270" s="18"/>
      <c r="D1270" s="418"/>
    </row>
    <row r="1271" spans="1:4" s="3" customFormat="1">
      <c r="A1271" s="55"/>
      <c r="B1271" s="94" t="s">
        <v>2106</v>
      </c>
      <c r="C1271" s="18"/>
      <c r="D1271" s="418"/>
    </row>
    <row r="1272" spans="1:4" s="3" customFormat="1">
      <c r="A1272" s="55"/>
      <c r="B1272" s="94" t="s">
        <v>2107</v>
      </c>
      <c r="C1272" s="18"/>
      <c r="D1272" s="418"/>
    </row>
    <row r="1273" spans="1:4" s="3" customFormat="1" ht="26.45">
      <c r="A1273" s="55"/>
      <c r="B1273" s="94" t="s">
        <v>2108</v>
      </c>
      <c r="C1273" s="18"/>
      <c r="D1273" s="418"/>
    </row>
    <row r="1274" spans="1:4" s="3" customFormat="1">
      <c r="A1274" s="55"/>
      <c r="B1274" s="267" t="s">
        <v>1231</v>
      </c>
      <c r="C1274" s="18" t="s">
        <v>1262</v>
      </c>
      <c r="D1274" s="418"/>
    </row>
    <row r="1275" spans="1:4" s="3" customFormat="1">
      <c r="A1275" s="30" t="s">
        <v>107</v>
      </c>
      <c r="B1275" s="31" t="s">
        <v>2109</v>
      </c>
      <c r="C1275" s="18"/>
      <c r="D1275" s="418"/>
    </row>
    <row r="1276" spans="1:4" s="3" customFormat="1">
      <c r="A1276" s="55"/>
      <c r="B1276" s="94" t="s">
        <v>2110</v>
      </c>
      <c r="C1276" s="18"/>
      <c r="D1276" s="418"/>
    </row>
    <row r="1277" spans="1:4" s="3" customFormat="1">
      <c r="A1277" s="55"/>
      <c r="B1277" s="94" t="s">
        <v>2103</v>
      </c>
      <c r="C1277" s="18"/>
      <c r="D1277" s="418"/>
    </row>
    <row r="1278" spans="1:4" s="3" customFormat="1">
      <c r="A1278" s="55"/>
      <c r="B1278" s="267" t="s">
        <v>2104</v>
      </c>
      <c r="C1278" s="18"/>
      <c r="D1278" s="418"/>
    </row>
    <row r="1279" spans="1:4" s="3" customFormat="1">
      <c r="A1279" s="55"/>
      <c r="B1279" s="94" t="s">
        <v>2111</v>
      </c>
      <c r="C1279" s="18"/>
      <c r="D1279" s="418"/>
    </row>
    <row r="1280" spans="1:4" s="3" customFormat="1">
      <c r="A1280" s="55"/>
      <c r="B1280" s="94" t="s">
        <v>2112</v>
      </c>
      <c r="C1280" s="18"/>
      <c r="D1280" s="418"/>
    </row>
    <row r="1281" spans="1:4" s="3" customFormat="1">
      <c r="A1281" s="55"/>
      <c r="B1281" s="94" t="s">
        <v>2113</v>
      </c>
      <c r="C1281" s="18"/>
      <c r="D1281" s="418"/>
    </row>
    <row r="1282" spans="1:4" s="3" customFormat="1" ht="26.45">
      <c r="A1282" s="55"/>
      <c r="B1282" s="94" t="s">
        <v>2114</v>
      </c>
      <c r="C1282" s="18"/>
      <c r="D1282" s="418"/>
    </row>
    <row r="1283" spans="1:4" s="3" customFormat="1" ht="13.9">
      <c r="A1283" s="314" t="s">
        <v>2115</v>
      </c>
      <c r="B1283" s="276" t="s">
        <v>2116</v>
      </c>
      <c r="C1283" s="18" t="s">
        <v>1262</v>
      </c>
      <c r="D1283" s="418"/>
    </row>
    <row r="1284" spans="1:4" s="3" customFormat="1">
      <c r="A1284" s="314"/>
      <c r="B1284" s="267" t="s">
        <v>1231</v>
      </c>
      <c r="C1284" s="18"/>
      <c r="D1284" s="418"/>
    </row>
    <row r="1285" spans="1:4" s="3" customFormat="1" ht="13.9">
      <c r="A1285" s="314" t="s">
        <v>2117</v>
      </c>
      <c r="B1285" s="276" t="s">
        <v>2118</v>
      </c>
      <c r="C1285" s="18" t="s">
        <v>1262</v>
      </c>
      <c r="D1285" s="418"/>
    </row>
    <row r="1286" spans="1:4" s="3" customFormat="1">
      <c r="A1286" s="314"/>
      <c r="B1286" s="267" t="s">
        <v>1231</v>
      </c>
      <c r="C1286" s="18"/>
      <c r="D1286" s="418"/>
    </row>
    <row r="1287" spans="1:4" s="3" customFormat="1">
      <c r="A1287" s="314" t="s">
        <v>2119</v>
      </c>
      <c r="B1287" s="276" t="s">
        <v>2120</v>
      </c>
      <c r="C1287" s="18" t="s">
        <v>1262</v>
      </c>
      <c r="D1287" s="418"/>
    </row>
    <row r="1288" spans="1:4" s="3" customFormat="1">
      <c r="A1288" s="138"/>
      <c r="B1288" s="267" t="s">
        <v>1231</v>
      </c>
      <c r="C1288" s="18"/>
      <c r="D1288" s="418"/>
    </row>
    <row r="1289" spans="1:4" s="3" customFormat="1">
      <c r="A1289" s="30" t="s">
        <v>108</v>
      </c>
      <c r="B1289" s="31" t="s">
        <v>2121</v>
      </c>
      <c r="C1289" s="18"/>
      <c r="D1289" s="418"/>
    </row>
    <row r="1290" spans="1:4" s="3" customFormat="1">
      <c r="A1290" s="55"/>
      <c r="B1290" s="267" t="s">
        <v>2122</v>
      </c>
      <c r="C1290" s="18" t="s">
        <v>2123</v>
      </c>
      <c r="D1290" s="418"/>
    </row>
    <row r="1291" spans="1:4" s="3" customFormat="1" ht="26.45">
      <c r="A1291" s="22" t="s">
        <v>2124</v>
      </c>
      <c r="B1291" s="23" t="s">
        <v>2125</v>
      </c>
      <c r="C1291" s="24"/>
      <c r="D1291" s="255"/>
    </row>
    <row r="1292" spans="1:4" s="3" customFormat="1" ht="26.45">
      <c r="A1292" s="111" t="s">
        <v>959</v>
      </c>
      <c r="B1292" s="94" t="s">
        <v>2126</v>
      </c>
      <c r="C1292" s="18" t="s">
        <v>959</v>
      </c>
      <c r="D1292" s="418"/>
    </row>
    <row r="1293" spans="1:4" s="3" customFormat="1" ht="26.45">
      <c r="A1293" s="111" t="s">
        <v>959</v>
      </c>
      <c r="B1293" s="94" t="s">
        <v>2127</v>
      </c>
      <c r="C1293" s="18" t="s">
        <v>959</v>
      </c>
      <c r="D1293" s="418"/>
    </row>
    <row r="1294" spans="1:4" s="3" customFormat="1">
      <c r="A1294" s="111"/>
      <c r="B1294" s="94" t="s">
        <v>2128</v>
      </c>
      <c r="C1294" s="18"/>
      <c r="D1294" s="418"/>
    </row>
    <row r="1295" spans="1:4" s="3" customFormat="1">
      <c r="A1295" s="111"/>
      <c r="B1295" s="94" t="s">
        <v>2129</v>
      </c>
      <c r="C1295" s="18"/>
      <c r="D1295" s="418"/>
    </row>
    <row r="1296" spans="1:4" s="3" customFormat="1">
      <c r="A1296" s="111"/>
      <c r="B1296" s="94" t="s">
        <v>2130</v>
      </c>
      <c r="C1296" s="18"/>
      <c r="D1296" s="418"/>
    </row>
    <row r="1297" spans="1:4" s="3" customFormat="1" ht="26.25" customHeight="1">
      <c r="A1297" s="111"/>
      <c r="B1297" s="94" t="s">
        <v>2131</v>
      </c>
      <c r="C1297" s="18"/>
      <c r="D1297" s="418"/>
    </row>
    <row r="1298" spans="1:4" s="3" customFormat="1">
      <c r="A1298" s="111"/>
      <c r="B1298" s="94" t="s">
        <v>2132</v>
      </c>
      <c r="C1298" s="18"/>
      <c r="D1298" s="418"/>
    </row>
    <row r="1299" spans="1:4" s="3" customFormat="1" ht="26.45">
      <c r="A1299" s="111" t="s">
        <v>959</v>
      </c>
      <c r="B1299" s="94" t="s">
        <v>2133</v>
      </c>
      <c r="C1299" s="18" t="s">
        <v>959</v>
      </c>
      <c r="D1299" s="418"/>
    </row>
    <row r="1300" spans="1:4" s="3" customFormat="1" ht="26.45">
      <c r="A1300" s="111" t="s">
        <v>959</v>
      </c>
      <c r="B1300" s="94" t="s">
        <v>2134</v>
      </c>
      <c r="C1300" s="18" t="s">
        <v>959</v>
      </c>
      <c r="D1300" s="418"/>
    </row>
    <row r="1301" spans="1:4" s="3" customFormat="1" ht="26.45">
      <c r="A1301" s="111" t="s">
        <v>959</v>
      </c>
      <c r="B1301" s="94" t="s">
        <v>2135</v>
      </c>
      <c r="C1301" s="18" t="s">
        <v>959</v>
      </c>
      <c r="D1301" s="418"/>
    </row>
    <row r="1302" spans="1:4" s="3" customFormat="1">
      <c r="A1302" s="30" t="s">
        <v>2136</v>
      </c>
      <c r="B1302" s="31" t="s">
        <v>2137</v>
      </c>
      <c r="C1302" s="18"/>
      <c r="D1302" s="418"/>
    </row>
    <row r="1303" spans="1:4" s="3" customFormat="1">
      <c r="A1303" s="111"/>
      <c r="B1303" s="267" t="s">
        <v>1076</v>
      </c>
      <c r="C1303" s="18" t="s">
        <v>1077</v>
      </c>
      <c r="D1303" s="418"/>
    </row>
    <row r="1304" spans="1:4" s="3" customFormat="1">
      <c r="A1304" s="30" t="s">
        <v>2138</v>
      </c>
      <c r="B1304" s="31" t="s">
        <v>2139</v>
      </c>
      <c r="C1304" s="18"/>
      <c r="D1304" s="418"/>
    </row>
    <row r="1305" spans="1:4" s="3" customFormat="1">
      <c r="A1305" s="111"/>
      <c r="B1305" s="267" t="s">
        <v>1076</v>
      </c>
      <c r="C1305" s="18" t="s">
        <v>1077</v>
      </c>
      <c r="D1305" s="418"/>
    </row>
    <row r="1306" spans="1:4" s="3" customFormat="1">
      <c r="A1306" s="30" t="s">
        <v>2140</v>
      </c>
      <c r="B1306" s="31" t="s">
        <v>2141</v>
      </c>
      <c r="C1306" s="18"/>
      <c r="D1306" s="418"/>
    </row>
    <row r="1307" spans="1:4" s="3" customFormat="1">
      <c r="A1307" s="111"/>
      <c r="B1307" s="267" t="s">
        <v>1076</v>
      </c>
      <c r="C1307" s="18" t="s">
        <v>1077</v>
      </c>
      <c r="D1307" s="418"/>
    </row>
    <row r="1308" spans="1:4" s="3" customFormat="1">
      <c r="A1308" s="22" t="s">
        <v>2142</v>
      </c>
      <c r="B1308" s="23" t="s">
        <v>2143</v>
      </c>
      <c r="C1308" s="24"/>
      <c r="D1308" s="255"/>
    </row>
    <row r="1309" spans="1:4" s="3" customFormat="1" ht="26.45">
      <c r="A1309" s="111" t="s">
        <v>959</v>
      </c>
      <c r="B1309" s="94" t="s">
        <v>2144</v>
      </c>
      <c r="C1309" s="18" t="s">
        <v>959</v>
      </c>
      <c r="D1309" s="418"/>
    </row>
    <row r="1310" spans="1:4" s="3" customFormat="1" ht="26.45">
      <c r="A1310" s="111" t="s">
        <v>959</v>
      </c>
      <c r="B1310" s="94" t="s">
        <v>2127</v>
      </c>
      <c r="C1310" s="18" t="s">
        <v>959</v>
      </c>
      <c r="D1310" s="418"/>
    </row>
    <row r="1311" spans="1:4" s="3" customFormat="1">
      <c r="A1311" s="111"/>
      <c r="B1311" s="94" t="s">
        <v>2145</v>
      </c>
      <c r="C1311" s="18"/>
      <c r="D1311" s="418"/>
    </row>
    <row r="1312" spans="1:4" s="3" customFormat="1" ht="26.45">
      <c r="A1312" s="111" t="s">
        <v>959</v>
      </c>
      <c r="B1312" s="94" t="s">
        <v>2146</v>
      </c>
      <c r="C1312" s="18" t="s">
        <v>959</v>
      </c>
      <c r="D1312" s="418"/>
    </row>
    <row r="1313" spans="1:4" s="3" customFormat="1">
      <c r="A1313" s="30" t="s">
        <v>2147</v>
      </c>
      <c r="B1313" s="31" t="s">
        <v>2148</v>
      </c>
      <c r="C1313" s="18"/>
      <c r="D1313" s="418"/>
    </row>
    <row r="1314" spans="1:4" s="3" customFormat="1">
      <c r="A1314" s="286"/>
      <c r="B1314" s="267" t="s">
        <v>1231</v>
      </c>
      <c r="C1314" s="18" t="s">
        <v>1262</v>
      </c>
      <c r="D1314" s="418"/>
    </row>
    <row r="1315" spans="1:4" s="3" customFormat="1">
      <c r="A1315" s="30" t="s">
        <v>2149</v>
      </c>
      <c r="B1315" s="31" t="s">
        <v>2150</v>
      </c>
      <c r="C1315" s="18"/>
      <c r="D1315" s="418"/>
    </row>
    <row r="1316" spans="1:4" s="3" customFormat="1">
      <c r="A1316" s="55"/>
      <c r="B1316" s="267" t="s">
        <v>1231</v>
      </c>
      <c r="C1316" s="18" t="s">
        <v>1262</v>
      </c>
      <c r="D1316" s="418"/>
    </row>
    <row r="1317" spans="1:4" s="3" customFormat="1">
      <c r="A1317" s="22" t="s">
        <v>2151</v>
      </c>
      <c r="B1317" s="23" t="s">
        <v>2152</v>
      </c>
      <c r="C1317" s="24"/>
      <c r="D1317" s="255"/>
    </row>
    <row r="1318" spans="1:4" s="3" customFormat="1">
      <c r="A1318" s="308"/>
      <c r="B1318" s="309" t="s">
        <v>1231</v>
      </c>
      <c r="C1318" s="21" t="s">
        <v>1262</v>
      </c>
      <c r="D1318" s="428"/>
    </row>
    <row r="1319" spans="1:4" s="3" customFormat="1" ht="26.45">
      <c r="A1319" s="22" t="s">
        <v>2153</v>
      </c>
      <c r="B1319" s="23" t="s">
        <v>2154</v>
      </c>
      <c r="C1319" s="24"/>
      <c r="D1319" s="255"/>
    </row>
    <row r="1320" spans="1:4" s="3" customFormat="1">
      <c r="A1320" s="315"/>
      <c r="B1320" s="316" t="s">
        <v>1231</v>
      </c>
      <c r="C1320" s="82" t="s">
        <v>1262</v>
      </c>
      <c r="D1320" s="429"/>
    </row>
    <row r="1321" spans="1:4" s="73" customFormat="1" ht="26.45">
      <c r="A1321" s="22" t="s">
        <v>2155</v>
      </c>
      <c r="B1321" s="23" t="s">
        <v>2156</v>
      </c>
      <c r="C1321" s="24"/>
      <c r="D1321" s="255"/>
    </row>
    <row r="1322" spans="1:4" s="73" customFormat="1" ht="26.45">
      <c r="A1322" s="25" t="s">
        <v>959</v>
      </c>
      <c r="B1322" s="20" t="s">
        <v>2157</v>
      </c>
      <c r="C1322" s="21" t="s">
        <v>959</v>
      </c>
      <c r="D1322" s="418"/>
    </row>
    <row r="1323" spans="1:4" s="76" customFormat="1">
      <c r="A1323" s="25" t="s">
        <v>959</v>
      </c>
      <c r="B1323" s="20" t="s">
        <v>2158</v>
      </c>
      <c r="C1323" s="21" t="s">
        <v>959</v>
      </c>
      <c r="D1323" s="418"/>
    </row>
    <row r="1324" spans="1:4" s="73" customFormat="1">
      <c r="A1324" s="25" t="s">
        <v>959</v>
      </c>
      <c r="B1324" s="20" t="s">
        <v>2159</v>
      </c>
      <c r="C1324" s="21" t="s">
        <v>959</v>
      </c>
      <c r="D1324" s="418"/>
    </row>
    <row r="1325" spans="1:4" s="73" customFormat="1">
      <c r="A1325" s="25" t="s">
        <v>959</v>
      </c>
      <c r="B1325" s="20" t="s">
        <v>2160</v>
      </c>
      <c r="C1325" s="21" t="s">
        <v>959</v>
      </c>
      <c r="D1325" s="418"/>
    </row>
    <row r="1326" spans="1:4" s="73" customFormat="1">
      <c r="A1326" s="25" t="s">
        <v>959</v>
      </c>
      <c r="B1326" s="20" t="s">
        <v>2161</v>
      </c>
      <c r="C1326" s="21" t="s">
        <v>959</v>
      </c>
      <c r="D1326" s="418"/>
    </row>
    <row r="1327" spans="1:4" s="73" customFormat="1" ht="26.45">
      <c r="A1327" s="25" t="s">
        <v>959</v>
      </c>
      <c r="B1327" s="20" t="s">
        <v>2162</v>
      </c>
      <c r="C1327" s="21" t="s">
        <v>959</v>
      </c>
      <c r="D1327" s="418"/>
    </row>
    <row r="1328" spans="1:4" s="73" customFormat="1">
      <c r="A1328" s="28" t="s">
        <v>2163</v>
      </c>
      <c r="B1328" s="29" t="s">
        <v>2164</v>
      </c>
      <c r="C1328" s="21"/>
      <c r="D1328" s="418"/>
    </row>
    <row r="1329" spans="1:4" s="73" customFormat="1">
      <c r="A1329" s="39"/>
      <c r="B1329" s="309" t="s">
        <v>1428</v>
      </c>
      <c r="C1329" s="21" t="s">
        <v>1429</v>
      </c>
      <c r="D1329" s="418"/>
    </row>
    <row r="1330" spans="1:4" s="73" customFormat="1">
      <c r="A1330" s="30" t="s">
        <v>2165</v>
      </c>
      <c r="B1330" s="31" t="s">
        <v>2166</v>
      </c>
      <c r="C1330" s="18"/>
      <c r="D1330" s="418"/>
    </row>
    <row r="1331" spans="1:4" s="73" customFormat="1" ht="13.9">
      <c r="A1331" s="314" t="s">
        <v>2167</v>
      </c>
      <c r="B1331" s="276" t="s">
        <v>2168</v>
      </c>
      <c r="C1331" s="110" t="s">
        <v>1429</v>
      </c>
      <c r="D1331" s="418"/>
    </row>
    <row r="1332" spans="1:4" s="73" customFormat="1">
      <c r="A1332" s="139"/>
      <c r="B1332" s="267" t="s">
        <v>1428</v>
      </c>
      <c r="C1332" s="110"/>
      <c r="D1332" s="418"/>
    </row>
    <row r="1333" spans="1:4" s="73" customFormat="1">
      <c r="A1333" s="314" t="s">
        <v>2169</v>
      </c>
      <c r="B1333" s="276" t="s">
        <v>2170</v>
      </c>
      <c r="C1333" s="110" t="s">
        <v>1429</v>
      </c>
      <c r="D1333" s="418"/>
    </row>
    <row r="1334" spans="1:4" s="73" customFormat="1">
      <c r="A1334" s="139"/>
      <c r="B1334" s="267" t="s">
        <v>1428</v>
      </c>
      <c r="C1334" s="18"/>
      <c r="D1334" s="418"/>
    </row>
    <row r="1335" spans="1:4" s="73" customFormat="1">
      <c r="A1335" s="314" t="s">
        <v>2171</v>
      </c>
      <c r="B1335" s="276" t="s">
        <v>2172</v>
      </c>
      <c r="C1335" s="18"/>
      <c r="D1335" s="418"/>
    </row>
    <row r="1336" spans="1:4" s="73" customFormat="1">
      <c r="A1336" s="55"/>
      <c r="B1336" s="267" t="s">
        <v>1428</v>
      </c>
      <c r="C1336" s="18" t="s">
        <v>1429</v>
      </c>
      <c r="D1336" s="418"/>
    </row>
    <row r="1337" spans="1:4" s="73" customFormat="1">
      <c r="A1337" s="22" t="s">
        <v>2173</v>
      </c>
      <c r="B1337" s="23" t="s">
        <v>2174</v>
      </c>
      <c r="C1337" s="24"/>
      <c r="D1337" s="255"/>
    </row>
    <row r="1338" spans="1:4" s="73" customFormat="1">
      <c r="A1338" s="111"/>
      <c r="B1338" s="267" t="s">
        <v>2175</v>
      </c>
      <c r="C1338" s="18"/>
      <c r="D1338" s="418"/>
    </row>
    <row r="1339" spans="1:4" s="73" customFormat="1">
      <c r="A1339" s="111"/>
      <c r="B1339" s="267" t="s">
        <v>2176</v>
      </c>
      <c r="C1339" s="18"/>
      <c r="D1339" s="418"/>
    </row>
    <row r="1340" spans="1:4" s="73" customFormat="1">
      <c r="A1340" s="111"/>
      <c r="B1340" s="267" t="s">
        <v>2158</v>
      </c>
      <c r="C1340" s="18"/>
      <c r="D1340" s="418"/>
    </row>
    <row r="1341" spans="1:4" s="73" customFormat="1">
      <c r="A1341" s="111"/>
      <c r="B1341" s="267" t="s">
        <v>2159</v>
      </c>
      <c r="C1341" s="18"/>
      <c r="D1341" s="418"/>
    </row>
    <row r="1342" spans="1:4" s="73" customFormat="1">
      <c r="A1342" s="111"/>
      <c r="B1342" s="307" t="s">
        <v>2177</v>
      </c>
      <c r="C1342" s="18"/>
      <c r="D1342" s="418"/>
    </row>
    <row r="1343" spans="1:4" s="73" customFormat="1" ht="26.45">
      <c r="A1343" s="111"/>
      <c r="B1343" s="307" t="s">
        <v>2178</v>
      </c>
      <c r="C1343" s="18"/>
      <c r="D1343" s="418"/>
    </row>
    <row r="1344" spans="1:4" s="73" customFormat="1">
      <c r="A1344" s="111"/>
      <c r="B1344" s="307" t="s">
        <v>2179</v>
      </c>
      <c r="C1344" s="18"/>
      <c r="D1344" s="418"/>
    </row>
    <row r="1345" spans="1:4" s="73" customFormat="1" ht="26.45">
      <c r="A1345" s="111"/>
      <c r="B1345" s="94" t="s">
        <v>2180</v>
      </c>
      <c r="C1345" s="18"/>
      <c r="D1345" s="418"/>
    </row>
    <row r="1346" spans="1:4" s="73" customFormat="1">
      <c r="A1346" s="111"/>
      <c r="B1346" s="94" t="s">
        <v>2181</v>
      </c>
      <c r="C1346" s="18"/>
      <c r="D1346" s="418"/>
    </row>
    <row r="1347" spans="1:4" s="73" customFormat="1">
      <c r="A1347" s="30" t="s">
        <v>2182</v>
      </c>
      <c r="B1347" s="31" t="s">
        <v>2183</v>
      </c>
      <c r="C1347" s="18"/>
      <c r="D1347" s="418"/>
    </row>
    <row r="1348" spans="1:4" s="73" customFormat="1">
      <c r="A1348" s="111"/>
      <c r="B1348" s="305" t="s">
        <v>1428</v>
      </c>
      <c r="C1348" s="18" t="s">
        <v>1429</v>
      </c>
      <c r="D1348" s="418"/>
    </row>
    <row r="1349" spans="1:4" s="73" customFormat="1">
      <c r="A1349" s="30" t="s">
        <v>2184</v>
      </c>
      <c r="B1349" s="31" t="s">
        <v>2185</v>
      </c>
      <c r="C1349" s="18"/>
      <c r="D1349" s="418"/>
    </row>
    <row r="1350" spans="1:4" s="73" customFormat="1">
      <c r="A1350" s="140"/>
      <c r="B1350" s="317" t="s">
        <v>1428</v>
      </c>
      <c r="C1350" s="109" t="s">
        <v>1429</v>
      </c>
      <c r="D1350" s="418"/>
    </row>
    <row r="1351" spans="1:4" s="73" customFormat="1">
      <c r="A1351" s="22" t="s">
        <v>2186</v>
      </c>
      <c r="B1351" s="23" t="s">
        <v>2187</v>
      </c>
      <c r="C1351" s="24"/>
      <c r="D1351" s="255"/>
    </row>
    <row r="1352" spans="1:4" s="73" customFormat="1">
      <c r="A1352" s="111" t="s">
        <v>959</v>
      </c>
      <c r="B1352" s="267" t="s">
        <v>2188</v>
      </c>
      <c r="C1352" s="18" t="s">
        <v>959</v>
      </c>
      <c r="D1352" s="418"/>
    </row>
    <row r="1353" spans="1:4" s="73" customFormat="1">
      <c r="A1353" s="111" t="s">
        <v>959</v>
      </c>
      <c r="B1353" s="267" t="s">
        <v>1541</v>
      </c>
      <c r="C1353" s="18" t="s">
        <v>959</v>
      </c>
      <c r="D1353" s="418"/>
    </row>
    <row r="1354" spans="1:4" s="73" customFormat="1">
      <c r="A1354" s="111" t="s">
        <v>959</v>
      </c>
      <c r="B1354" s="267" t="s">
        <v>2189</v>
      </c>
      <c r="C1354" s="18" t="s">
        <v>959</v>
      </c>
      <c r="D1354" s="418"/>
    </row>
    <row r="1355" spans="1:4" s="73" customFormat="1">
      <c r="A1355" s="111"/>
      <c r="B1355" s="267" t="s">
        <v>2190</v>
      </c>
      <c r="C1355" s="18"/>
      <c r="D1355" s="418"/>
    </row>
    <row r="1356" spans="1:4" s="73" customFormat="1">
      <c r="A1356" s="111" t="s">
        <v>959</v>
      </c>
      <c r="B1356" s="267" t="s">
        <v>2191</v>
      </c>
      <c r="C1356" s="18" t="s">
        <v>959</v>
      </c>
      <c r="D1356" s="418"/>
    </row>
    <row r="1357" spans="1:4" s="73" customFormat="1">
      <c r="A1357" s="111"/>
      <c r="B1357" s="267" t="s">
        <v>1231</v>
      </c>
      <c r="C1357" s="18" t="s">
        <v>1262</v>
      </c>
      <c r="D1357" s="418"/>
    </row>
    <row r="1358" spans="1:4" s="73" customFormat="1">
      <c r="A1358" s="22" t="s">
        <v>2192</v>
      </c>
      <c r="B1358" s="23" t="s">
        <v>2193</v>
      </c>
      <c r="C1358" s="24"/>
      <c r="D1358" s="255"/>
    </row>
    <row r="1359" spans="1:4" s="73" customFormat="1">
      <c r="A1359" s="111" t="s">
        <v>959</v>
      </c>
      <c r="B1359" s="267" t="s">
        <v>2194</v>
      </c>
      <c r="C1359" s="18" t="s">
        <v>959</v>
      </c>
      <c r="D1359" s="418"/>
    </row>
    <row r="1360" spans="1:4" s="73" customFormat="1">
      <c r="A1360" s="111" t="s">
        <v>959</v>
      </c>
      <c r="B1360" s="267" t="s">
        <v>1541</v>
      </c>
      <c r="C1360" s="18" t="s">
        <v>959</v>
      </c>
      <c r="D1360" s="418"/>
    </row>
    <row r="1361" spans="1:5" s="73" customFormat="1">
      <c r="A1361" s="111" t="s">
        <v>959</v>
      </c>
      <c r="B1361" s="267" t="s">
        <v>2189</v>
      </c>
      <c r="C1361" s="18" t="s">
        <v>959</v>
      </c>
      <c r="D1361" s="418"/>
    </row>
    <row r="1362" spans="1:5" s="73" customFormat="1">
      <c r="A1362" s="111"/>
      <c r="B1362" s="267" t="s">
        <v>2195</v>
      </c>
      <c r="C1362" s="18"/>
      <c r="D1362" s="418"/>
    </row>
    <row r="1363" spans="1:5" s="73" customFormat="1">
      <c r="A1363" s="111" t="s">
        <v>959</v>
      </c>
      <c r="B1363" s="267" t="s">
        <v>2191</v>
      </c>
      <c r="C1363" s="18" t="s">
        <v>959</v>
      </c>
      <c r="D1363" s="418"/>
    </row>
    <row r="1364" spans="1:5" s="73" customFormat="1">
      <c r="A1364" s="111"/>
      <c r="B1364" s="267" t="s">
        <v>1231</v>
      </c>
      <c r="C1364" s="18" t="s">
        <v>1262</v>
      </c>
      <c r="D1364" s="418"/>
      <c r="E1364" s="76"/>
    </row>
    <row r="1365" spans="1:5" s="73" customFormat="1">
      <c r="A1365" s="22" t="s">
        <v>2196</v>
      </c>
      <c r="B1365" s="23" t="s">
        <v>2197</v>
      </c>
      <c r="C1365" s="24"/>
      <c r="D1365" s="255"/>
    </row>
    <row r="1366" spans="1:5" s="73" customFormat="1" ht="26.45">
      <c r="A1366" s="30" t="s">
        <v>2198</v>
      </c>
      <c r="B1366" s="31" t="s">
        <v>2199</v>
      </c>
      <c r="C1366" s="18"/>
      <c r="D1366" s="418"/>
    </row>
    <row r="1367" spans="1:5" s="73" customFormat="1" ht="26.45">
      <c r="A1367" s="111" t="s">
        <v>959</v>
      </c>
      <c r="B1367" s="267" t="s">
        <v>2200</v>
      </c>
      <c r="C1367" s="18" t="s">
        <v>959</v>
      </c>
      <c r="D1367" s="418"/>
    </row>
    <row r="1368" spans="1:5" s="73" customFormat="1">
      <c r="A1368" s="111" t="s">
        <v>959</v>
      </c>
      <c r="B1368" s="267" t="s">
        <v>1541</v>
      </c>
      <c r="C1368" s="18" t="s">
        <v>959</v>
      </c>
      <c r="D1368" s="418"/>
    </row>
    <row r="1369" spans="1:5" s="73" customFormat="1">
      <c r="A1369" s="111" t="s">
        <v>959</v>
      </c>
      <c r="B1369" s="267" t="s">
        <v>1542</v>
      </c>
      <c r="C1369" s="18" t="s">
        <v>959</v>
      </c>
      <c r="D1369" s="418"/>
    </row>
    <row r="1370" spans="1:5" s="73" customFormat="1">
      <c r="A1370" s="111" t="s">
        <v>959</v>
      </c>
      <c r="B1370" s="267" t="s">
        <v>2191</v>
      </c>
      <c r="C1370" s="18" t="s">
        <v>959</v>
      </c>
      <c r="D1370" s="418"/>
    </row>
    <row r="1371" spans="1:5" s="73" customFormat="1">
      <c r="A1371" s="111"/>
      <c r="B1371" s="267" t="s">
        <v>1231</v>
      </c>
      <c r="C1371" s="18" t="s">
        <v>1262</v>
      </c>
      <c r="D1371" s="418"/>
    </row>
    <row r="1372" spans="1:5" s="73" customFormat="1">
      <c r="A1372" s="30" t="s">
        <v>2201</v>
      </c>
      <c r="B1372" s="31" t="s">
        <v>2202</v>
      </c>
      <c r="C1372" s="18"/>
      <c r="D1372" s="418"/>
    </row>
    <row r="1373" spans="1:5" s="73" customFormat="1" ht="26.45">
      <c r="A1373" s="111" t="s">
        <v>959</v>
      </c>
      <c r="B1373" s="267" t="s">
        <v>2203</v>
      </c>
      <c r="C1373" s="18" t="s">
        <v>959</v>
      </c>
      <c r="D1373" s="418"/>
    </row>
    <row r="1374" spans="1:5" s="73" customFormat="1">
      <c r="A1374" s="55" t="s">
        <v>2204</v>
      </c>
      <c r="B1374" s="77" t="s">
        <v>2205</v>
      </c>
      <c r="C1374" s="18"/>
      <c r="D1374" s="418"/>
      <c r="E1374" s="76"/>
    </row>
    <row r="1375" spans="1:5" s="73" customFormat="1">
      <c r="A1375" s="111"/>
      <c r="B1375" s="267" t="s">
        <v>1231</v>
      </c>
      <c r="C1375" s="18" t="s">
        <v>1262</v>
      </c>
      <c r="D1375" s="418"/>
    </row>
    <row r="1376" spans="1:5" s="73" customFormat="1">
      <c r="A1376" s="55" t="s">
        <v>2206</v>
      </c>
      <c r="B1376" s="77" t="s">
        <v>2207</v>
      </c>
      <c r="C1376" s="18"/>
      <c r="D1376" s="418"/>
    </row>
    <row r="1377" spans="1:4" s="73" customFormat="1">
      <c r="A1377" s="111"/>
      <c r="B1377" s="267" t="s">
        <v>1231</v>
      </c>
      <c r="C1377" s="18" t="s">
        <v>1262</v>
      </c>
      <c r="D1377" s="418"/>
    </row>
    <row r="1378" spans="1:4" s="73" customFormat="1">
      <c r="A1378" s="30" t="s">
        <v>2208</v>
      </c>
      <c r="B1378" s="115" t="s">
        <v>2209</v>
      </c>
      <c r="C1378" s="133"/>
      <c r="D1378" s="418"/>
    </row>
    <row r="1379" spans="1:4" s="73" customFormat="1" ht="26.45">
      <c r="A1379" s="55"/>
      <c r="B1379" s="285" t="s">
        <v>2210</v>
      </c>
      <c r="C1379" s="133"/>
      <c r="D1379" s="418"/>
    </row>
    <row r="1380" spans="1:4" s="73" customFormat="1">
      <c r="A1380" s="55"/>
      <c r="B1380" s="285" t="s">
        <v>961</v>
      </c>
      <c r="C1380" s="133"/>
      <c r="D1380" s="418"/>
    </row>
    <row r="1381" spans="1:4" s="73" customFormat="1">
      <c r="A1381" s="55"/>
      <c r="B1381" s="318" t="s">
        <v>2211</v>
      </c>
      <c r="C1381" s="133"/>
      <c r="D1381" s="418"/>
    </row>
    <row r="1382" spans="1:4" s="73" customFormat="1">
      <c r="A1382" s="55"/>
      <c r="B1382" s="318" t="s">
        <v>2212</v>
      </c>
      <c r="C1382" s="133"/>
      <c r="D1382" s="418"/>
    </row>
    <row r="1383" spans="1:4" s="73" customFormat="1">
      <c r="A1383" s="55"/>
      <c r="B1383" s="318" t="s">
        <v>2213</v>
      </c>
      <c r="C1383" s="133"/>
      <c r="D1383" s="418"/>
    </row>
    <row r="1384" spans="1:4" s="2" customFormat="1" ht="26.45">
      <c r="A1384" s="55"/>
      <c r="B1384" s="319" t="s">
        <v>2214</v>
      </c>
      <c r="C1384" s="133"/>
      <c r="D1384" s="418"/>
    </row>
    <row r="1385" spans="1:4" s="2" customFormat="1">
      <c r="A1385" s="55" t="s">
        <v>2215</v>
      </c>
      <c r="B1385" s="132" t="s">
        <v>2216</v>
      </c>
      <c r="C1385" s="133"/>
      <c r="D1385" s="418"/>
    </row>
    <row r="1386" spans="1:4" s="2" customFormat="1">
      <c r="A1386" s="55"/>
      <c r="B1386" s="285" t="s">
        <v>1428</v>
      </c>
      <c r="C1386" s="133" t="s">
        <v>1429</v>
      </c>
      <c r="D1386" s="418"/>
    </row>
    <row r="1387" spans="1:4" s="2" customFormat="1">
      <c r="A1387" s="55" t="s">
        <v>2217</v>
      </c>
      <c r="B1387" s="132" t="s">
        <v>2218</v>
      </c>
      <c r="C1387" s="133"/>
      <c r="D1387" s="418"/>
    </row>
    <row r="1388" spans="1:4" s="2" customFormat="1">
      <c r="A1388" s="55"/>
      <c r="B1388" s="285" t="s">
        <v>1428</v>
      </c>
      <c r="C1388" s="133" t="s">
        <v>1429</v>
      </c>
      <c r="D1388" s="418"/>
    </row>
    <row r="1389" spans="1:4" s="2" customFormat="1">
      <c r="A1389" s="55" t="s">
        <v>2219</v>
      </c>
      <c r="B1389" s="132" t="s">
        <v>2220</v>
      </c>
      <c r="C1389" s="133"/>
      <c r="D1389" s="418"/>
    </row>
    <row r="1390" spans="1:4" s="2" customFormat="1">
      <c r="A1390" s="55"/>
      <c r="B1390" s="285" t="s">
        <v>1428</v>
      </c>
      <c r="C1390" s="133" t="s">
        <v>1429</v>
      </c>
      <c r="D1390" s="418"/>
    </row>
    <row r="1391" spans="1:4" s="2" customFormat="1">
      <c r="A1391" s="55" t="s">
        <v>2221</v>
      </c>
      <c r="B1391" s="132" t="s">
        <v>2222</v>
      </c>
      <c r="C1391" s="133"/>
      <c r="D1391" s="418"/>
    </row>
    <row r="1392" spans="1:4" s="2" customFormat="1">
      <c r="A1392" s="55"/>
      <c r="B1392" s="285" t="s">
        <v>1428</v>
      </c>
      <c r="C1392" s="133" t="s">
        <v>1429</v>
      </c>
      <c r="D1392" s="418"/>
    </row>
    <row r="1393" spans="1:4" s="2" customFormat="1">
      <c r="A1393" s="55" t="s">
        <v>2223</v>
      </c>
      <c r="B1393" s="132" t="s">
        <v>2224</v>
      </c>
      <c r="C1393" s="133"/>
      <c r="D1393" s="418"/>
    </row>
    <row r="1394" spans="1:4" s="2" customFormat="1">
      <c r="A1394" s="55"/>
      <c r="B1394" s="285" t="s">
        <v>1428</v>
      </c>
      <c r="C1394" s="133" t="s">
        <v>1429</v>
      </c>
      <c r="D1394" s="418"/>
    </row>
    <row r="1395" spans="1:4" s="2" customFormat="1">
      <c r="A1395" s="30" t="s">
        <v>2225</v>
      </c>
      <c r="B1395" s="115" t="s">
        <v>2226</v>
      </c>
      <c r="C1395" s="133"/>
      <c r="D1395" s="418"/>
    </row>
    <row r="1396" spans="1:4" s="2" customFormat="1">
      <c r="A1396" s="30"/>
      <c r="B1396" s="320" t="s">
        <v>2227</v>
      </c>
      <c r="C1396" s="133"/>
      <c r="D1396" s="418"/>
    </row>
    <row r="1397" spans="1:4" s="2" customFormat="1">
      <c r="A1397" s="30"/>
      <c r="B1397" s="320" t="s">
        <v>961</v>
      </c>
      <c r="C1397" s="133"/>
      <c r="D1397" s="418"/>
    </row>
    <row r="1398" spans="1:4" s="2" customFormat="1">
      <c r="A1398" s="30"/>
      <c r="B1398" s="321" t="s">
        <v>2228</v>
      </c>
      <c r="C1398" s="133"/>
      <c r="D1398" s="418"/>
    </row>
    <row r="1399" spans="1:4" s="2" customFormat="1">
      <c r="A1399" s="30"/>
      <c r="B1399" s="321" t="s">
        <v>2229</v>
      </c>
      <c r="C1399" s="133"/>
      <c r="D1399" s="418"/>
    </row>
    <row r="1400" spans="1:4" s="2" customFormat="1">
      <c r="A1400" s="30"/>
      <c r="B1400" s="321" t="s">
        <v>2230</v>
      </c>
      <c r="C1400" s="133"/>
      <c r="D1400" s="418"/>
    </row>
    <row r="1401" spans="1:4" s="2" customFormat="1">
      <c r="A1401" s="30"/>
      <c r="B1401" s="321" t="s">
        <v>2231</v>
      </c>
      <c r="C1401" s="133"/>
      <c r="D1401" s="418"/>
    </row>
    <row r="1402" spans="1:4" s="2" customFormat="1">
      <c r="A1402" s="30"/>
      <c r="B1402" s="320" t="s">
        <v>2232</v>
      </c>
      <c r="C1402" s="133"/>
      <c r="D1402" s="418"/>
    </row>
    <row r="1403" spans="1:4" s="2" customFormat="1">
      <c r="A1403" s="55" t="s">
        <v>2233</v>
      </c>
      <c r="B1403" s="132" t="s">
        <v>2234</v>
      </c>
      <c r="C1403" s="133"/>
      <c r="D1403" s="418"/>
    </row>
    <row r="1404" spans="1:4" s="2" customFormat="1">
      <c r="A1404" s="30"/>
      <c r="B1404" s="285" t="s">
        <v>1428</v>
      </c>
      <c r="C1404" s="133" t="s">
        <v>1429</v>
      </c>
      <c r="D1404" s="418"/>
    </row>
    <row r="1405" spans="1:4" s="2" customFormat="1" ht="13.9">
      <c r="A1405" s="55" t="s">
        <v>2235</v>
      </c>
      <c r="B1405" s="132" t="s">
        <v>2236</v>
      </c>
      <c r="C1405" s="133"/>
      <c r="D1405" s="418"/>
    </row>
    <row r="1406" spans="1:4" s="2" customFormat="1">
      <c r="A1406" s="30"/>
      <c r="B1406" s="285" t="s">
        <v>1428</v>
      </c>
      <c r="C1406" s="133" t="s">
        <v>1429</v>
      </c>
      <c r="D1406" s="418"/>
    </row>
    <row r="1407" spans="1:4" s="3" customFormat="1">
      <c r="A1407" s="55" t="s">
        <v>2237</v>
      </c>
      <c r="B1407" s="132" t="s">
        <v>2238</v>
      </c>
      <c r="C1407" s="133"/>
      <c r="D1407" s="418"/>
    </row>
    <row r="1408" spans="1:4" s="3" customFormat="1">
      <c r="A1408" s="30"/>
      <c r="B1408" s="285" t="s">
        <v>1428</v>
      </c>
      <c r="C1408" s="133" t="s">
        <v>1429</v>
      </c>
      <c r="D1408" s="418"/>
    </row>
    <row r="1409" spans="1:4" s="3" customFormat="1">
      <c r="A1409" s="55" t="s">
        <v>2239</v>
      </c>
      <c r="B1409" s="132" t="s">
        <v>2240</v>
      </c>
      <c r="C1409" s="133"/>
      <c r="D1409" s="418"/>
    </row>
    <row r="1410" spans="1:4" s="2" customFormat="1">
      <c r="A1410" s="30"/>
      <c r="B1410" s="285" t="s">
        <v>1428</v>
      </c>
      <c r="C1410" s="133" t="s">
        <v>1429</v>
      </c>
      <c r="D1410" s="418"/>
    </row>
    <row r="1411" spans="1:4" s="2" customFormat="1">
      <c r="A1411" s="141" t="s">
        <v>2241</v>
      </c>
      <c r="B1411" s="115" t="s">
        <v>2242</v>
      </c>
      <c r="C1411" s="18" t="s">
        <v>959</v>
      </c>
      <c r="D1411" s="418"/>
    </row>
    <row r="1412" spans="1:4" s="2" customFormat="1">
      <c r="A1412" s="142" t="s">
        <v>959</v>
      </c>
      <c r="B1412" s="267" t="s">
        <v>2243</v>
      </c>
      <c r="C1412" s="143" t="s">
        <v>959</v>
      </c>
      <c r="D1412" s="430"/>
    </row>
    <row r="1413" spans="1:4" s="2" customFormat="1" ht="39.6">
      <c r="A1413" s="142" t="s">
        <v>959</v>
      </c>
      <c r="B1413" s="267" t="s">
        <v>2244</v>
      </c>
      <c r="C1413" s="143" t="s">
        <v>959</v>
      </c>
      <c r="D1413" s="430"/>
    </row>
    <row r="1414" spans="1:4" s="2" customFormat="1">
      <c r="A1414" s="144"/>
      <c r="B1414" s="267" t="s">
        <v>1231</v>
      </c>
      <c r="C1414" s="18" t="s">
        <v>1262</v>
      </c>
      <c r="D1414" s="430"/>
    </row>
    <row r="1415" spans="1:4" s="2" customFormat="1">
      <c r="A1415" s="30" t="s">
        <v>2245</v>
      </c>
      <c r="B1415" s="115" t="s">
        <v>2246</v>
      </c>
      <c r="C1415" s="133"/>
      <c r="D1415" s="430"/>
    </row>
    <row r="1416" spans="1:4" s="2" customFormat="1" ht="26.45">
      <c r="A1416" s="111"/>
      <c r="B1416" s="285" t="s">
        <v>2247</v>
      </c>
      <c r="C1416" s="133"/>
      <c r="D1416" s="430"/>
    </row>
    <row r="1417" spans="1:4" s="2" customFormat="1">
      <c r="A1417" s="111"/>
      <c r="B1417" s="285" t="s">
        <v>2248</v>
      </c>
      <c r="C1417" s="133"/>
      <c r="D1417" s="430"/>
    </row>
    <row r="1418" spans="1:4" s="2" customFormat="1">
      <c r="A1418" s="111"/>
      <c r="B1418" s="267" t="s">
        <v>1428</v>
      </c>
      <c r="C1418" s="18" t="s">
        <v>1429</v>
      </c>
      <c r="D1418" s="430"/>
    </row>
    <row r="1419" spans="1:4" s="2" customFormat="1">
      <c r="A1419" s="30" t="s">
        <v>2249</v>
      </c>
      <c r="B1419" s="115" t="s">
        <v>2250</v>
      </c>
      <c r="C1419" s="133"/>
      <c r="D1419" s="430"/>
    </row>
    <row r="1420" spans="1:4" s="2" customFormat="1">
      <c r="A1420" s="111"/>
      <c r="B1420" s="285" t="s">
        <v>2251</v>
      </c>
      <c r="C1420" s="133"/>
      <c r="D1420" s="430"/>
    </row>
    <row r="1421" spans="1:4" s="2" customFormat="1" ht="39.6">
      <c r="A1421" s="111"/>
      <c r="B1421" s="285" t="s">
        <v>2252</v>
      </c>
      <c r="C1421" s="133"/>
      <c r="D1421" s="430"/>
    </row>
    <row r="1422" spans="1:4" s="3" customFormat="1" ht="39.6">
      <c r="A1422" s="111"/>
      <c r="B1422" s="285" t="s">
        <v>2253</v>
      </c>
      <c r="C1422" s="133"/>
      <c r="D1422" s="430"/>
    </row>
    <row r="1423" spans="1:4" s="3" customFormat="1">
      <c r="A1423" s="111"/>
      <c r="B1423" s="267" t="s">
        <v>1231</v>
      </c>
      <c r="C1423" s="18" t="s">
        <v>1262</v>
      </c>
      <c r="D1423" s="430"/>
    </row>
    <row r="1424" spans="1:4" s="2" customFormat="1">
      <c r="A1424" s="30" t="s">
        <v>2254</v>
      </c>
      <c r="B1424" s="31" t="s">
        <v>2255</v>
      </c>
      <c r="C1424" s="111"/>
      <c r="D1424" s="430"/>
    </row>
    <row r="1425" spans="1:4" s="2" customFormat="1">
      <c r="A1425" s="111" t="s">
        <v>959</v>
      </c>
      <c r="B1425" s="267" t="s">
        <v>2256</v>
      </c>
      <c r="C1425" s="18" t="s">
        <v>959</v>
      </c>
      <c r="D1425" s="430"/>
    </row>
    <row r="1426" spans="1:4" s="2" customFormat="1">
      <c r="A1426" s="111" t="s">
        <v>959</v>
      </c>
      <c r="B1426" s="267" t="s">
        <v>2257</v>
      </c>
      <c r="C1426" s="18" t="s">
        <v>959</v>
      </c>
      <c r="D1426" s="430"/>
    </row>
    <row r="1427" spans="1:4" s="2" customFormat="1" ht="12.75" customHeight="1">
      <c r="A1427" s="111" t="s">
        <v>959</v>
      </c>
      <c r="B1427" s="267" t="s">
        <v>2258</v>
      </c>
      <c r="C1427" s="18" t="s">
        <v>959</v>
      </c>
      <c r="D1427" s="430"/>
    </row>
    <row r="1428" spans="1:4" s="2" customFormat="1" ht="26.45">
      <c r="A1428" s="111" t="s">
        <v>959</v>
      </c>
      <c r="B1428" s="267" t="s">
        <v>2259</v>
      </c>
      <c r="C1428" s="18" t="s">
        <v>959</v>
      </c>
      <c r="D1428" s="430"/>
    </row>
    <row r="1429" spans="1:4" s="2" customFormat="1">
      <c r="A1429" s="286"/>
      <c r="B1429" s="267" t="s">
        <v>1231</v>
      </c>
      <c r="C1429" s="18" t="s">
        <v>1262</v>
      </c>
      <c r="D1429" s="430"/>
    </row>
    <row r="1430" spans="1:4" s="2" customFormat="1">
      <c r="A1430" s="141" t="s">
        <v>2260</v>
      </c>
      <c r="B1430" s="115" t="s">
        <v>2261</v>
      </c>
      <c r="C1430" s="30"/>
      <c r="D1430" s="430"/>
    </row>
    <row r="1431" spans="1:4" s="2" customFormat="1" ht="26.45">
      <c r="A1431" s="111"/>
      <c r="B1431" s="267" t="s">
        <v>2262</v>
      </c>
      <c r="C1431" s="18"/>
      <c r="D1431" s="430"/>
    </row>
    <row r="1432" spans="1:4" s="2" customFormat="1">
      <c r="A1432" s="111"/>
      <c r="B1432" s="267" t="s">
        <v>2176</v>
      </c>
      <c r="C1432" s="18"/>
      <c r="D1432" s="430"/>
    </row>
    <row r="1433" spans="1:4" s="3" customFormat="1">
      <c r="A1433" s="111"/>
      <c r="B1433" s="322" t="s">
        <v>2263</v>
      </c>
      <c r="C1433" s="18"/>
      <c r="D1433" s="430"/>
    </row>
    <row r="1434" spans="1:4" s="3" customFormat="1" ht="26.45">
      <c r="A1434" s="111"/>
      <c r="B1434" s="323" t="s">
        <v>2264</v>
      </c>
      <c r="C1434" s="18"/>
      <c r="D1434" s="430"/>
    </row>
    <row r="1435" spans="1:4" s="3" customFormat="1">
      <c r="A1435" s="111"/>
      <c r="B1435" s="323" t="s">
        <v>2265</v>
      </c>
      <c r="C1435" s="18"/>
      <c r="D1435" s="430"/>
    </row>
    <row r="1436" spans="1:4" s="2" customFormat="1" ht="26.45">
      <c r="A1436" s="111"/>
      <c r="B1436" s="323" t="s">
        <v>2266</v>
      </c>
      <c r="C1436" s="18"/>
      <c r="D1436" s="430"/>
    </row>
    <row r="1437" spans="1:4" s="2" customFormat="1">
      <c r="A1437" s="111"/>
      <c r="B1437" s="305" t="s">
        <v>1076</v>
      </c>
      <c r="C1437" s="18" t="s">
        <v>1077</v>
      </c>
      <c r="D1437" s="430"/>
    </row>
    <row r="1438" spans="1:4" s="2" customFormat="1">
      <c r="A1438" s="30" t="s">
        <v>2267</v>
      </c>
      <c r="B1438" s="115" t="s">
        <v>2268</v>
      </c>
      <c r="C1438" s="133"/>
      <c r="D1438" s="430"/>
    </row>
    <row r="1439" spans="1:4" s="2" customFormat="1">
      <c r="A1439" s="111"/>
      <c r="B1439" s="285" t="s">
        <v>2269</v>
      </c>
      <c r="C1439" s="133"/>
      <c r="D1439" s="430"/>
    </row>
    <row r="1440" spans="1:4" s="2" customFormat="1" ht="26.45">
      <c r="A1440" s="111"/>
      <c r="B1440" s="285" t="s">
        <v>2270</v>
      </c>
      <c r="C1440" s="133"/>
      <c r="D1440" s="430"/>
    </row>
    <row r="1441" spans="1:4" s="2" customFormat="1" ht="26.45">
      <c r="A1441" s="111"/>
      <c r="B1441" s="323" t="s">
        <v>2271</v>
      </c>
      <c r="C1441" s="18"/>
      <c r="D1441" s="430"/>
    </row>
    <row r="1442" spans="1:4" s="2" customFormat="1" ht="39.6">
      <c r="A1442" s="111"/>
      <c r="B1442" s="285" t="s">
        <v>2272</v>
      </c>
      <c r="C1442" s="18"/>
      <c r="D1442" s="430"/>
    </row>
    <row r="1443" spans="1:4" s="2" customFormat="1">
      <c r="A1443" s="55" t="s">
        <v>2273</v>
      </c>
      <c r="B1443" s="285" t="s">
        <v>2274</v>
      </c>
      <c r="C1443" s="18"/>
      <c r="D1443" s="430"/>
    </row>
    <row r="1444" spans="1:4" s="2" customFormat="1">
      <c r="A1444" s="55"/>
      <c r="B1444" s="285" t="s">
        <v>1231</v>
      </c>
      <c r="C1444" s="18" t="s">
        <v>1262</v>
      </c>
      <c r="D1444" s="430"/>
    </row>
    <row r="1445" spans="1:4" s="2" customFormat="1">
      <c r="A1445" s="55" t="s">
        <v>2275</v>
      </c>
      <c r="B1445" s="285" t="s">
        <v>2276</v>
      </c>
      <c r="C1445" s="18"/>
      <c r="D1445" s="430"/>
    </row>
    <row r="1446" spans="1:4" s="2" customFormat="1">
      <c r="A1446" s="111"/>
      <c r="B1446" s="285" t="s">
        <v>1231</v>
      </c>
      <c r="C1446" s="18" t="s">
        <v>1262</v>
      </c>
      <c r="D1446" s="430"/>
    </row>
    <row r="1447" spans="1:4" s="2" customFormat="1">
      <c r="A1447" s="55" t="s">
        <v>2277</v>
      </c>
      <c r="B1447" s="285" t="s">
        <v>2278</v>
      </c>
      <c r="C1447" s="18"/>
      <c r="D1447" s="430"/>
    </row>
    <row r="1448" spans="1:4" s="2" customFormat="1">
      <c r="A1448" s="111"/>
      <c r="B1448" s="285" t="s">
        <v>1231</v>
      </c>
      <c r="C1448" s="18" t="s">
        <v>1262</v>
      </c>
      <c r="D1448" s="430"/>
    </row>
    <row r="1449" spans="1:4" s="2" customFormat="1">
      <c r="A1449" s="55" t="s">
        <v>2279</v>
      </c>
      <c r="B1449" s="267" t="s">
        <v>2280</v>
      </c>
      <c r="C1449" s="18"/>
      <c r="D1449" s="430"/>
    </row>
    <row r="1450" spans="1:4" s="2" customFormat="1" ht="84.6" customHeight="1">
      <c r="A1450" s="55"/>
      <c r="B1450" s="267" t="s">
        <v>2281</v>
      </c>
      <c r="C1450" s="18"/>
      <c r="D1450" s="430"/>
    </row>
    <row r="1451" spans="1:4" s="2" customFormat="1">
      <c r="A1451" s="111"/>
      <c r="B1451" s="285" t="s">
        <v>1231</v>
      </c>
      <c r="C1451" s="18" t="s">
        <v>1262</v>
      </c>
      <c r="D1451" s="430"/>
    </row>
    <row r="1452" spans="1:4" s="2" customFormat="1">
      <c r="A1452" s="55" t="s">
        <v>2282</v>
      </c>
      <c r="B1452" s="267" t="s">
        <v>2283</v>
      </c>
      <c r="C1452" s="18"/>
      <c r="D1452" s="430"/>
    </row>
    <row r="1453" spans="1:4" s="2" customFormat="1" ht="103.9" customHeight="1">
      <c r="A1453" s="55"/>
      <c r="B1453" s="267" t="s">
        <v>2284</v>
      </c>
      <c r="C1453" s="18"/>
      <c r="D1453" s="430"/>
    </row>
    <row r="1454" spans="1:4" s="2" customFormat="1">
      <c r="A1454" s="111"/>
      <c r="B1454" s="285" t="s">
        <v>1231</v>
      </c>
      <c r="C1454" s="18" t="s">
        <v>1262</v>
      </c>
      <c r="D1454" s="430"/>
    </row>
    <row r="1455" spans="1:4" s="2" customFormat="1">
      <c r="A1455" s="30" t="s">
        <v>2285</v>
      </c>
      <c r="B1455" s="115" t="s">
        <v>2286</v>
      </c>
      <c r="C1455" s="18"/>
      <c r="D1455" s="430"/>
    </row>
    <row r="1456" spans="1:4" s="2" customFormat="1" ht="26.45">
      <c r="A1456" s="111"/>
      <c r="B1456" s="285" t="s">
        <v>2287</v>
      </c>
      <c r="C1456" s="18"/>
      <c r="D1456" s="430"/>
    </row>
    <row r="1457" spans="1:4" s="2" customFormat="1" ht="26.45">
      <c r="A1457" s="111"/>
      <c r="B1457" s="285" t="s">
        <v>2270</v>
      </c>
      <c r="C1457" s="18"/>
      <c r="D1457" s="430"/>
    </row>
    <row r="1458" spans="1:4" s="2" customFormat="1" ht="26.45">
      <c r="A1458" s="111"/>
      <c r="B1458" s="323" t="s">
        <v>2288</v>
      </c>
      <c r="C1458" s="18"/>
      <c r="D1458" s="430"/>
    </row>
    <row r="1459" spans="1:4" s="2" customFormat="1" ht="39.6">
      <c r="A1459" s="111"/>
      <c r="B1459" s="285" t="s">
        <v>2272</v>
      </c>
      <c r="C1459" s="133"/>
      <c r="D1459" s="430"/>
    </row>
    <row r="1460" spans="1:4" s="2" customFormat="1">
      <c r="A1460" s="55" t="s">
        <v>2289</v>
      </c>
      <c r="B1460" s="267" t="s">
        <v>2290</v>
      </c>
      <c r="C1460" s="133"/>
      <c r="D1460" s="430"/>
    </row>
    <row r="1461" spans="1:4" s="2" customFormat="1">
      <c r="A1461" s="111"/>
      <c r="B1461" s="267" t="s">
        <v>1231</v>
      </c>
      <c r="C1461" s="18" t="s">
        <v>1262</v>
      </c>
      <c r="D1461" s="430"/>
    </row>
    <row r="1462" spans="1:4" s="2" customFormat="1">
      <c r="A1462" s="55" t="s">
        <v>2291</v>
      </c>
      <c r="B1462" s="267" t="s">
        <v>2292</v>
      </c>
      <c r="C1462" s="133"/>
      <c r="D1462" s="430"/>
    </row>
    <row r="1463" spans="1:4" s="2" customFormat="1">
      <c r="A1463" s="111"/>
      <c r="B1463" s="267" t="s">
        <v>1231</v>
      </c>
      <c r="C1463" s="18" t="s">
        <v>1262</v>
      </c>
      <c r="D1463" s="430"/>
    </row>
    <row r="1464" spans="1:4" s="2" customFormat="1">
      <c r="A1464" s="55" t="s">
        <v>2293</v>
      </c>
      <c r="B1464" s="267" t="s">
        <v>2294</v>
      </c>
      <c r="C1464" s="18"/>
      <c r="D1464" s="430"/>
    </row>
    <row r="1465" spans="1:4" s="2" customFormat="1">
      <c r="A1465" s="111"/>
      <c r="B1465" s="267" t="s">
        <v>1231</v>
      </c>
      <c r="C1465" s="18" t="s">
        <v>1262</v>
      </c>
      <c r="D1465" s="430"/>
    </row>
    <row r="1466" spans="1:4" s="2" customFormat="1">
      <c r="A1466" s="30" t="s">
        <v>2295</v>
      </c>
      <c r="B1466" s="115" t="s">
        <v>2296</v>
      </c>
      <c r="C1466" s="18"/>
      <c r="D1466" s="430"/>
    </row>
    <row r="1467" spans="1:4" s="2" customFormat="1">
      <c r="A1467" s="111"/>
      <c r="B1467" s="285" t="s">
        <v>2297</v>
      </c>
      <c r="C1467" s="18"/>
      <c r="D1467" s="430"/>
    </row>
    <row r="1468" spans="1:4" s="2" customFormat="1" ht="26.45">
      <c r="A1468" s="111"/>
      <c r="B1468" s="285" t="s">
        <v>2270</v>
      </c>
      <c r="C1468" s="18"/>
      <c r="D1468" s="430"/>
    </row>
    <row r="1469" spans="1:4" s="2" customFormat="1" ht="26.45">
      <c r="A1469" s="111"/>
      <c r="B1469" s="323" t="s">
        <v>2288</v>
      </c>
      <c r="C1469" s="18"/>
      <c r="D1469" s="430"/>
    </row>
    <row r="1470" spans="1:4" s="2" customFormat="1" ht="26.45">
      <c r="A1470" s="111"/>
      <c r="B1470" s="285" t="s">
        <v>2298</v>
      </c>
      <c r="C1470" s="133"/>
      <c r="D1470" s="430"/>
    </row>
    <row r="1471" spans="1:4" s="2" customFormat="1">
      <c r="A1471" s="111"/>
      <c r="B1471" s="267" t="s">
        <v>1231</v>
      </c>
      <c r="C1471" s="18" t="s">
        <v>1262</v>
      </c>
      <c r="D1471" s="430"/>
    </row>
    <row r="1472" spans="1:4" s="2" customFormat="1">
      <c r="A1472" s="30" t="s">
        <v>2299</v>
      </c>
      <c r="B1472" s="47" t="s">
        <v>2300</v>
      </c>
      <c r="C1472" s="18"/>
      <c r="D1472" s="430"/>
    </row>
    <row r="1473" spans="1:4" s="2" customFormat="1" ht="79.150000000000006">
      <c r="A1473" s="111"/>
      <c r="B1473" s="267" t="s">
        <v>2301</v>
      </c>
      <c r="C1473" s="18"/>
      <c r="D1473" s="430"/>
    </row>
    <row r="1474" spans="1:4" s="2" customFormat="1">
      <c r="A1474" s="111"/>
      <c r="B1474" s="267" t="s">
        <v>1231</v>
      </c>
      <c r="C1474" s="18" t="s">
        <v>1262</v>
      </c>
      <c r="D1474" s="430"/>
    </row>
    <row r="1475" spans="1:4" s="2" customFormat="1">
      <c r="A1475" s="30" t="s">
        <v>2302</v>
      </c>
      <c r="B1475" s="31" t="s">
        <v>2303</v>
      </c>
      <c r="C1475" s="111"/>
      <c r="D1475" s="430"/>
    </row>
    <row r="1476" spans="1:4" s="2" customFormat="1">
      <c r="A1476" s="111" t="s">
        <v>959</v>
      </c>
      <c r="B1476" s="267" t="s">
        <v>2304</v>
      </c>
      <c r="C1476" s="18" t="s">
        <v>959</v>
      </c>
      <c r="D1476" s="430"/>
    </row>
    <row r="1477" spans="1:4" s="2" customFormat="1">
      <c r="A1477" s="111" t="s">
        <v>959</v>
      </c>
      <c r="B1477" s="267" t="s">
        <v>2257</v>
      </c>
      <c r="C1477" s="18" t="s">
        <v>959</v>
      </c>
      <c r="D1477" s="430"/>
    </row>
    <row r="1478" spans="1:4" s="2" customFormat="1">
      <c r="A1478" s="111" t="s">
        <v>959</v>
      </c>
      <c r="B1478" s="267" t="s">
        <v>2305</v>
      </c>
      <c r="C1478" s="18" t="s">
        <v>959</v>
      </c>
      <c r="D1478" s="430"/>
    </row>
    <row r="1479" spans="1:4" s="2" customFormat="1" ht="26.45">
      <c r="A1479" s="111" t="s">
        <v>959</v>
      </c>
      <c r="B1479" s="267" t="s">
        <v>2306</v>
      </c>
      <c r="C1479" s="18" t="s">
        <v>959</v>
      </c>
      <c r="D1479" s="430"/>
    </row>
    <row r="1480" spans="1:4" s="2" customFormat="1">
      <c r="A1480" s="286"/>
      <c r="B1480" s="267" t="s">
        <v>1231</v>
      </c>
      <c r="C1480" s="18" t="s">
        <v>1262</v>
      </c>
      <c r="D1480" s="430"/>
    </row>
    <row r="1481" spans="1:4" s="2" customFormat="1">
      <c r="A1481" s="30" t="s">
        <v>2307</v>
      </c>
      <c r="B1481" s="31" t="s">
        <v>2308</v>
      </c>
      <c r="C1481" s="111"/>
      <c r="D1481" s="430"/>
    </row>
    <row r="1482" spans="1:4" s="2" customFormat="1">
      <c r="A1482" s="111" t="s">
        <v>959</v>
      </c>
      <c r="B1482" s="267" t="s">
        <v>2309</v>
      </c>
      <c r="C1482" s="18" t="s">
        <v>959</v>
      </c>
      <c r="D1482" s="430"/>
    </row>
    <row r="1483" spans="1:4" s="2" customFormat="1">
      <c r="A1483" s="111" t="s">
        <v>959</v>
      </c>
      <c r="B1483" s="267" t="s">
        <v>2257</v>
      </c>
      <c r="C1483" s="18" t="s">
        <v>959</v>
      </c>
      <c r="D1483" s="430"/>
    </row>
    <row r="1484" spans="1:4" s="2" customFormat="1">
      <c r="A1484" s="111" t="s">
        <v>959</v>
      </c>
      <c r="B1484" s="267" t="s">
        <v>2305</v>
      </c>
      <c r="C1484" s="18" t="s">
        <v>959</v>
      </c>
      <c r="D1484" s="430"/>
    </row>
    <row r="1485" spans="1:4" s="2" customFormat="1" ht="26.45">
      <c r="A1485" s="111" t="s">
        <v>959</v>
      </c>
      <c r="B1485" s="267" t="s">
        <v>2310</v>
      </c>
      <c r="C1485" s="18" t="s">
        <v>959</v>
      </c>
      <c r="D1485" s="430"/>
    </row>
    <row r="1486" spans="1:4" s="2" customFormat="1">
      <c r="A1486" s="286"/>
      <c r="B1486" s="267" t="s">
        <v>1231</v>
      </c>
      <c r="C1486" s="18" t="s">
        <v>1262</v>
      </c>
      <c r="D1486" s="430"/>
    </row>
    <row r="1487" spans="1:4" s="2" customFormat="1">
      <c r="A1487" s="30" t="s">
        <v>2311</v>
      </c>
      <c r="B1487" s="31" t="s">
        <v>2312</v>
      </c>
      <c r="C1487" s="111"/>
      <c r="D1487" s="430"/>
    </row>
    <row r="1488" spans="1:4" s="2" customFormat="1" ht="26.45">
      <c r="A1488" s="111" t="s">
        <v>959</v>
      </c>
      <c r="B1488" s="267" t="s">
        <v>2313</v>
      </c>
      <c r="C1488" s="18" t="s">
        <v>959</v>
      </c>
      <c r="D1488" s="430"/>
    </row>
    <row r="1489" spans="1:4" s="2" customFormat="1">
      <c r="A1489" s="111" t="s">
        <v>959</v>
      </c>
      <c r="B1489" s="267" t="s">
        <v>2257</v>
      </c>
      <c r="C1489" s="18" t="s">
        <v>959</v>
      </c>
      <c r="D1489" s="430"/>
    </row>
    <row r="1490" spans="1:4" s="2" customFormat="1">
      <c r="A1490" s="111" t="s">
        <v>959</v>
      </c>
      <c r="B1490" s="267" t="s">
        <v>2314</v>
      </c>
      <c r="C1490" s="18" t="s">
        <v>959</v>
      </c>
      <c r="D1490" s="430"/>
    </row>
    <row r="1491" spans="1:4" s="2" customFormat="1" ht="26.45">
      <c r="A1491" s="111" t="s">
        <v>959</v>
      </c>
      <c r="B1491" s="267" t="s">
        <v>2315</v>
      </c>
      <c r="C1491" s="18" t="s">
        <v>959</v>
      </c>
      <c r="D1491" s="430"/>
    </row>
    <row r="1492" spans="1:4" s="2" customFormat="1">
      <c r="A1492" s="286"/>
      <c r="B1492" s="267" t="s">
        <v>1231</v>
      </c>
      <c r="C1492" s="18" t="s">
        <v>1262</v>
      </c>
      <c r="D1492" s="430"/>
    </row>
    <row r="1493" spans="1:4" s="2" customFormat="1">
      <c r="A1493" s="30" t="s">
        <v>2316</v>
      </c>
      <c r="B1493" s="47" t="s">
        <v>2317</v>
      </c>
      <c r="C1493" s="18"/>
      <c r="D1493" s="430"/>
    </row>
    <row r="1494" spans="1:4" s="2" customFormat="1" ht="79.150000000000006">
      <c r="A1494" s="286"/>
      <c r="B1494" s="267" t="s">
        <v>2318</v>
      </c>
      <c r="C1494" s="18"/>
      <c r="D1494" s="430"/>
    </row>
    <row r="1495" spans="1:4" s="2" customFormat="1">
      <c r="A1495" s="286"/>
      <c r="B1495" s="267" t="s">
        <v>1231</v>
      </c>
      <c r="C1495" s="18" t="s">
        <v>1262</v>
      </c>
      <c r="D1495" s="430"/>
    </row>
    <row r="1496" spans="1:4" s="2" customFormat="1" ht="39.6">
      <c r="A1496" s="30" t="s">
        <v>2319</v>
      </c>
      <c r="B1496" s="115" t="s">
        <v>2320</v>
      </c>
      <c r="C1496" s="18"/>
      <c r="D1496" s="430"/>
    </row>
    <row r="1497" spans="1:4" s="2" customFormat="1" ht="26.45">
      <c r="A1497" s="111"/>
      <c r="B1497" s="285" t="s">
        <v>2321</v>
      </c>
      <c r="C1497" s="18"/>
      <c r="D1497" s="430"/>
    </row>
    <row r="1498" spans="1:4" s="2" customFormat="1">
      <c r="A1498" s="111"/>
      <c r="B1498" s="285" t="s">
        <v>2322</v>
      </c>
      <c r="C1498" s="18"/>
      <c r="D1498" s="430"/>
    </row>
    <row r="1499" spans="1:4" s="2" customFormat="1">
      <c r="A1499" s="111"/>
      <c r="B1499" s="321" t="s">
        <v>1542</v>
      </c>
      <c r="C1499" s="18"/>
      <c r="D1499" s="430"/>
    </row>
    <row r="1500" spans="1:4" s="2" customFormat="1" ht="26.45">
      <c r="A1500" s="111"/>
      <c r="B1500" s="321" t="s">
        <v>2323</v>
      </c>
      <c r="C1500" s="18"/>
      <c r="D1500" s="430"/>
    </row>
    <row r="1501" spans="1:4" s="2" customFormat="1">
      <c r="A1501" s="111"/>
      <c r="B1501" s="321" t="s">
        <v>2324</v>
      </c>
      <c r="C1501" s="18"/>
      <c r="D1501" s="430"/>
    </row>
    <row r="1502" spans="1:4" s="2" customFormat="1">
      <c r="A1502" s="111"/>
      <c r="B1502" s="318" t="s">
        <v>2211</v>
      </c>
      <c r="C1502" s="18"/>
      <c r="D1502" s="430"/>
    </row>
    <row r="1503" spans="1:4" s="2" customFormat="1">
      <c r="A1503" s="111"/>
      <c r="B1503" s="318" t="s">
        <v>2325</v>
      </c>
      <c r="C1503" s="18"/>
      <c r="D1503" s="430"/>
    </row>
    <row r="1504" spans="1:4" s="2" customFormat="1">
      <c r="A1504" s="111"/>
      <c r="B1504" s="321" t="s">
        <v>2326</v>
      </c>
      <c r="C1504" s="18"/>
      <c r="D1504" s="430"/>
    </row>
    <row r="1505" spans="1:4" s="2" customFormat="1">
      <c r="A1505" s="111"/>
      <c r="B1505" s="321" t="s">
        <v>2327</v>
      </c>
      <c r="C1505" s="18"/>
      <c r="D1505" s="430"/>
    </row>
    <row r="1506" spans="1:4" s="2" customFormat="1" ht="26.45">
      <c r="A1506" s="111"/>
      <c r="B1506" s="320" t="s">
        <v>2328</v>
      </c>
      <c r="C1506" s="18"/>
      <c r="D1506" s="430"/>
    </row>
    <row r="1507" spans="1:4" s="2" customFormat="1">
      <c r="A1507" s="55" t="s">
        <v>2329</v>
      </c>
      <c r="B1507" s="77" t="s">
        <v>2330</v>
      </c>
      <c r="C1507" s="18"/>
      <c r="D1507" s="430"/>
    </row>
    <row r="1508" spans="1:4" s="2" customFormat="1">
      <c r="A1508" s="111"/>
      <c r="B1508" s="267" t="s">
        <v>2331</v>
      </c>
      <c r="C1508" s="18" t="s">
        <v>2332</v>
      </c>
      <c r="D1508" s="430"/>
    </row>
    <row r="1509" spans="1:4" s="2" customFormat="1" ht="15.75" customHeight="1">
      <c r="A1509" s="55" t="s">
        <v>2333</v>
      </c>
      <c r="B1509" s="77" t="s">
        <v>2334</v>
      </c>
      <c r="C1509" s="18"/>
      <c r="D1509" s="430"/>
    </row>
    <row r="1510" spans="1:4" s="2" customFormat="1">
      <c r="A1510" s="111"/>
      <c r="B1510" s="267" t="s">
        <v>2331</v>
      </c>
      <c r="C1510" s="18" t="s">
        <v>2332</v>
      </c>
      <c r="D1510" s="430"/>
    </row>
    <row r="1511" spans="1:4" s="2" customFormat="1">
      <c r="A1511" s="55" t="s">
        <v>2335</v>
      </c>
      <c r="B1511" s="77" t="s">
        <v>2336</v>
      </c>
      <c r="C1511" s="18"/>
      <c r="D1511" s="430"/>
    </row>
    <row r="1512" spans="1:4" s="2" customFormat="1">
      <c r="A1512" s="111"/>
      <c r="B1512" s="267" t="s">
        <v>2331</v>
      </c>
      <c r="C1512" s="18" t="s">
        <v>2332</v>
      </c>
      <c r="D1512" s="430"/>
    </row>
    <row r="1513" spans="1:4" s="2" customFormat="1">
      <c r="A1513" s="55" t="s">
        <v>2337</v>
      </c>
      <c r="B1513" s="77" t="s">
        <v>2338</v>
      </c>
      <c r="C1513" s="18"/>
      <c r="D1513" s="430"/>
    </row>
    <row r="1514" spans="1:4" s="2" customFormat="1" ht="18.75" customHeight="1">
      <c r="A1514" s="111"/>
      <c r="B1514" s="267" t="s">
        <v>2331</v>
      </c>
      <c r="C1514" s="18" t="s">
        <v>2332</v>
      </c>
      <c r="D1514" s="430"/>
    </row>
    <row r="1515" spans="1:4" s="2" customFormat="1">
      <c r="A1515" s="55" t="s">
        <v>2339</v>
      </c>
      <c r="B1515" s="77" t="s">
        <v>2340</v>
      </c>
      <c r="C1515" s="18"/>
      <c r="D1515" s="430"/>
    </row>
    <row r="1516" spans="1:4" s="2" customFormat="1">
      <c r="A1516" s="111"/>
      <c r="B1516" s="267" t="s">
        <v>2331</v>
      </c>
      <c r="C1516" s="18" t="s">
        <v>2332</v>
      </c>
      <c r="D1516" s="430"/>
    </row>
    <row r="1517" spans="1:4" s="2" customFormat="1">
      <c r="A1517" s="55" t="s">
        <v>2341</v>
      </c>
      <c r="B1517" s="77" t="s">
        <v>2342</v>
      </c>
      <c r="C1517" s="18"/>
      <c r="D1517" s="430"/>
    </row>
    <row r="1518" spans="1:4" s="2" customFormat="1">
      <c r="A1518" s="111"/>
      <c r="B1518" s="267" t="s">
        <v>2331</v>
      </c>
      <c r="C1518" s="18" t="s">
        <v>2332</v>
      </c>
      <c r="D1518" s="430"/>
    </row>
    <row r="1519" spans="1:4" s="2" customFormat="1">
      <c r="A1519" s="55" t="s">
        <v>2343</v>
      </c>
      <c r="B1519" s="77" t="s">
        <v>2344</v>
      </c>
      <c r="C1519" s="18"/>
      <c r="D1519" s="430"/>
    </row>
    <row r="1520" spans="1:4" s="2" customFormat="1">
      <c r="A1520" s="111"/>
      <c r="B1520" s="267" t="s">
        <v>2331</v>
      </c>
      <c r="C1520" s="18" t="s">
        <v>2332</v>
      </c>
      <c r="D1520" s="430"/>
    </row>
    <row r="1521" spans="1:4" s="2" customFormat="1">
      <c r="A1521" s="55" t="s">
        <v>2345</v>
      </c>
      <c r="B1521" s="77" t="s">
        <v>2346</v>
      </c>
      <c r="C1521" s="18"/>
      <c r="D1521" s="430"/>
    </row>
    <row r="1522" spans="1:4" s="2" customFormat="1">
      <c r="A1522" s="111"/>
      <c r="B1522" s="267" t="s">
        <v>2331</v>
      </c>
      <c r="C1522" s="18" t="s">
        <v>2332</v>
      </c>
      <c r="D1522" s="430"/>
    </row>
    <row r="1523" spans="1:4" s="2" customFormat="1">
      <c r="A1523" s="406" t="s">
        <v>2347</v>
      </c>
      <c r="B1523" s="407" t="s">
        <v>2348</v>
      </c>
      <c r="C1523" s="391"/>
      <c r="D1523" s="430"/>
    </row>
    <row r="1524" spans="1:4" s="2" customFormat="1">
      <c r="A1524" s="111"/>
      <c r="B1524" s="267" t="s">
        <v>2331</v>
      </c>
      <c r="C1524" s="18" t="s">
        <v>2332</v>
      </c>
      <c r="D1524" s="430"/>
    </row>
    <row r="1525" spans="1:4" s="2" customFormat="1">
      <c r="A1525" s="55" t="s">
        <v>2349</v>
      </c>
      <c r="B1525" s="77" t="s">
        <v>2350</v>
      </c>
      <c r="C1525" s="18"/>
      <c r="D1525" s="430"/>
    </row>
    <row r="1526" spans="1:4" s="2" customFormat="1">
      <c r="A1526" s="111"/>
      <c r="B1526" s="267" t="s">
        <v>2331</v>
      </c>
      <c r="C1526" s="18" t="s">
        <v>2332</v>
      </c>
      <c r="D1526" s="430"/>
    </row>
    <row r="1527" spans="1:4" s="2" customFormat="1">
      <c r="A1527" s="55" t="s">
        <v>2351</v>
      </c>
      <c r="B1527" s="77" t="s">
        <v>2352</v>
      </c>
      <c r="C1527" s="18"/>
      <c r="D1527" s="430"/>
    </row>
    <row r="1528" spans="1:4" s="2" customFormat="1">
      <c r="A1528" s="111"/>
      <c r="B1528" s="267" t="s">
        <v>2331</v>
      </c>
      <c r="C1528" s="18" t="s">
        <v>2332</v>
      </c>
      <c r="D1528" s="430"/>
    </row>
    <row r="1529" spans="1:4" s="2" customFormat="1">
      <c r="A1529" s="55" t="s">
        <v>2353</v>
      </c>
      <c r="B1529" s="77" t="s">
        <v>2354</v>
      </c>
      <c r="C1529" s="18"/>
      <c r="D1529" s="430"/>
    </row>
    <row r="1530" spans="1:4" s="2" customFormat="1">
      <c r="A1530" s="111"/>
      <c r="B1530" s="267" t="s">
        <v>2331</v>
      </c>
      <c r="C1530" s="18" t="s">
        <v>2332</v>
      </c>
      <c r="D1530" s="430"/>
    </row>
    <row r="1531" spans="1:4" s="2" customFormat="1">
      <c r="A1531" s="55" t="s">
        <v>2355</v>
      </c>
      <c r="B1531" s="276" t="s">
        <v>2356</v>
      </c>
      <c r="C1531" s="18"/>
      <c r="D1531" s="430"/>
    </row>
    <row r="1532" spans="1:4" s="2" customFormat="1" ht="26.45">
      <c r="A1532" s="111"/>
      <c r="B1532" s="267" t="s">
        <v>2357</v>
      </c>
      <c r="C1532" s="18"/>
      <c r="D1532" s="430"/>
    </row>
    <row r="1533" spans="1:4" s="2" customFormat="1">
      <c r="A1533" s="111"/>
      <c r="B1533" s="267" t="s">
        <v>2331</v>
      </c>
      <c r="C1533" s="18" t="s">
        <v>2332</v>
      </c>
      <c r="D1533" s="430"/>
    </row>
    <row r="1534" spans="1:4" s="2" customFormat="1">
      <c r="A1534" s="55" t="s">
        <v>2358</v>
      </c>
      <c r="B1534" s="276" t="s">
        <v>2359</v>
      </c>
      <c r="C1534" s="18"/>
      <c r="D1534" s="430"/>
    </row>
    <row r="1535" spans="1:4" s="2" customFormat="1">
      <c r="A1535" s="111"/>
      <c r="B1535" s="267" t="s">
        <v>2360</v>
      </c>
      <c r="C1535" s="18"/>
      <c r="D1535" s="430"/>
    </row>
    <row r="1536" spans="1:4" s="2" customFormat="1">
      <c r="A1536" s="111"/>
      <c r="B1536" s="267" t="s">
        <v>2331</v>
      </c>
      <c r="C1536" s="18" t="s">
        <v>2332</v>
      </c>
      <c r="D1536" s="430"/>
    </row>
    <row r="1537" spans="1:4" s="2" customFormat="1">
      <c r="A1537" s="55" t="s">
        <v>2361</v>
      </c>
      <c r="B1537" s="267" t="s">
        <v>2362</v>
      </c>
      <c r="C1537" s="18"/>
      <c r="D1537" s="430"/>
    </row>
    <row r="1538" spans="1:4" s="2" customFormat="1" ht="117.75" customHeight="1">
      <c r="A1538" s="111"/>
      <c r="B1538" s="378" t="s">
        <v>2363</v>
      </c>
      <c r="C1538" s="18"/>
      <c r="D1538" s="430"/>
    </row>
    <row r="1539" spans="1:4" s="2" customFormat="1">
      <c r="A1539" s="111"/>
      <c r="B1539" s="267" t="s">
        <v>1231</v>
      </c>
      <c r="C1539" s="18" t="s">
        <v>1262</v>
      </c>
      <c r="D1539" s="430"/>
    </row>
    <row r="1540" spans="1:4" s="2" customFormat="1">
      <c r="A1540" s="55" t="s">
        <v>2364</v>
      </c>
      <c r="B1540" s="267" t="s">
        <v>2365</v>
      </c>
      <c r="C1540" s="18"/>
      <c r="D1540" s="430"/>
    </row>
    <row r="1541" spans="1:4" s="2" customFormat="1" ht="117" customHeight="1">
      <c r="A1541" s="111"/>
      <c r="B1541" s="378" t="s">
        <v>2363</v>
      </c>
      <c r="C1541" s="18"/>
      <c r="D1541" s="430"/>
    </row>
    <row r="1542" spans="1:4" s="2" customFormat="1">
      <c r="A1542" s="111"/>
      <c r="B1542" s="267" t="s">
        <v>1231</v>
      </c>
      <c r="C1542" s="18" t="s">
        <v>1262</v>
      </c>
      <c r="D1542" s="430"/>
    </row>
    <row r="1543" spans="1:4" s="2" customFormat="1">
      <c r="A1543" s="55" t="s">
        <v>2366</v>
      </c>
      <c r="B1543" s="77" t="s">
        <v>2367</v>
      </c>
      <c r="C1543" s="18"/>
      <c r="D1543" s="430"/>
    </row>
    <row r="1544" spans="1:4" s="2" customFormat="1">
      <c r="A1544" s="111"/>
      <c r="B1544" s="267" t="s">
        <v>2331</v>
      </c>
      <c r="C1544" s="18" t="s">
        <v>2332</v>
      </c>
      <c r="D1544" s="430"/>
    </row>
    <row r="1545" spans="1:4" s="2" customFormat="1">
      <c r="A1545" s="55" t="s">
        <v>2368</v>
      </c>
      <c r="B1545" s="77" t="s">
        <v>2369</v>
      </c>
      <c r="C1545" s="18"/>
      <c r="D1545" s="430"/>
    </row>
    <row r="1546" spans="1:4" s="2" customFormat="1">
      <c r="A1546" s="111"/>
      <c r="B1546" s="267" t="s">
        <v>2331</v>
      </c>
      <c r="C1546" s="18" t="s">
        <v>2332</v>
      </c>
      <c r="D1546" s="430"/>
    </row>
    <row r="1547" spans="1:4" s="2" customFormat="1">
      <c r="A1547" s="55" t="s">
        <v>2370</v>
      </c>
      <c r="B1547" s="77" t="s">
        <v>2371</v>
      </c>
      <c r="C1547" s="18"/>
      <c r="D1547" s="430"/>
    </row>
    <row r="1548" spans="1:4" s="2" customFormat="1">
      <c r="A1548" s="111"/>
      <c r="B1548" s="267" t="s">
        <v>2331</v>
      </c>
      <c r="C1548" s="18" t="s">
        <v>2332</v>
      </c>
      <c r="D1548" s="430"/>
    </row>
    <row r="1549" spans="1:4" s="2" customFormat="1">
      <c r="A1549" s="55" t="s">
        <v>2372</v>
      </c>
      <c r="B1549" s="77" t="s">
        <v>2373</v>
      </c>
      <c r="C1549" s="18"/>
      <c r="D1549" s="430"/>
    </row>
    <row r="1550" spans="1:4" s="2" customFormat="1">
      <c r="A1550" s="111"/>
      <c r="B1550" s="267" t="s">
        <v>2331</v>
      </c>
      <c r="C1550" s="18" t="s">
        <v>2332</v>
      </c>
      <c r="D1550" s="430"/>
    </row>
    <row r="1551" spans="1:4" s="2" customFormat="1" ht="26.45">
      <c r="A1551" s="30" t="s">
        <v>2374</v>
      </c>
      <c r="B1551" s="31" t="s">
        <v>2375</v>
      </c>
      <c r="C1551" s="18"/>
      <c r="D1551" s="430"/>
    </row>
    <row r="1552" spans="1:4" s="2" customFormat="1" ht="26.45">
      <c r="A1552" s="111"/>
      <c r="B1552" s="267" t="s">
        <v>2376</v>
      </c>
      <c r="C1552" s="18"/>
      <c r="D1552" s="430"/>
    </row>
    <row r="1553" spans="1:4" s="2" customFormat="1">
      <c r="A1553" s="111"/>
      <c r="B1553" s="267" t="s">
        <v>2322</v>
      </c>
      <c r="C1553" s="18"/>
      <c r="D1553" s="430"/>
    </row>
    <row r="1554" spans="1:4" s="2" customFormat="1">
      <c r="A1554" s="111"/>
      <c r="B1554" s="321" t="s">
        <v>1542</v>
      </c>
      <c r="C1554" s="133"/>
      <c r="D1554" s="430"/>
    </row>
    <row r="1555" spans="1:4" s="2" customFormat="1">
      <c r="A1555" s="111"/>
      <c r="B1555" s="321" t="s">
        <v>2377</v>
      </c>
      <c r="C1555" s="133"/>
      <c r="D1555" s="430"/>
    </row>
    <row r="1556" spans="1:4" s="2" customFormat="1" ht="26.45">
      <c r="A1556" s="111"/>
      <c r="B1556" s="321" t="s">
        <v>2378</v>
      </c>
      <c r="C1556" s="133"/>
      <c r="D1556" s="430"/>
    </row>
    <row r="1557" spans="1:4" s="2" customFormat="1">
      <c r="A1557" s="111"/>
      <c r="B1557" s="321" t="s">
        <v>2379</v>
      </c>
      <c r="C1557" s="133"/>
      <c r="D1557" s="430"/>
    </row>
    <row r="1558" spans="1:4" s="2" customFormat="1" ht="26.45">
      <c r="A1558" s="111"/>
      <c r="B1558" s="321" t="s">
        <v>2380</v>
      </c>
      <c r="C1558" s="133"/>
      <c r="D1558" s="430"/>
    </row>
    <row r="1559" spans="1:4" s="2" customFormat="1" ht="26.45">
      <c r="A1559" s="111"/>
      <c r="B1559" s="321" t="s">
        <v>2381</v>
      </c>
      <c r="C1559" s="133"/>
      <c r="D1559" s="430"/>
    </row>
    <row r="1560" spans="1:4" s="2" customFormat="1" ht="26.45">
      <c r="A1560" s="111"/>
      <c r="B1560" s="321" t="s">
        <v>2382</v>
      </c>
      <c r="C1560" s="133"/>
      <c r="D1560" s="430"/>
    </row>
    <row r="1561" spans="1:4" s="2" customFormat="1">
      <c r="A1561" s="111"/>
      <c r="B1561" s="320" t="s">
        <v>2383</v>
      </c>
      <c r="C1561" s="133"/>
      <c r="D1561" s="430"/>
    </row>
    <row r="1562" spans="1:4" s="2" customFormat="1" ht="26.45">
      <c r="A1562" s="55"/>
      <c r="B1562" s="320" t="s">
        <v>2328</v>
      </c>
      <c r="C1562" s="133"/>
      <c r="D1562" s="430"/>
    </row>
    <row r="1563" spans="1:4" s="2" customFormat="1">
      <c r="A1563" s="111"/>
      <c r="B1563" s="267" t="s">
        <v>2331</v>
      </c>
      <c r="C1563" s="18" t="s">
        <v>2332</v>
      </c>
      <c r="D1563" s="430"/>
    </row>
    <row r="1564" spans="1:4" s="2" customFormat="1" ht="26.45">
      <c r="A1564" s="30" t="s">
        <v>2384</v>
      </c>
      <c r="B1564" s="31" t="s">
        <v>2385</v>
      </c>
      <c r="C1564" s="18"/>
      <c r="D1564" s="430"/>
    </row>
    <row r="1565" spans="1:4" s="2" customFormat="1" ht="26.45">
      <c r="A1565" s="239"/>
      <c r="B1565" s="320" t="s">
        <v>2386</v>
      </c>
      <c r="C1565" s="165"/>
      <c r="D1565" s="430"/>
    </row>
    <row r="1566" spans="1:4" s="2" customFormat="1">
      <c r="A1566" s="239"/>
      <c r="B1566" s="320" t="s">
        <v>2016</v>
      </c>
      <c r="C1566" s="165"/>
      <c r="D1566" s="430"/>
    </row>
    <row r="1567" spans="1:4" s="2" customFormat="1">
      <c r="A1567" s="239"/>
      <c r="B1567" s="321" t="s">
        <v>1542</v>
      </c>
      <c r="C1567" s="165"/>
      <c r="D1567" s="430"/>
    </row>
    <row r="1568" spans="1:4" s="48" customFormat="1">
      <c r="A1568" s="239"/>
      <c r="B1568" s="321" t="s">
        <v>2377</v>
      </c>
      <c r="C1568" s="165"/>
      <c r="D1568" s="430"/>
    </row>
    <row r="1569" spans="1:4" s="3" customFormat="1" ht="11.25" customHeight="1">
      <c r="A1569" s="239"/>
      <c r="B1569" s="321" t="s">
        <v>2378</v>
      </c>
      <c r="C1569" s="165"/>
      <c r="D1569" s="430"/>
    </row>
    <row r="1570" spans="1:4" s="3" customFormat="1">
      <c r="A1570" s="239"/>
      <c r="B1570" s="321" t="s">
        <v>2379</v>
      </c>
      <c r="C1570" s="165"/>
      <c r="D1570" s="430"/>
    </row>
    <row r="1571" spans="1:4" s="3" customFormat="1" ht="26.45">
      <c r="A1571" s="239"/>
      <c r="B1571" s="321" t="s">
        <v>2380</v>
      </c>
      <c r="C1571" s="165"/>
      <c r="D1571" s="430"/>
    </row>
    <row r="1572" spans="1:4" s="3" customFormat="1" ht="26.45">
      <c r="A1572" s="239"/>
      <c r="B1572" s="321" t="s">
        <v>2381</v>
      </c>
      <c r="C1572" s="165"/>
      <c r="D1572" s="430"/>
    </row>
    <row r="1573" spans="1:4" s="3" customFormat="1" ht="26.45">
      <c r="A1573" s="239"/>
      <c r="B1573" s="321" t="s">
        <v>2382</v>
      </c>
      <c r="C1573" s="165"/>
      <c r="D1573" s="430"/>
    </row>
    <row r="1574" spans="1:4" s="3" customFormat="1">
      <c r="A1574" s="239"/>
      <c r="B1574" s="320" t="s">
        <v>2383</v>
      </c>
      <c r="C1574" s="165"/>
      <c r="D1574" s="430"/>
    </row>
    <row r="1575" spans="1:4" s="3" customFormat="1" ht="26.45">
      <c r="A1575" s="239"/>
      <c r="B1575" s="320" t="s">
        <v>2328</v>
      </c>
      <c r="C1575" s="165"/>
      <c r="D1575" s="430"/>
    </row>
    <row r="1576" spans="1:4" s="3" customFormat="1">
      <c r="A1576" s="240" t="s">
        <v>2387</v>
      </c>
      <c r="B1576" s="320" t="s">
        <v>2388</v>
      </c>
      <c r="C1576" s="165"/>
      <c r="D1576" s="430"/>
    </row>
    <row r="1577" spans="1:4" s="3" customFormat="1" ht="14.45">
      <c r="A1577" s="241"/>
      <c r="B1577" s="320" t="s">
        <v>2331</v>
      </c>
      <c r="C1577" s="145" t="s">
        <v>2332</v>
      </c>
      <c r="D1577" s="430"/>
    </row>
    <row r="1578" spans="1:4" s="3" customFormat="1" ht="17.25" customHeight="1">
      <c r="A1578" s="240" t="s">
        <v>2389</v>
      </c>
      <c r="B1578" s="320" t="s">
        <v>2390</v>
      </c>
      <c r="C1578" s="165"/>
      <c r="D1578" s="430"/>
    </row>
    <row r="1579" spans="1:4" s="3" customFormat="1" ht="14.45">
      <c r="A1579" s="242"/>
      <c r="B1579" s="320" t="s">
        <v>2331</v>
      </c>
      <c r="C1579" s="18" t="s">
        <v>2332</v>
      </c>
      <c r="D1579" s="430"/>
    </row>
    <row r="1580" spans="1:4" s="3" customFormat="1">
      <c r="A1580" s="16" t="s">
        <v>2391</v>
      </c>
      <c r="B1580" s="115" t="s">
        <v>2392</v>
      </c>
      <c r="C1580" s="18"/>
      <c r="D1580" s="430"/>
    </row>
    <row r="1581" spans="1:4" s="3" customFormat="1" ht="26.45">
      <c r="A1581" s="122"/>
      <c r="B1581" s="285" t="s">
        <v>2393</v>
      </c>
      <c r="C1581" s="18"/>
      <c r="D1581" s="430"/>
    </row>
    <row r="1582" spans="1:4" s="3" customFormat="1">
      <c r="A1582" s="55"/>
      <c r="B1582" s="267" t="s">
        <v>2394</v>
      </c>
      <c r="C1582" s="18"/>
      <c r="D1582" s="430"/>
    </row>
    <row r="1583" spans="1:4" s="3" customFormat="1">
      <c r="A1583" s="111"/>
      <c r="B1583" s="267" t="s">
        <v>1542</v>
      </c>
      <c r="C1583" s="18"/>
      <c r="D1583" s="430"/>
    </row>
    <row r="1584" spans="1:4" s="2" customFormat="1">
      <c r="A1584" s="111"/>
      <c r="B1584" s="267" t="s">
        <v>2377</v>
      </c>
      <c r="C1584" s="18"/>
      <c r="D1584" s="430"/>
    </row>
    <row r="1585" spans="1:4" s="3" customFormat="1">
      <c r="A1585" s="111"/>
      <c r="B1585" s="267" t="s">
        <v>2395</v>
      </c>
      <c r="C1585" s="18"/>
      <c r="D1585" s="430"/>
    </row>
    <row r="1586" spans="1:4" s="2" customFormat="1" ht="41.25" customHeight="1">
      <c r="A1586" s="55"/>
      <c r="B1586" s="267" t="s">
        <v>2396</v>
      </c>
      <c r="C1586" s="18"/>
      <c r="D1586" s="430"/>
    </row>
    <row r="1587" spans="1:4" s="3" customFormat="1">
      <c r="A1587" s="111"/>
      <c r="B1587" s="267" t="s">
        <v>2397</v>
      </c>
      <c r="C1587" s="18"/>
      <c r="D1587" s="430"/>
    </row>
    <row r="1588" spans="1:4" s="2" customFormat="1">
      <c r="A1588" s="111"/>
      <c r="B1588" s="267" t="s">
        <v>1231</v>
      </c>
      <c r="C1588" s="18" t="s">
        <v>1262</v>
      </c>
      <c r="D1588" s="430"/>
    </row>
    <row r="1589" spans="1:4" s="3" customFormat="1">
      <c r="A1589" s="30" t="s">
        <v>2398</v>
      </c>
      <c r="B1589" s="31" t="s">
        <v>2399</v>
      </c>
      <c r="C1589" s="18"/>
      <c r="D1589" s="430"/>
    </row>
    <row r="1590" spans="1:4" s="2" customFormat="1">
      <c r="A1590" s="55"/>
      <c r="B1590" s="267" t="s">
        <v>2400</v>
      </c>
      <c r="C1590" s="18"/>
      <c r="D1590" s="430"/>
    </row>
    <row r="1591" spans="1:4" s="3" customFormat="1">
      <c r="A1591" s="55"/>
      <c r="B1591" s="267" t="s">
        <v>2401</v>
      </c>
      <c r="C1591" s="18"/>
      <c r="D1591" s="430"/>
    </row>
    <row r="1592" spans="1:4" s="2" customFormat="1" ht="26.45">
      <c r="A1592" s="55"/>
      <c r="B1592" s="267" t="s">
        <v>2402</v>
      </c>
      <c r="C1592" s="18"/>
      <c r="D1592" s="430"/>
    </row>
    <row r="1593" spans="1:4" s="3" customFormat="1">
      <c r="A1593" s="55"/>
      <c r="B1593" s="267" t="s">
        <v>2403</v>
      </c>
      <c r="C1593" s="18"/>
      <c r="D1593" s="430"/>
    </row>
    <row r="1594" spans="1:4" s="2" customFormat="1">
      <c r="A1594" s="55"/>
      <c r="B1594" s="267" t="s">
        <v>2404</v>
      </c>
      <c r="C1594" s="18"/>
      <c r="D1594" s="430"/>
    </row>
    <row r="1595" spans="1:4" s="3" customFormat="1">
      <c r="A1595" s="55" t="s">
        <v>2405</v>
      </c>
      <c r="B1595" s="77" t="s">
        <v>2406</v>
      </c>
      <c r="C1595" s="18"/>
      <c r="D1595" s="430"/>
    </row>
    <row r="1596" spans="1:4" s="2" customFormat="1">
      <c r="A1596" s="286"/>
      <c r="B1596" s="267" t="s">
        <v>1231</v>
      </c>
      <c r="C1596" s="18" t="s">
        <v>1262</v>
      </c>
      <c r="D1596" s="430"/>
    </row>
    <row r="1597" spans="1:4" s="3" customFormat="1">
      <c r="A1597" s="55" t="s">
        <v>2407</v>
      </c>
      <c r="B1597" s="77" t="s">
        <v>2408</v>
      </c>
      <c r="C1597" s="18"/>
      <c r="D1597" s="430"/>
    </row>
    <row r="1598" spans="1:4" s="2" customFormat="1">
      <c r="A1598" s="286"/>
      <c r="B1598" s="267" t="s">
        <v>1231</v>
      </c>
      <c r="C1598" s="18" t="s">
        <v>1262</v>
      </c>
      <c r="D1598" s="430"/>
    </row>
    <row r="1599" spans="1:4" s="3" customFormat="1">
      <c r="A1599" s="55" t="s">
        <v>2409</v>
      </c>
      <c r="B1599" s="77" t="s">
        <v>2410</v>
      </c>
      <c r="C1599" s="18"/>
      <c r="D1599" s="430"/>
    </row>
    <row r="1600" spans="1:4" s="2" customFormat="1">
      <c r="A1600" s="286"/>
      <c r="B1600" s="267" t="s">
        <v>1231</v>
      </c>
      <c r="C1600" s="18" t="s">
        <v>1262</v>
      </c>
      <c r="D1600" s="430"/>
    </row>
    <row r="1601" spans="1:4" s="3" customFormat="1">
      <c r="A1601" s="30" t="s">
        <v>2411</v>
      </c>
      <c r="B1601" s="31" t="s">
        <v>2412</v>
      </c>
      <c r="C1601" s="18"/>
      <c r="D1601" s="430"/>
    </row>
    <row r="1602" spans="1:4" s="2" customFormat="1">
      <c r="A1602" s="55"/>
      <c r="B1602" s="267" t="s">
        <v>2413</v>
      </c>
      <c r="C1602" s="18"/>
      <c r="D1602" s="430"/>
    </row>
    <row r="1603" spans="1:4" s="3" customFormat="1">
      <c r="A1603" s="55"/>
      <c r="B1603" s="267" t="s">
        <v>2401</v>
      </c>
      <c r="C1603" s="18"/>
      <c r="D1603" s="430"/>
    </row>
    <row r="1604" spans="1:4" s="3" customFormat="1" ht="26.45">
      <c r="A1604" s="55"/>
      <c r="B1604" s="267" t="s">
        <v>2402</v>
      </c>
      <c r="C1604" s="18"/>
      <c r="D1604" s="430"/>
    </row>
    <row r="1605" spans="1:4" s="3" customFormat="1">
      <c r="A1605" s="55"/>
      <c r="B1605" s="267" t="s">
        <v>2403</v>
      </c>
      <c r="C1605" s="18"/>
      <c r="D1605" s="430"/>
    </row>
    <row r="1606" spans="1:4" s="3" customFormat="1">
      <c r="A1606" s="55"/>
      <c r="B1606" s="267" t="s">
        <v>2404</v>
      </c>
      <c r="C1606" s="18"/>
      <c r="D1606" s="430"/>
    </row>
    <row r="1607" spans="1:4" s="3" customFormat="1">
      <c r="A1607" s="55" t="s">
        <v>2414</v>
      </c>
      <c r="B1607" s="77" t="s">
        <v>2406</v>
      </c>
      <c r="C1607" s="18"/>
      <c r="D1607" s="430"/>
    </row>
    <row r="1608" spans="1:4" s="3" customFormat="1">
      <c r="A1608" s="286"/>
      <c r="B1608" s="267" t="s">
        <v>2331</v>
      </c>
      <c r="C1608" s="18" t="s">
        <v>2332</v>
      </c>
      <c r="D1608" s="430"/>
    </row>
    <row r="1609" spans="1:4" s="3" customFormat="1">
      <c r="A1609" s="55" t="s">
        <v>2415</v>
      </c>
      <c r="B1609" s="77" t="s">
        <v>2408</v>
      </c>
      <c r="C1609" s="18"/>
      <c r="D1609" s="430"/>
    </row>
    <row r="1610" spans="1:4" s="3" customFormat="1">
      <c r="A1610" s="286"/>
      <c r="B1610" s="267" t="s">
        <v>2331</v>
      </c>
      <c r="C1610" s="18" t="s">
        <v>2332</v>
      </c>
      <c r="D1610" s="430"/>
    </row>
    <row r="1611" spans="1:4" s="3" customFormat="1">
      <c r="A1611" s="30" t="s">
        <v>2416</v>
      </c>
      <c r="B1611" s="31" t="s">
        <v>2417</v>
      </c>
      <c r="C1611" s="18"/>
      <c r="D1611" s="430"/>
    </row>
    <row r="1612" spans="1:4" s="3" customFormat="1" ht="26.45">
      <c r="A1612" s="111" t="s">
        <v>959</v>
      </c>
      <c r="B1612" s="267" t="s">
        <v>2418</v>
      </c>
      <c r="C1612" s="18" t="s">
        <v>959</v>
      </c>
      <c r="D1612" s="430"/>
    </row>
    <row r="1613" spans="1:4" s="2" customFormat="1">
      <c r="A1613" s="111" t="s">
        <v>959</v>
      </c>
      <c r="B1613" s="267" t="s">
        <v>2257</v>
      </c>
      <c r="C1613" s="18" t="s">
        <v>959</v>
      </c>
      <c r="D1613" s="430"/>
    </row>
    <row r="1614" spans="1:4" s="3" customFormat="1">
      <c r="A1614" s="111" t="s">
        <v>959</v>
      </c>
      <c r="B1614" s="267" t="s">
        <v>1542</v>
      </c>
      <c r="C1614" s="18" t="s">
        <v>959</v>
      </c>
      <c r="D1614" s="430"/>
    </row>
    <row r="1615" spans="1:4" s="2" customFormat="1">
      <c r="A1615" s="111" t="s">
        <v>959</v>
      </c>
      <c r="B1615" s="267" t="s">
        <v>2324</v>
      </c>
      <c r="C1615" s="18" t="s">
        <v>959</v>
      </c>
      <c r="D1615" s="430"/>
    </row>
    <row r="1616" spans="1:4" s="3" customFormat="1">
      <c r="A1616" s="111" t="s">
        <v>959</v>
      </c>
      <c r="B1616" s="267" t="s">
        <v>2326</v>
      </c>
      <c r="C1616" s="18" t="s">
        <v>959</v>
      </c>
      <c r="D1616" s="430"/>
    </row>
    <row r="1617" spans="1:4" s="2" customFormat="1">
      <c r="A1617" s="111" t="s">
        <v>959</v>
      </c>
      <c r="B1617" s="267" t="s">
        <v>2419</v>
      </c>
      <c r="C1617" s="18" t="s">
        <v>959</v>
      </c>
      <c r="D1617" s="430"/>
    </row>
    <row r="1618" spans="1:4" s="3" customFormat="1" ht="26.45">
      <c r="A1618" s="111" t="s">
        <v>959</v>
      </c>
      <c r="B1618" s="267" t="s">
        <v>2420</v>
      </c>
      <c r="C1618" s="18" t="s">
        <v>959</v>
      </c>
      <c r="D1618" s="430"/>
    </row>
    <row r="1619" spans="1:4" s="3" customFormat="1" ht="26.45">
      <c r="A1619" s="111" t="s">
        <v>959</v>
      </c>
      <c r="B1619" s="267" t="s">
        <v>2421</v>
      </c>
      <c r="C1619" s="18" t="s">
        <v>959</v>
      </c>
      <c r="D1619" s="430"/>
    </row>
    <row r="1620" spans="1:4" s="3" customFormat="1">
      <c r="A1620" s="111" t="s">
        <v>959</v>
      </c>
      <c r="B1620" s="267" t="s">
        <v>2422</v>
      </c>
      <c r="C1620" s="18" t="s">
        <v>959</v>
      </c>
      <c r="D1620" s="430"/>
    </row>
    <row r="1621" spans="1:4" s="3" customFormat="1">
      <c r="A1621" s="111"/>
      <c r="B1621" s="267" t="s">
        <v>1231</v>
      </c>
      <c r="C1621" s="18" t="s">
        <v>1262</v>
      </c>
      <c r="D1621" s="430"/>
    </row>
    <row r="1622" spans="1:4" s="3" customFormat="1">
      <c r="A1622" s="16" t="s">
        <v>2423</v>
      </c>
      <c r="B1622" s="17" t="s">
        <v>2424</v>
      </c>
      <c r="C1622" s="18"/>
      <c r="D1622" s="430"/>
    </row>
    <row r="1623" spans="1:4" s="3" customFormat="1" ht="39.6">
      <c r="A1623" s="112" t="s">
        <v>959</v>
      </c>
      <c r="B1623" s="283" t="s">
        <v>2425</v>
      </c>
      <c r="C1623" s="18" t="s">
        <v>959</v>
      </c>
      <c r="D1623" s="430"/>
    </row>
    <row r="1624" spans="1:4" s="3" customFormat="1">
      <c r="A1624" s="112" t="s">
        <v>959</v>
      </c>
      <c r="B1624" s="283" t="s">
        <v>2257</v>
      </c>
      <c r="C1624" s="18" t="s">
        <v>959</v>
      </c>
      <c r="D1624" s="430"/>
    </row>
    <row r="1625" spans="1:4" s="3" customFormat="1">
      <c r="A1625" s="112" t="s">
        <v>959</v>
      </c>
      <c r="B1625" s="283" t="s">
        <v>1542</v>
      </c>
      <c r="C1625" s="18" t="s">
        <v>959</v>
      </c>
      <c r="D1625" s="430"/>
    </row>
    <row r="1626" spans="1:4" s="3" customFormat="1">
      <c r="A1626" s="112" t="s">
        <v>959</v>
      </c>
      <c r="B1626" s="283" t="s">
        <v>2426</v>
      </c>
      <c r="C1626" s="18" t="s">
        <v>959</v>
      </c>
      <c r="D1626" s="430"/>
    </row>
    <row r="1627" spans="1:4" s="3" customFormat="1">
      <c r="A1627" s="112" t="s">
        <v>959</v>
      </c>
      <c r="B1627" s="283" t="s">
        <v>2427</v>
      </c>
      <c r="C1627" s="18" t="s">
        <v>959</v>
      </c>
      <c r="D1627" s="430"/>
    </row>
    <row r="1628" spans="1:4" s="3" customFormat="1">
      <c r="A1628" s="112" t="s">
        <v>959</v>
      </c>
      <c r="B1628" s="283" t="s">
        <v>2419</v>
      </c>
      <c r="C1628" s="18" t="s">
        <v>959</v>
      </c>
      <c r="D1628" s="430"/>
    </row>
    <row r="1629" spans="1:4" s="3" customFormat="1">
      <c r="A1629" s="112" t="s">
        <v>959</v>
      </c>
      <c r="B1629" s="283" t="s">
        <v>2428</v>
      </c>
      <c r="C1629" s="18" t="s">
        <v>959</v>
      </c>
      <c r="D1629" s="430"/>
    </row>
    <row r="1630" spans="1:4" s="3" customFormat="1">
      <c r="A1630" s="112" t="s">
        <v>959</v>
      </c>
      <c r="B1630" s="283" t="s">
        <v>2429</v>
      </c>
      <c r="C1630" s="18" t="s">
        <v>959</v>
      </c>
      <c r="D1630" s="430"/>
    </row>
    <row r="1631" spans="1:4" s="3" customFormat="1" ht="26.45">
      <c r="A1631" s="112" t="s">
        <v>959</v>
      </c>
      <c r="B1631" s="283" t="s">
        <v>2420</v>
      </c>
      <c r="C1631" s="18" t="s">
        <v>959</v>
      </c>
      <c r="D1631" s="430"/>
    </row>
    <row r="1632" spans="1:4" s="3" customFormat="1" ht="26.45">
      <c r="A1632" s="112" t="s">
        <v>959</v>
      </c>
      <c r="B1632" s="283" t="s">
        <v>2421</v>
      </c>
      <c r="C1632" s="18" t="s">
        <v>959</v>
      </c>
      <c r="D1632" s="430"/>
    </row>
    <row r="1633" spans="1:4" s="3" customFormat="1">
      <c r="A1633" s="112" t="s">
        <v>959</v>
      </c>
      <c r="B1633" s="283" t="s">
        <v>2430</v>
      </c>
      <c r="C1633" s="18" t="s">
        <v>959</v>
      </c>
      <c r="D1633" s="430"/>
    </row>
    <row r="1634" spans="1:4" s="3" customFormat="1">
      <c r="A1634" s="112" t="s">
        <v>959</v>
      </c>
      <c r="B1634" s="283" t="s">
        <v>2422</v>
      </c>
      <c r="C1634" s="18" t="s">
        <v>959</v>
      </c>
      <c r="D1634" s="430"/>
    </row>
    <row r="1635" spans="1:4" s="3" customFormat="1">
      <c r="A1635" s="112"/>
      <c r="B1635" s="283" t="s">
        <v>1231</v>
      </c>
      <c r="C1635" s="18" t="s">
        <v>1262</v>
      </c>
      <c r="D1635" s="430"/>
    </row>
    <row r="1636" spans="1:4" s="3" customFormat="1">
      <c r="A1636" s="30" t="s">
        <v>2431</v>
      </c>
      <c r="B1636" s="31" t="s">
        <v>2432</v>
      </c>
      <c r="C1636" s="18"/>
      <c r="D1636" s="430"/>
    </row>
    <row r="1637" spans="1:4" s="3" customFormat="1">
      <c r="A1637" s="55"/>
      <c r="B1637" s="267" t="s">
        <v>2122</v>
      </c>
      <c r="C1637" s="18" t="s">
        <v>2433</v>
      </c>
      <c r="D1637" s="430"/>
    </row>
    <row r="1638" spans="1:4" s="3" customFormat="1">
      <c r="A1638" s="30" t="s">
        <v>2434</v>
      </c>
      <c r="B1638" s="31" t="s">
        <v>2435</v>
      </c>
      <c r="C1638" s="18"/>
      <c r="D1638" s="430"/>
    </row>
    <row r="1639" spans="1:4" s="3" customFormat="1" ht="56.25" customHeight="1">
      <c r="A1639" s="55"/>
      <c r="B1639" s="267" t="s">
        <v>2436</v>
      </c>
      <c r="C1639" s="18"/>
      <c r="D1639" s="430"/>
    </row>
    <row r="1640" spans="1:4" s="3" customFormat="1">
      <c r="A1640" s="55"/>
      <c r="B1640" s="283" t="s">
        <v>1231</v>
      </c>
      <c r="C1640" s="18" t="s">
        <v>1262</v>
      </c>
      <c r="D1640" s="430"/>
    </row>
    <row r="1641" spans="1:4" s="3" customFormat="1">
      <c r="A1641" s="30" t="s">
        <v>2437</v>
      </c>
      <c r="B1641" s="31" t="s">
        <v>2438</v>
      </c>
      <c r="C1641" s="18"/>
      <c r="D1641" s="430"/>
    </row>
    <row r="1642" spans="1:4" s="3" customFormat="1" ht="118.9">
      <c r="A1642" s="55"/>
      <c r="B1642" s="267" t="s">
        <v>2439</v>
      </c>
      <c r="C1642" s="18"/>
      <c r="D1642" s="430"/>
    </row>
    <row r="1643" spans="1:4" s="3" customFormat="1">
      <c r="A1643" s="55"/>
      <c r="B1643" s="283" t="s">
        <v>1231</v>
      </c>
      <c r="C1643" s="18" t="s">
        <v>1262</v>
      </c>
      <c r="D1643" s="430"/>
    </row>
    <row r="1644" spans="1:4" s="3" customFormat="1">
      <c r="A1644" s="30" t="s">
        <v>2440</v>
      </c>
      <c r="B1644" s="31" t="s">
        <v>2441</v>
      </c>
      <c r="C1644" s="18" t="s">
        <v>959</v>
      </c>
      <c r="D1644" s="430"/>
    </row>
    <row r="1645" spans="1:4" s="3" customFormat="1" ht="26.45">
      <c r="A1645" s="111" t="s">
        <v>959</v>
      </c>
      <c r="B1645" s="267" t="s">
        <v>2442</v>
      </c>
      <c r="C1645" s="18" t="s">
        <v>959</v>
      </c>
      <c r="D1645" s="430"/>
    </row>
    <row r="1646" spans="1:4" s="3" customFormat="1">
      <c r="A1646" s="111" t="s">
        <v>959</v>
      </c>
      <c r="B1646" s="267" t="s">
        <v>1150</v>
      </c>
      <c r="C1646" s="18" t="s">
        <v>959</v>
      </c>
      <c r="D1646" s="430"/>
    </row>
    <row r="1647" spans="1:4" s="3" customFormat="1" ht="26.45">
      <c r="A1647" s="111" t="s">
        <v>959</v>
      </c>
      <c r="B1647" s="267" t="s">
        <v>2443</v>
      </c>
      <c r="C1647" s="18" t="s">
        <v>959</v>
      </c>
      <c r="D1647" s="430"/>
    </row>
    <row r="1648" spans="1:4" s="2" customFormat="1" ht="26.45">
      <c r="A1648" s="111" t="s">
        <v>959</v>
      </c>
      <c r="B1648" s="267" t="s">
        <v>2444</v>
      </c>
      <c r="C1648" s="18" t="s">
        <v>959</v>
      </c>
      <c r="D1648" s="430"/>
    </row>
    <row r="1649" spans="1:4" s="2" customFormat="1" ht="25.5" customHeight="1">
      <c r="A1649" s="111" t="s">
        <v>959</v>
      </c>
      <c r="B1649" s="267" t="s">
        <v>2445</v>
      </c>
      <c r="C1649" s="18" t="s">
        <v>959</v>
      </c>
      <c r="D1649" s="430"/>
    </row>
    <row r="1650" spans="1:4" s="3" customFormat="1">
      <c r="A1650" s="111" t="s">
        <v>959</v>
      </c>
      <c r="B1650" s="267" t="s">
        <v>2446</v>
      </c>
      <c r="C1650" s="18" t="s">
        <v>959</v>
      </c>
      <c r="D1650" s="430"/>
    </row>
    <row r="1651" spans="1:4" s="2" customFormat="1">
      <c r="A1651" s="111" t="s">
        <v>959</v>
      </c>
      <c r="B1651" s="267" t="s">
        <v>2447</v>
      </c>
      <c r="C1651" s="18" t="s">
        <v>959</v>
      </c>
      <c r="D1651" s="430"/>
    </row>
    <row r="1652" spans="1:4" s="3" customFormat="1">
      <c r="A1652" s="111" t="s">
        <v>959</v>
      </c>
      <c r="B1652" s="267" t="s">
        <v>2181</v>
      </c>
      <c r="C1652" s="18" t="s">
        <v>959</v>
      </c>
      <c r="D1652" s="430"/>
    </row>
    <row r="1653" spans="1:4" s="2" customFormat="1" ht="26.45">
      <c r="A1653" s="55" t="s">
        <v>2448</v>
      </c>
      <c r="B1653" s="77" t="s">
        <v>2449</v>
      </c>
      <c r="C1653" s="18"/>
      <c r="D1653" s="430"/>
    </row>
    <row r="1654" spans="1:4" s="3" customFormat="1">
      <c r="A1654" s="286"/>
      <c r="B1654" s="267" t="s">
        <v>1076</v>
      </c>
      <c r="C1654" s="18" t="s">
        <v>1077</v>
      </c>
      <c r="D1654" s="430"/>
    </row>
    <row r="1655" spans="1:4" s="2" customFormat="1" ht="26.45">
      <c r="A1655" s="55" t="s">
        <v>2450</v>
      </c>
      <c r="B1655" s="77" t="s">
        <v>2451</v>
      </c>
      <c r="C1655" s="18"/>
      <c r="D1655" s="430"/>
    </row>
    <row r="1656" spans="1:4" s="2" customFormat="1">
      <c r="A1656" s="286"/>
      <c r="B1656" s="267" t="s">
        <v>1076</v>
      </c>
      <c r="C1656" s="18" t="s">
        <v>1077</v>
      </c>
      <c r="D1656" s="430"/>
    </row>
    <row r="1657" spans="1:4" s="2" customFormat="1">
      <c r="A1657" s="30" t="s">
        <v>2452</v>
      </c>
      <c r="B1657" s="218" t="s">
        <v>2453</v>
      </c>
      <c r="C1657" s="133" t="s">
        <v>959</v>
      </c>
      <c r="D1657" s="430"/>
    </row>
    <row r="1658" spans="1:4" s="2" customFormat="1">
      <c r="A1658" s="111" t="s">
        <v>959</v>
      </c>
      <c r="B1658" s="305" t="s">
        <v>2454</v>
      </c>
      <c r="C1658" s="133" t="s">
        <v>959</v>
      </c>
      <c r="D1658" s="430"/>
    </row>
    <row r="1659" spans="1:4" s="2" customFormat="1">
      <c r="A1659" s="111" t="s">
        <v>959</v>
      </c>
      <c r="B1659" s="305" t="s">
        <v>1150</v>
      </c>
      <c r="C1659" s="133" t="s">
        <v>959</v>
      </c>
      <c r="D1659" s="430"/>
    </row>
    <row r="1660" spans="1:4" s="2" customFormat="1" ht="26.45">
      <c r="A1660" s="111" t="s">
        <v>959</v>
      </c>
      <c r="B1660" s="305" t="s">
        <v>2443</v>
      </c>
      <c r="C1660" s="133" t="s">
        <v>959</v>
      </c>
      <c r="D1660" s="430"/>
    </row>
    <row r="1661" spans="1:4" s="79" customFormat="1" ht="12.75" customHeight="1">
      <c r="A1661" s="111" t="s">
        <v>959</v>
      </c>
      <c r="B1661" s="305" t="s">
        <v>2455</v>
      </c>
      <c r="C1661" s="133" t="s">
        <v>959</v>
      </c>
      <c r="D1661" s="430"/>
    </row>
    <row r="1662" spans="1:4" s="79" customFormat="1" ht="12" customHeight="1">
      <c r="A1662" s="111" t="s">
        <v>959</v>
      </c>
      <c r="B1662" s="305" t="s">
        <v>2456</v>
      </c>
      <c r="C1662" s="133" t="s">
        <v>959</v>
      </c>
      <c r="D1662" s="430"/>
    </row>
    <row r="1663" spans="1:4" s="79" customFormat="1" ht="12" customHeight="1">
      <c r="A1663" s="111" t="s">
        <v>959</v>
      </c>
      <c r="B1663" s="305" t="s">
        <v>2457</v>
      </c>
      <c r="C1663" s="133" t="s">
        <v>959</v>
      </c>
      <c r="D1663" s="430"/>
    </row>
    <row r="1664" spans="1:4" s="79" customFormat="1" ht="14.25" customHeight="1">
      <c r="A1664" s="111" t="s">
        <v>959</v>
      </c>
      <c r="B1664" s="305" t="s">
        <v>2458</v>
      </c>
      <c r="C1664" s="133" t="s">
        <v>959</v>
      </c>
      <c r="D1664" s="430"/>
    </row>
    <row r="1665" spans="1:10" s="79" customFormat="1" ht="26.45">
      <c r="A1665" s="55" t="s">
        <v>2459</v>
      </c>
      <c r="B1665" s="146" t="s">
        <v>2460</v>
      </c>
      <c r="C1665" s="133"/>
      <c r="D1665" s="430"/>
    </row>
    <row r="1666" spans="1:10" s="79" customFormat="1" ht="14.45">
      <c r="A1666" s="286"/>
      <c r="B1666" s="305" t="s">
        <v>1076</v>
      </c>
      <c r="C1666" s="133" t="s">
        <v>1077</v>
      </c>
      <c r="D1666" s="430"/>
    </row>
    <row r="1667" spans="1:10" s="79" customFormat="1" ht="14.45">
      <c r="A1667" s="55" t="s">
        <v>2461</v>
      </c>
      <c r="B1667" s="278" t="s">
        <v>2462</v>
      </c>
      <c r="C1667" s="263"/>
      <c r="D1667" s="430"/>
    </row>
    <row r="1668" spans="1:10" s="79" customFormat="1" ht="169.5" customHeight="1">
      <c r="A1668" s="286"/>
      <c r="B1668" s="378" t="s">
        <v>2463</v>
      </c>
      <c r="C1668" s="263"/>
      <c r="D1668" s="430"/>
      <c r="J1668" s="262"/>
    </row>
    <row r="1669" spans="1:10" s="79" customFormat="1" ht="20.25" customHeight="1">
      <c r="A1669" s="286"/>
      <c r="B1669" s="305" t="s">
        <v>1076</v>
      </c>
      <c r="C1669" s="133" t="s">
        <v>1077</v>
      </c>
      <c r="D1669" s="430"/>
      <c r="J1669" s="262"/>
    </row>
    <row r="1670" spans="1:10" s="79" customFormat="1" ht="14.45">
      <c r="A1670" s="55" t="s">
        <v>2464</v>
      </c>
      <c r="B1670" s="278" t="s">
        <v>2465</v>
      </c>
      <c r="C1670" s="263"/>
      <c r="D1670" s="430"/>
    </row>
    <row r="1671" spans="1:10" s="79" customFormat="1" ht="14.45">
      <c r="A1671" s="286"/>
      <c r="B1671" s="267" t="s">
        <v>1076</v>
      </c>
      <c r="C1671" s="263" t="s">
        <v>1077</v>
      </c>
      <c r="D1671" s="430"/>
    </row>
    <row r="1672" spans="1:10" s="79" customFormat="1" ht="26.45">
      <c r="A1672" s="55" t="s">
        <v>2466</v>
      </c>
      <c r="B1672" s="278" t="s">
        <v>2467</v>
      </c>
      <c r="C1672" s="263"/>
      <c r="D1672" s="430"/>
    </row>
    <row r="1673" spans="1:10" s="79" customFormat="1" ht="14.45">
      <c r="A1673" s="286"/>
      <c r="B1673" s="305" t="s">
        <v>1076</v>
      </c>
      <c r="C1673" s="133" t="s">
        <v>1077</v>
      </c>
      <c r="D1673" s="430"/>
    </row>
    <row r="1674" spans="1:10" s="2" customFormat="1" ht="26.45">
      <c r="A1674" s="55" t="s">
        <v>2468</v>
      </c>
      <c r="B1674" s="146" t="s">
        <v>2469</v>
      </c>
      <c r="C1674" s="133"/>
      <c r="D1674" s="430"/>
    </row>
    <row r="1675" spans="1:10" s="2" customFormat="1">
      <c r="A1675" s="286"/>
      <c r="B1675" s="305" t="s">
        <v>1076</v>
      </c>
      <c r="C1675" s="133" t="s">
        <v>1077</v>
      </c>
      <c r="D1675" s="430"/>
    </row>
    <row r="1676" spans="1:10" s="2" customFormat="1" ht="26.45">
      <c r="A1676" s="55" t="s">
        <v>2470</v>
      </c>
      <c r="B1676" s="146" t="s">
        <v>2471</v>
      </c>
      <c r="C1676" s="133"/>
      <c r="D1676" s="430"/>
    </row>
    <row r="1677" spans="1:10" s="2" customFormat="1">
      <c r="A1677" s="286"/>
      <c r="B1677" s="305" t="s">
        <v>1076</v>
      </c>
      <c r="C1677" s="133" t="s">
        <v>1077</v>
      </c>
      <c r="D1677" s="430"/>
    </row>
    <row r="1678" spans="1:10" s="2" customFormat="1" ht="26.45">
      <c r="A1678" s="55" t="s">
        <v>2472</v>
      </c>
      <c r="B1678" s="276" t="s">
        <v>2473</v>
      </c>
      <c r="C1678" s="266"/>
      <c r="D1678" s="430"/>
    </row>
    <row r="1679" spans="1:10" s="2" customFormat="1">
      <c r="A1679" s="286"/>
      <c r="B1679" s="267" t="s">
        <v>1076</v>
      </c>
      <c r="C1679" s="263" t="s">
        <v>1077</v>
      </c>
      <c r="D1679" s="430"/>
    </row>
    <row r="1680" spans="1:10" s="2" customFormat="1" ht="26.45">
      <c r="A1680" s="55" t="s">
        <v>2474</v>
      </c>
      <c r="B1680" s="77" t="s">
        <v>2475</v>
      </c>
      <c r="C1680" s="263"/>
      <c r="D1680" s="430"/>
    </row>
    <row r="1681" spans="1:4" s="2" customFormat="1" ht="171.6">
      <c r="A1681" s="286"/>
      <c r="B1681" s="267" t="s">
        <v>2476</v>
      </c>
      <c r="C1681" s="263"/>
      <c r="D1681" s="430"/>
    </row>
    <row r="1682" spans="1:4" s="2" customFormat="1">
      <c r="A1682" s="286"/>
      <c r="B1682" s="267" t="s">
        <v>1076</v>
      </c>
      <c r="C1682" s="263" t="s">
        <v>1077</v>
      </c>
      <c r="D1682" s="430"/>
    </row>
    <row r="1683" spans="1:4" s="2" customFormat="1">
      <c r="A1683" s="55" t="s">
        <v>2477</v>
      </c>
      <c r="B1683" s="77" t="s">
        <v>2478</v>
      </c>
      <c r="C1683" s="263"/>
      <c r="D1683" s="430"/>
    </row>
    <row r="1684" spans="1:4" s="2" customFormat="1">
      <c r="A1684" s="286"/>
      <c r="B1684" s="267" t="s">
        <v>1076</v>
      </c>
      <c r="C1684" s="263" t="s">
        <v>1077</v>
      </c>
      <c r="D1684" s="430"/>
    </row>
    <row r="1685" spans="1:4" s="2" customFormat="1">
      <c r="A1685" s="55" t="s">
        <v>2479</v>
      </c>
      <c r="B1685" s="278" t="s">
        <v>2480</v>
      </c>
      <c r="C1685" s="263"/>
      <c r="D1685" s="430"/>
    </row>
    <row r="1686" spans="1:4" s="2" customFormat="1">
      <c r="A1686" s="286"/>
      <c r="B1686" s="267" t="s">
        <v>1076</v>
      </c>
      <c r="C1686" s="263" t="s">
        <v>1077</v>
      </c>
      <c r="D1686" s="430"/>
    </row>
    <row r="1687" spans="1:4" s="2" customFormat="1">
      <c r="A1687" s="55" t="s">
        <v>2481</v>
      </c>
      <c r="B1687" s="77" t="s">
        <v>2482</v>
      </c>
      <c r="C1687" s="263"/>
      <c r="D1687" s="430"/>
    </row>
    <row r="1688" spans="1:4" s="2" customFormat="1" ht="144.6" customHeight="1">
      <c r="A1688" s="286"/>
      <c r="B1688" s="267" t="s">
        <v>2483</v>
      </c>
      <c r="C1688" s="263"/>
      <c r="D1688" s="430"/>
    </row>
    <row r="1689" spans="1:4" s="2" customFormat="1">
      <c r="A1689" s="286"/>
      <c r="B1689" s="305" t="s">
        <v>1076</v>
      </c>
      <c r="C1689" s="133" t="s">
        <v>1077</v>
      </c>
      <c r="D1689" s="430"/>
    </row>
    <row r="1690" spans="1:4" s="2" customFormat="1">
      <c r="A1690" s="55" t="s">
        <v>2484</v>
      </c>
      <c r="B1690" s="77" t="s">
        <v>2485</v>
      </c>
      <c r="C1690" s="18"/>
      <c r="D1690" s="430"/>
    </row>
    <row r="1691" spans="1:4" s="2" customFormat="1">
      <c r="A1691" s="286"/>
      <c r="B1691" s="267" t="s">
        <v>1076</v>
      </c>
      <c r="C1691" s="18" t="s">
        <v>1077</v>
      </c>
      <c r="D1691" s="430"/>
    </row>
    <row r="1692" spans="1:4" s="2" customFormat="1">
      <c r="A1692" s="55" t="s">
        <v>2486</v>
      </c>
      <c r="B1692" s="77" t="s">
        <v>2487</v>
      </c>
      <c r="C1692" s="18"/>
      <c r="D1692" s="430"/>
    </row>
    <row r="1693" spans="1:4" s="2" customFormat="1">
      <c r="A1693" s="55"/>
      <c r="B1693" s="267" t="s">
        <v>1076</v>
      </c>
      <c r="C1693" s="18" t="s">
        <v>1077</v>
      </c>
      <c r="D1693" s="430"/>
    </row>
    <row r="1694" spans="1:4" s="3" customFormat="1" ht="26.45">
      <c r="A1694" s="55" t="s">
        <v>2488</v>
      </c>
      <c r="B1694" s="146" t="s">
        <v>2489</v>
      </c>
      <c r="C1694" s="133"/>
      <c r="D1694" s="430"/>
    </row>
    <row r="1695" spans="1:4" s="3" customFormat="1">
      <c r="A1695" s="55"/>
      <c r="B1695" s="305" t="s">
        <v>1076</v>
      </c>
      <c r="C1695" s="133" t="s">
        <v>1077</v>
      </c>
      <c r="D1695" s="430"/>
    </row>
    <row r="1696" spans="1:4" s="2" customFormat="1" ht="26.45">
      <c r="A1696" s="55" t="s">
        <v>2490</v>
      </c>
      <c r="B1696" s="146" t="s">
        <v>2491</v>
      </c>
      <c r="C1696" s="133"/>
      <c r="D1696" s="430"/>
    </row>
    <row r="1697" spans="1:4" s="2" customFormat="1">
      <c r="A1697" s="55"/>
      <c r="B1697" s="305" t="s">
        <v>1076</v>
      </c>
      <c r="C1697" s="133" t="s">
        <v>1077</v>
      </c>
      <c r="D1697" s="430"/>
    </row>
    <row r="1698" spans="1:4" s="2" customFormat="1" ht="26.45">
      <c r="A1698" s="55" t="s">
        <v>2492</v>
      </c>
      <c r="B1698" s="146" t="s">
        <v>2493</v>
      </c>
      <c r="C1698" s="133"/>
      <c r="D1698" s="430"/>
    </row>
    <row r="1699" spans="1:4" s="2" customFormat="1">
      <c r="A1699" s="55"/>
      <c r="B1699" s="305" t="s">
        <v>1076</v>
      </c>
      <c r="C1699" s="133" t="s">
        <v>1077</v>
      </c>
      <c r="D1699" s="430"/>
    </row>
    <row r="1700" spans="1:4" s="2" customFormat="1" ht="12.75" customHeight="1">
      <c r="A1700" s="55" t="s">
        <v>2494</v>
      </c>
      <c r="B1700" s="146" t="s">
        <v>2495</v>
      </c>
      <c r="C1700" s="133"/>
      <c r="D1700" s="430"/>
    </row>
    <row r="1701" spans="1:4" s="2" customFormat="1">
      <c r="A1701" s="55"/>
      <c r="B1701" s="305" t="s">
        <v>1076</v>
      </c>
      <c r="C1701" s="133" t="s">
        <v>1077</v>
      </c>
      <c r="D1701" s="430"/>
    </row>
    <row r="1702" spans="1:4" s="2" customFormat="1" ht="26.45">
      <c r="A1702" s="55" t="s">
        <v>2496</v>
      </c>
      <c r="B1702" s="146" t="s">
        <v>2497</v>
      </c>
      <c r="C1702" s="133"/>
      <c r="D1702" s="430"/>
    </row>
    <row r="1703" spans="1:4" s="2" customFormat="1">
      <c r="A1703" s="55"/>
      <c r="B1703" s="305" t="s">
        <v>1076</v>
      </c>
      <c r="C1703" s="133" t="s">
        <v>1077</v>
      </c>
      <c r="D1703" s="430"/>
    </row>
    <row r="1704" spans="1:4" s="2" customFormat="1" ht="26.45">
      <c r="A1704" s="55" t="s">
        <v>2498</v>
      </c>
      <c r="B1704" s="146" t="s">
        <v>2499</v>
      </c>
      <c r="C1704" s="133"/>
      <c r="D1704" s="430"/>
    </row>
    <row r="1705" spans="1:4" s="3" customFormat="1">
      <c r="A1705" s="55"/>
      <c r="B1705" s="305" t="s">
        <v>1076</v>
      </c>
      <c r="C1705" s="133" t="s">
        <v>1077</v>
      </c>
      <c r="D1705" s="430"/>
    </row>
    <row r="1706" spans="1:4" s="2" customFormat="1" ht="26.45">
      <c r="A1706" s="55" t="s">
        <v>2500</v>
      </c>
      <c r="B1706" s="77" t="s">
        <v>2501</v>
      </c>
      <c r="C1706" s="18"/>
      <c r="D1706" s="430"/>
    </row>
    <row r="1707" spans="1:4" s="2" customFormat="1">
      <c r="A1707" s="55"/>
      <c r="B1707" s="267" t="s">
        <v>1076</v>
      </c>
      <c r="C1707" s="18" t="s">
        <v>1077</v>
      </c>
      <c r="D1707" s="430"/>
    </row>
    <row r="1708" spans="1:4" s="2" customFormat="1" ht="26.45">
      <c r="A1708" s="55" t="s">
        <v>2502</v>
      </c>
      <c r="B1708" s="77" t="s">
        <v>2503</v>
      </c>
      <c r="C1708" s="18"/>
      <c r="D1708" s="430"/>
    </row>
    <row r="1709" spans="1:4" s="2" customFormat="1">
      <c r="A1709" s="55"/>
      <c r="B1709" s="267" t="s">
        <v>1076</v>
      </c>
      <c r="C1709" s="18" t="s">
        <v>1077</v>
      </c>
      <c r="D1709" s="430"/>
    </row>
    <row r="1710" spans="1:4" s="2" customFormat="1" ht="26.45">
      <c r="A1710" s="55" t="s">
        <v>2504</v>
      </c>
      <c r="B1710" s="77" t="s">
        <v>2505</v>
      </c>
      <c r="C1710" s="18"/>
      <c r="D1710" s="430"/>
    </row>
    <row r="1711" spans="1:4" s="2" customFormat="1">
      <c r="A1711" s="55"/>
      <c r="B1711" s="267" t="s">
        <v>1076</v>
      </c>
      <c r="C1711" s="18" t="s">
        <v>1077</v>
      </c>
      <c r="D1711" s="430"/>
    </row>
    <row r="1712" spans="1:4" s="2" customFormat="1" ht="26.45">
      <c r="A1712" s="55" t="s">
        <v>2506</v>
      </c>
      <c r="B1712" s="77" t="s">
        <v>2507</v>
      </c>
      <c r="C1712" s="18"/>
      <c r="D1712" s="430"/>
    </row>
    <row r="1713" spans="1:4" s="2" customFormat="1">
      <c r="A1713" s="286"/>
      <c r="B1713" s="267" t="s">
        <v>1076</v>
      </c>
      <c r="C1713" s="18" t="s">
        <v>1077</v>
      </c>
      <c r="D1713" s="430"/>
    </row>
    <row r="1714" spans="1:4" s="2" customFormat="1" ht="26.45">
      <c r="A1714" s="55" t="s">
        <v>2508</v>
      </c>
      <c r="B1714" s="77" t="s">
        <v>2509</v>
      </c>
      <c r="C1714" s="18"/>
      <c r="D1714" s="430"/>
    </row>
    <row r="1715" spans="1:4" s="2" customFormat="1" ht="132">
      <c r="A1715" s="55"/>
      <c r="B1715" s="267" t="s">
        <v>2510</v>
      </c>
      <c r="C1715" s="18"/>
      <c r="D1715" s="430"/>
    </row>
    <row r="1716" spans="1:4" s="2" customFormat="1">
      <c r="A1716" s="55"/>
      <c r="B1716" s="267" t="s">
        <v>1076</v>
      </c>
      <c r="C1716" s="18" t="s">
        <v>1077</v>
      </c>
      <c r="D1716" s="430"/>
    </row>
    <row r="1717" spans="1:4" s="2" customFormat="1" ht="26.45">
      <c r="A1717" s="55" t="s">
        <v>2511</v>
      </c>
      <c r="B1717" s="77" t="s">
        <v>2512</v>
      </c>
      <c r="C1717" s="18"/>
      <c r="D1717" s="430"/>
    </row>
    <row r="1718" spans="1:4" s="3" customFormat="1">
      <c r="A1718" s="55"/>
      <c r="B1718" s="267" t="s">
        <v>1076</v>
      </c>
      <c r="C1718" s="18" t="s">
        <v>1077</v>
      </c>
      <c r="D1718" s="430"/>
    </row>
    <row r="1719" spans="1:4" s="3" customFormat="1" ht="26.45">
      <c r="A1719" s="55" t="s">
        <v>2513</v>
      </c>
      <c r="B1719" s="77" t="s">
        <v>2514</v>
      </c>
      <c r="C1719" s="18"/>
      <c r="D1719" s="430"/>
    </row>
    <row r="1720" spans="1:4" s="3" customFormat="1">
      <c r="A1720" s="55"/>
      <c r="B1720" s="267" t="s">
        <v>1076</v>
      </c>
      <c r="C1720" s="18" t="s">
        <v>1077</v>
      </c>
      <c r="D1720" s="430"/>
    </row>
    <row r="1721" spans="1:4" s="3" customFormat="1" ht="26.45">
      <c r="A1721" s="55" t="s">
        <v>2515</v>
      </c>
      <c r="B1721" s="77" t="s">
        <v>2516</v>
      </c>
      <c r="C1721" s="18"/>
      <c r="D1721" s="430"/>
    </row>
    <row r="1722" spans="1:4" s="3" customFormat="1">
      <c r="A1722" s="55"/>
      <c r="B1722" s="267" t="s">
        <v>1076</v>
      </c>
      <c r="C1722" s="18" t="s">
        <v>1077</v>
      </c>
      <c r="D1722" s="430"/>
    </row>
    <row r="1723" spans="1:4" s="3" customFormat="1" ht="26.45">
      <c r="A1723" s="55" t="s">
        <v>2517</v>
      </c>
      <c r="B1723" s="77" t="s">
        <v>2518</v>
      </c>
      <c r="C1723" s="18"/>
      <c r="D1723" s="430"/>
    </row>
    <row r="1724" spans="1:4" s="3" customFormat="1">
      <c r="A1724" s="55"/>
      <c r="B1724" s="267" t="s">
        <v>1076</v>
      </c>
      <c r="C1724" s="18" t="s">
        <v>1077</v>
      </c>
      <c r="D1724" s="430"/>
    </row>
    <row r="1725" spans="1:4" s="3" customFormat="1" ht="26.45">
      <c r="A1725" s="55" t="s">
        <v>2519</v>
      </c>
      <c r="B1725" s="77" t="s">
        <v>2520</v>
      </c>
      <c r="C1725" s="18"/>
      <c r="D1725" s="430"/>
    </row>
    <row r="1726" spans="1:4" s="2" customFormat="1">
      <c r="A1726" s="55"/>
      <c r="B1726" s="267" t="s">
        <v>1076</v>
      </c>
      <c r="C1726" s="18" t="s">
        <v>1077</v>
      </c>
      <c r="D1726" s="430"/>
    </row>
    <row r="1727" spans="1:4" s="9" customFormat="1">
      <c r="A1727" s="55" t="s">
        <v>2521</v>
      </c>
      <c r="B1727" s="77" t="s">
        <v>2522</v>
      </c>
      <c r="C1727" s="18"/>
      <c r="D1727" s="430"/>
    </row>
    <row r="1728" spans="1:4" s="9" customFormat="1">
      <c r="A1728" s="55"/>
      <c r="B1728" s="267" t="s">
        <v>1076</v>
      </c>
      <c r="C1728" s="18" t="s">
        <v>1077</v>
      </c>
      <c r="D1728" s="430"/>
    </row>
    <row r="1729" spans="1:4" s="9" customFormat="1" ht="26.45">
      <c r="A1729" s="55" t="s">
        <v>2523</v>
      </c>
      <c r="B1729" s="123" t="s">
        <v>2524</v>
      </c>
      <c r="C1729" s="111"/>
      <c r="D1729" s="430"/>
    </row>
    <row r="1730" spans="1:4" s="9" customFormat="1">
      <c r="A1730" s="55"/>
      <c r="B1730" s="267" t="s">
        <v>1076</v>
      </c>
      <c r="C1730" s="18" t="s">
        <v>1077</v>
      </c>
      <c r="D1730" s="430"/>
    </row>
    <row r="1731" spans="1:4" s="9" customFormat="1" ht="26.45">
      <c r="A1731" s="55" t="s">
        <v>2525</v>
      </c>
      <c r="B1731" s="123" t="s">
        <v>2526</v>
      </c>
      <c r="C1731" s="111"/>
      <c r="D1731" s="430"/>
    </row>
    <row r="1732" spans="1:4" s="9" customFormat="1">
      <c r="A1732" s="55"/>
      <c r="B1732" s="267" t="s">
        <v>1076</v>
      </c>
      <c r="C1732" s="18" t="s">
        <v>1077</v>
      </c>
      <c r="D1732" s="430"/>
    </row>
    <row r="1733" spans="1:4" s="9" customFormat="1" ht="26.45">
      <c r="A1733" s="55" t="s">
        <v>2527</v>
      </c>
      <c r="B1733" s="123" t="s">
        <v>2528</v>
      </c>
      <c r="C1733" s="111"/>
      <c r="D1733" s="430"/>
    </row>
    <row r="1734" spans="1:4" s="3" customFormat="1">
      <c r="A1734" s="286"/>
      <c r="B1734" s="267" t="s">
        <v>1076</v>
      </c>
      <c r="C1734" s="18" t="s">
        <v>1077</v>
      </c>
      <c r="D1734" s="430"/>
    </row>
    <row r="1735" spans="1:4" s="3" customFormat="1">
      <c r="A1735" s="30" t="s">
        <v>2529</v>
      </c>
      <c r="B1735" s="31" t="s">
        <v>2530</v>
      </c>
      <c r="C1735" s="18"/>
      <c r="D1735" s="430"/>
    </row>
    <row r="1736" spans="1:4" s="3" customFormat="1">
      <c r="A1736" s="286"/>
      <c r="B1736" s="267" t="s">
        <v>1076</v>
      </c>
      <c r="C1736" s="18" t="s">
        <v>1077</v>
      </c>
      <c r="D1736" s="430"/>
    </row>
    <row r="1737" spans="1:4" s="3" customFormat="1">
      <c r="A1737" s="30" t="s">
        <v>2531</v>
      </c>
      <c r="B1737" s="31" t="s">
        <v>2532</v>
      </c>
      <c r="C1737" s="18"/>
      <c r="D1737" s="430"/>
    </row>
    <row r="1738" spans="1:4" s="3" customFormat="1">
      <c r="A1738" s="286"/>
      <c r="B1738" s="267" t="s">
        <v>1076</v>
      </c>
      <c r="C1738" s="18" t="s">
        <v>1077</v>
      </c>
      <c r="D1738" s="430"/>
    </row>
    <row r="1739" spans="1:4" s="3" customFormat="1" ht="26.45">
      <c r="A1739" s="30" t="s">
        <v>2533</v>
      </c>
      <c r="B1739" s="31" t="s">
        <v>2534</v>
      </c>
      <c r="C1739" s="18"/>
      <c r="D1739" s="430"/>
    </row>
    <row r="1740" spans="1:4" s="3" customFormat="1">
      <c r="A1740" s="286"/>
      <c r="B1740" s="267" t="s">
        <v>1076</v>
      </c>
      <c r="C1740" s="18" t="s">
        <v>1077</v>
      </c>
      <c r="D1740" s="430"/>
    </row>
    <row r="1741" spans="1:4" s="3" customFormat="1">
      <c r="A1741" s="30" t="s">
        <v>2535</v>
      </c>
      <c r="B1741" s="31" t="s">
        <v>2536</v>
      </c>
      <c r="C1741" s="18"/>
      <c r="D1741" s="430"/>
    </row>
    <row r="1742" spans="1:4" s="3" customFormat="1">
      <c r="A1742" s="30"/>
      <c r="B1742" s="267" t="s">
        <v>1076</v>
      </c>
      <c r="C1742" s="18" t="s">
        <v>1077</v>
      </c>
      <c r="D1742" s="430"/>
    </row>
    <row r="1743" spans="1:4" s="3" customFormat="1">
      <c r="A1743" s="30" t="s">
        <v>2537</v>
      </c>
      <c r="B1743" s="31" t="s">
        <v>2538</v>
      </c>
      <c r="C1743" s="18"/>
      <c r="D1743" s="430"/>
    </row>
    <row r="1744" spans="1:4" s="3" customFormat="1" ht="77.25" customHeight="1">
      <c r="A1744" s="30"/>
      <c r="B1744" s="267" t="s">
        <v>2539</v>
      </c>
      <c r="C1744" s="18" t="s">
        <v>1077</v>
      </c>
      <c r="D1744" s="430"/>
    </row>
    <row r="1745" spans="1:4" s="3" customFormat="1">
      <c r="A1745" s="30" t="s">
        <v>2540</v>
      </c>
      <c r="B1745" s="31" t="s">
        <v>2541</v>
      </c>
      <c r="C1745" s="18"/>
      <c r="D1745" s="430"/>
    </row>
    <row r="1746" spans="1:4" s="3" customFormat="1" ht="187.5" customHeight="1">
      <c r="A1746" s="30"/>
      <c r="B1746" s="378" t="s">
        <v>2542</v>
      </c>
      <c r="C1746" s="18"/>
      <c r="D1746" s="430"/>
    </row>
    <row r="1747" spans="1:4" s="3" customFormat="1">
      <c r="A1747" s="286"/>
      <c r="B1747" s="267" t="s">
        <v>1076</v>
      </c>
      <c r="C1747" s="18" t="s">
        <v>1077</v>
      </c>
      <c r="D1747" s="430"/>
    </row>
    <row r="1748" spans="1:4" s="3" customFormat="1">
      <c r="A1748" s="30" t="s">
        <v>2543</v>
      </c>
      <c r="B1748" s="31" t="s">
        <v>2544</v>
      </c>
      <c r="C1748" s="18"/>
      <c r="D1748" s="430"/>
    </row>
    <row r="1749" spans="1:4" s="3" customFormat="1" ht="112.5" customHeight="1">
      <c r="A1749" s="286"/>
      <c r="B1749" s="267" t="s">
        <v>2545</v>
      </c>
      <c r="C1749" s="18"/>
      <c r="D1749" s="430"/>
    </row>
    <row r="1750" spans="1:4" s="3" customFormat="1">
      <c r="A1750" s="55" t="s">
        <v>2546</v>
      </c>
      <c r="B1750" s="31" t="s">
        <v>2547</v>
      </c>
      <c r="C1750" s="18"/>
      <c r="D1750" s="430"/>
    </row>
    <row r="1751" spans="1:4" s="3" customFormat="1">
      <c r="A1751" s="55"/>
      <c r="B1751" s="267" t="s">
        <v>1076</v>
      </c>
      <c r="C1751" s="18" t="s">
        <v>1077</v>
      </c>
      <c r="D1751" s="430"/>
    </row>
    <row r="1752" spans="1:4" s="3" customFormat="1" ht="13.9" customHeight="1">
      <c r="A1752" s="55" t="s">
        <v>2548</v>
      </c>
      <c r="B1752" s="31" t="s">
        <v>2549</v>
      </c>
      <c r="C1752" s="18"/>
      <c r="D1752" s="430"/>
    </row>
    <row r="1753" spans="1:4" s="3" customFormat="1" ht="13.9" customHeight="1">
      <c r="A1753" s="286"/>
      <c r="B1753" s="267" t="s">
        <v>1076</v>
      </c>
      <c r="C1753" s="18" t="s">
        <v>1077</v>
      </c>
      <c r="D1753" s="430"/>
    </row>
    <row r="1754" spans="1:4" s="3" customFormat="1">
      <c r="A1754" s="115" t="s">
        <v>2550</v>
      </c>
      <c r="B1754" s="31" t="s">
        <v>2551</v>
      </c>
      <c r="C1754" s="18"/>
      <c r="D1754" s="430"/>
    </row>
    <row r="1755" spans="1:4" s="2" customFormat="1" ht="26.45">
      <c r="A1755" s="285"/>
      <c r="B1755" s="267" t="s">
        <v>2552</v>
      </c>
      <c r="C1755" s="18"/>
      <c r="D1755" s="430"/>
    </row>
    <row r="1756" spans="1:4" s="9" customFormat="1">
      <c r="A1756" s="285"/>
      <c r="B1756" s="267" t="s">
        <v>2257</v>
      </c>
      <c r="C1756" s="18"/>
      <c r="D1756" s="430"/>
    </row>
    <row r="1757" spans="1:4" s="9" customFormat="1" ht="26.45">
      <c r="A1757" s="285"/>
      <c r="B1757" s="267" t="s">
        <v>2553</v>
      </c>
      <c r="C1757" s="18"/>
      <c r="D1757" s="430"/>
    </row>
    <row r="1758" spans="1:4" s="9" customFormat="1" ht="26.45">
      <c r="A1758" s="285"/>
      <c r="B1758" s="267" t="s">
        <v>2554</v>
      </c>
      <c r="C1758" s="18"/>
      <c r="D1758" s="430"/>
    </row>
    <row r="1759" spans="1:4" s="9" customFormat="1">
      <c r="A1759" s="285"/>
      <c r="B1759" s="267" t="s">
        <v>2555</v>
      </c>
      <c r="C1759" s="18"/>
      <c r="D1759" s="430"/>
    </row>
    <row r="1760" spans="1:4" s="9" customFormat="1">
      <c r="A1760" s="285"/>
      <c r="B1760" s="267" t="s">
        <v>1231</v>
      </c>
      <c r="C1760" s="18" t="s">
        <v>1262</v>
      </c>
      <c r="D1760" s="430"/>
    </row>
    <row r="1761" spans="1:4" s="9" customFormat="1">
      <c r="A1761" s="115" t="s">
        <v>2556</v>
      </c>
      <c r="B1761" s="31" t="s">
        <v>2557</v>
      </c>
      <c r="C1761" s="18"/>
      <c r="D1761" s="430"/>
    </row>
    <row r="1762" spans="1:4" s="9" customFormat="1" ht="26.45">
      <c r="A1762" s="132"/>
      <c r="B1762" s="267" t="s">
        <v>2558</v>
      </c>
      <c r="C1762" s="18"/>
      <c r="D1762" s="430"/>
    </row>
    <row r="1763" spans="1:4" s="9" customFormat="1">
      <c r="A1763" s="132"/>
      <c r="B1763" s="267" t="s">
        <v>1834</v>
      </c>
      <c r="C1763" s="18"/>
      <c r="D1763" s="430"/>
    </row>
    <row r="1764" spans="1:4" s="9" customFormat="1">
      <c r="A1764" s="132"/>
      <c r="B1764" s="267" t="s">
        <v>2559</v>
      </c>
      <c r="C1764" s="18"/>
      <c r="D1764" s="430"/>
    </row>
    <row r="1765" spans="1:4" s="3" customFormat="1">
      <c r="A1765" s="132"/>
      <c r="B1765" s="267" t="s">
        <v>2560</v>
      </c>
      <c r="C1765" s="18"/>
      <c r="D1765" s="430"/>
    </row>
    <row r="1766" spans="1:4" s="3" customFormat="1">
      <c r="A1766" s="132"/>
      <c r="B1766" s="267" t="s">
        <v>2561</v>
      </c>
      <c r="C1766" s="18"/>
      <c r="D1766" s="430"/>
    </row>
    <row r="1767" spans="1:4" s="3" customFormat="1">
      <c r="A1767" s="132" t="s">
        <v>2562</v>
      </c>
      <c r="B1767" s="77" t="s">
        <v>2563</v>
      </c>
      <c r="C1767" s="18"/>
      <c r="D1767" s="430"/>
    </row>
    <row r="1768" spans="1:4" s="3" customFormat="1">
      <c r="A1768" s="132"/>
      <c r="B1768" s="267" t="s">
        <v>1231</v>
      </c>
      <c r="C1768" s="18" t="s">
        <v>1262</v>
      </c>
      <c r="D1768" s="430"/>
    </row>
    <row r="1769" spans="1:4" s="3" customFormat="1">
      <c r="A1769" s="132" t="s">
        <v>2564</v>
      </c>
      <c r="B1769" s="77" t="s">
        <v>2565</v>
      </c>
      <c r="C1769" s="18"/>
      <c r="D1769" s="430"/>
    </row>
    <row r="1770" spans="1:4" s="3" customFormat="1">
      <c r="A1770" s="132"/>
      <c r="B1770" s="267" t="s">
        <v>1231</v>
      </c>
      <c r="C1770" s="18" t="s">
        <v>1262</v>
      </c>
      <c r="D1770" s="430"/>
    </row>
    <row r="1771" spans="1:4" s="3" customFormat="1">
      <c r="A1771" s="132" t="s">
        <v>2566</v>
      </c>
      <c r="B1771" s="77" t="s">
        <v>2567</v>
      </c>
      <c r="C1771" s="18"/>
      <c r="D1771" s="430"/>
    </row>
    <row r="1772" spans="1:4" s="3" customFormat="1">
      <c r="A1772" s="285"/>
      <c r="B1772" s="267" t="s">
        <v>1231</v>
      </c>
      <c r="C1772" s="18" t="s">
        <v>1262</v>
      </c>
      <c r="D1772" s="430"/>
    </row>
    <row r="1773" spans="1:4" s="3" customFormat="1" ht="26.45">
      <c r="A1773" s="115" t="s">
        <v>2568</v>
      </c>
      <c r="B1773" s="377" t="s">
        <v>2569</v>
      </c>
      <c r="C1773" s="18"/>
      <c r="D1773" s="430"/>
    </row>
    <row r="1774" spans="1:4" s="3" customFormat="1" ht="67.5" customHeight="1">
      <c r="A1774" s="285"/>
      <c r="B1774" s="378" t="s">
        <v>2570</v>
      </c>
      <c r="C1774" s="18"/>
      <c r="D1774" s="430"/>
    </row>
    <row r="1775" spans="1:4" s="3" customFormat="1">
      <c r="A1775" s="285"/>
      <c r="B1775" s="267" t="s">
        <v>1231</v>
      </c>
      <c r="C1775" s="18" t="s">
        <v>1262</v>
      </c>
      <c r="D1775" s="430"/>
    </row>
    <row r="1776" spans="1:4" s="3" customFormat="1">
      <c r="A1776" s="141" t="s">
        <v>2571</v>
      </c>
      <c r="B1776" s="115" t="s">
        <v>2572</v>
      </c>
      <c r="C1776" s="30"/>
      <c r="D1776" s="430"/>
    </row>
    <row r="1777" spans="1:4" s="3" customFormat="1">
      <c r="A1777" s="30"/>
      <c r="B1777" s="324" t="s">
        <v>2573</v>
      </c>
      <c r="C1777" s="41"/>
      <c r="D1777" s="430"/>
    </row>
    <row r="1778" spans="1:4" s="3" customFormat="1">
      <c r="A1778" s="30"/>
      <c r="B1778" s="291" t="s">
        <v>2574</v>
      </c>
      <c r="C1778" s="41"/>
      <c r="D1778" s="430"/>
    </row>
    <row r="1779" spans="1:4" s="3" customFormat="1">
      <c r="A1779" s="30"/>
      <c r="B1779" s="291" t="s">
        <v>2575</v>
      </c>
      <c r="C1779" s="41"/>
      <c r="D1779" s="430"/>
    </row>
    <row r="1780" spans="1:4" s="3" customFormat="1">
      <c r="A1780" s="30"/>
      <c r="B1780" s="291" t="s">
        <v>2576</v>
      </c>
      <c r="C1780" s="41"/>
      <c r="D1780" s="430"/>
    </row>
    <row r="1781" spans="1:4" s="3" customFormat="1">
      <c r="A1781" s="286"/>
      <c r="B1781" s="285" t="s">
        <v>1266</v>
      </c>
      <c r="C1781" s="18" t="s">
        <v>1077</v>
      </c>
      <c r="D1781" s="430"/>
    </row>
    <row r="1782" spans="1:4" s="3" customFormat="1">
      <c r="A1782" s="141" t="s">
        <v>2577</v>
      </c>
      <c r="B1782" s="115" t="s">
        <v>2578</v>
      </c>
      <c r="C1782" s="30"/>
      <c r="D1782" s="430"/>
    </row>
    <row r="1783" spans="1:4" s="3" customFormat="1" ht="12.75" customHeight="1">
      <c r="A1783" s="111"/>
      <c r="B1783" s="267" t="s">
        <v>2579</v>
      </c>
      <c r="C1783" s="18"/>
      <c r="D1783" s="430"/>
    </row>
    <row r="1784" spans="1:4" s="3" customFormat="1">
      <c r="A1784" s="111"/>
      <c r="B1784" s="267" t="s">
        <v>2176</v>
      </c>
      <c r="C1784" s="18"/>
      <c r="D1784" s="430"/>
    </row>
    <row r="1785" spans="1:4" s="3" customFormat="1">
      <c r="A1785" s="111"/>
      <c r="B1785" s="322" t="s">
        <v>2580</v>
      </c>
      <c r="C1785" s="18"/>
      <c r="D1785" s="430"/>
    </row>
    <row r="1786" spans="1:4" s="3" customFormat="1">
      <c r="A1786" s="111"/>
      <c r="B1786" s="323" t="s">
        <v>2581</v>
      </c>
      <c r="C1786" s="18"/>
      <c r="D1786" s="430"/>
    </row>
    <row r="1787" spans="1:4" s="3" customFormat="1">
      <c r="A1787" s="111"/>
      <c r="B1787" s="323" t="s">
        <v>2582</v>
      </c>
      <c r="C1787" s="18"/>
      <c r="D1787" s="430"/>
    </row>
    <row r="1788" spans="1:4" s="3" customFormat="1">
      <c r="A1788" s="111"/>
      <c r="B1788" s="323" t="s">
        <v>2583</v>
      </c>
      <c r="C1788" s="18"/>
      <c r="D1788" s="430"/>
    </row>
    <row r="1789" spans="1:4" s="3" customFormat="1">
      <c r="A1789" s="111"/>
      <c r="B1789" s="323" t="s">
        <v>2584</v>
      </c>
      <c r="C1789" s="18"/>
      <c r="D1789" s="430"/>
    </row>
    <row r="1790" spans="1:4" s="3" customFormat="1">
      <c r="A1790" s="111"/>
      <c r="B1790" s="323" t="s">
        <v>2265</v>
      </c>
      <c r="C1790" s="18"/>
      <c r="D1790" s="430"/>
    </row>
    <row r="1791" spans="1:4" s="3" customFormat="1">
      <c r="A1791" s="111"/>
      <c r="B1791" s="305" t="s">
        <v>2585</v>
      </c>
      <c r="C1791" s="18" t="s">
        <v>2586</v>
      </c>
      <c r="D1791" s="430"/>
    </row>
    <row r="1792" spans="1:4" s="3" customFormat="1">
      <c r="A1792" s="141" t="s">
        <v>2587</v>
      </c>
      <c r="B1792" s="115" t="s">
        <v>2588</v>
      </c>
      <c r="C1792" s="30"/>
      <c r="D1792" s="430"/>
    </row>
    <row r="1793" spans="1:4" s="3" customFormat="1">
      <c r="A1793" s="111"/>
      <c r="B1793" s="267" t="s">
        <v>2589</v>
      </c>
      <c r="C1793" s="18"/>
      <c r="D1793" s="430"/>
    </row>
    <row r="1794" spans="1:4" s="3" customFormat="1">
      <c r="A1794" s="111"/>
      <c r="B1794" s="267" t="s">
        <v>2176</v>
      </c>
      <c r="C1794" s="18"/>
      <c r="D1794" s="430"/>
    </row>
    <row r="1795" spans="1:4" s="3" customFormat="1">
      <c r="A1795" s="111"/>
      <c r="B1795" s="322" t="s">
        <v>2590</v>
      </c>
      <c r="C1795" s="18"/>
      <c r="D1795" s="430"/>
    </row>
    <row r="1796" spans="1:4" s="3" customFormat="1">
      <c r="A1796" s="111"/>
      <c r="B1796" s="323" t="s">
        <v>2581</v>
      </c>
      <c r="C1796" s="18"/>
      <c r="D1796" s="430"/>
    </row>
    <row r="1797" spans="1:4" s="3" customFormat="1">
      <c r="A1797" s="111"/>
      <c r="B1797" s="323" t="s">
        <v>2582</v>
      </c>
      <c r="C1797" s="18"/>
      <c r="D1797" s="430"/>
    </row>
    <row r="1798" spans="1:4" s="3" customFormat="1">
      <c r="A1798" s="111"/>
      <c r="B1798" s="323" t="s">
        <v>2583</v>
      </c>
      <c r="C1798" s="18"/>
      <c r="D1798" s="430"/>
    </row>
    <row r="1799" spans="1:4" s="3" customFormat="1">
      <c r="A1799" s="111"/>
      <c r="B1799" s="323" t="s">
        <v>2584</v>
      </c>
      <c r="C1799" s="18"/>
      <c r="D1799" s="430"/>
    </row>
    <row r="1800" spans="1:4" s="3" customFormat="1">
      <c r="A1800" s="111"/>
      <c r="B1800" s="323" t="s">
        <v>2265</v>
      </c>
      <c r="C1800" s="18"/>
      <c r="D1800" s="430"/>
    </row>
    <row r="1801" spans="1:4" s="2" customFormat="1">
      <c r="A1801" s="111"/>
      <c r="B1801" s="305" t="s">
        <v>1028</v>
      </c>
      <c r="C1801" s="18" t="s">
        <v>1029</v>
      </c>
      <c r="D1801" s="430"/>
    </row>
    <row r="1802" spans="1:4" s="2" customFormat="1">
      <c r="A1802" s="141" t="s">
        <v>2591</v>
      </c>
      <c r="B1802" s="115" t="s">
        <v>2592</v>
      </c>
      <c r="C1802" s="30"/>
      <c r="D1802" s="430"/>
    </row>
    <row r="1803" spans="1:4" s="2" customFormat="1">
      <c r="A1803" s="111"/>
      <c r="B1803" s="267" t="s">
        <v>2593</v>
      </c>
      <c r="C1803" s="18"/>
      <c r="D1803" s="430"/>
    </row>
    <row r="1804" spans="1:4" s="2" customFormat="1">
      <c r="A1804" s="111"/>
      <c r="B1804" s="267" t="s">
        <v>2176</v>
      </c>
      <c r="C1804" s="18"/>
      <c r="D1804" s="430"/>
    </row>
    <row r="1805" spans="1:4" s="2" customFormat="1">
      <c r="A1805" s="111"/>
      <c r="B1805" s="322" t="s">
        <v>2594</v>
      </c>
      <c r="C1805" s="18"/>
      <c r="D1805" s="430"/>
    </row>
    <row r="1806" spans="1:4" s="2" customFormat="1">
      <c r="A1806" s="111"/>
      <c r="B1806" s="323" t="s">
        <v>2581</v>
      </c>
      <c r="C1806" s="18"/>
      <c r="D1806" s="430"/>
    </row>
    <row r="1807" spans="1:4" s="2" customFormat="1">
      <c r="A1807" s="111"/>
      <c r="B1807" s="323" t="s">
        <v>2582</v>
      </c>
      <c r="C1807" s="18"/>
      <c r="D1807" s="430"/>
    </row>
    <row r="1808" spans="1:4" s="2" customFormat="1">
      <c r="A1808" s="111"/>
      <c r="B1808" s="323" t="s">
        <v>2583</v>
      </c>
      <c r="C1808" s="18"/>
      <c r="D1808" s="430"/>
    </row>
    <row r="1809" spans="1:4" s="2" customFormat="1">
      <c r="A1809" s="111"/>
      <c r="B1809" s="323" t="s">
        <v>2584</v>
      </c>
      <c r="C1809" s="18"/>
      <c r="D1809" s="430"/>
    </row>
    <row r="1810" spans="1:4" s="2" customFormat="1">
      <c r="A1810" s="111"/>
      <c r="B1810" s="323" t="s">
        <v>2265</v>
      </c>
      <c r="C1810" s="18"/>
      <c r="D1810" s="430"/>
    </row>
    <row r="1811" spans="1:4" s="3" customFormat="1">
      <c r="A1811" s="111"/>
      <c r="B1811" s="305" t="s">
        <v>1028</v>
      </c>
      <c r="C1811" s="18" t="s">
        <v>1029</v>
      </c>
      <c r="D1811" s="430"/>
    </row>
    <row r="1812" spans="1:4" s="3" customFormat="1">
      <c r="A1812" s="141" t="s">
        <v>2595</v>
      </c>
      <c r="B1812" s="115" t="s">
        <v>2596</v>
      </c>
      <c r="C1812" s="30"/>
      <c r="D1812" s="430"/>
    </row>
    <row r="1813" spans="1:4" s="5" customFormat="1" ht="26.45">
      <c r="A1813" s="111"/>
      <c r="B1813" s="267" t="s">
        <v>2597</v>
      </c>
      <c r="C1813" s="18"/>
      <c r="D1813" s="430"/>
    </row>
    <row r="1814" spans="1:4" s="5" customFormat="1">
      <c r="A1814" s="111"/>
      <c r="B1814" s="267" t="s">
        <v>2176</v>
      </c>
      <c r="C1814" s="18"/>
      <c r="D1814" s="430"/>
    </row>
    <row r="1815" spans="1:4" s="3" customFormat="1" ht="26.45">
      <c r="A1815" s="111"/>
      <c r="B1815" s="322" t="s">
        <v>2598</v>
      </c>
      <c r="C1815" s="18"/>
      <c r="D1815" s="430"/>
    </row>
    <row r="1816" spans="1:4" s="3" customFormat="1">
      <c r="A1816" s="111"/>
      <c r="B1816" s="323" t="s">
        <v>2581</v>
      </c>
      <c r="C1816" s="18"/>
      <c r="D1816" s="430"/>
    </row>
    <row r="1817" spans="1:4" s="3" customFormat="1">
      <c r="A1817" s="111"/>
      <c r="B1817" s="323" t="s">
        <v>2582</v>
      </c>
      <c r="C1817" s="18"/>
      <c r="D1817" s="430"/>
    </row>
    <row r="1818" spans="1:4" s="3" customFormat="1">
      <c r="A1818" s="111"/>
      <c r="B1818" s="323" t="s">
        <v>2583</v>
      </c>
      <c r="C1818" s="18"/>
      <c r="D1818" s="430"/>
    </row>
    <row r="1819" spans="1:4" s="3" customFormat="1">
      <c r="A1819" s="111"/>
      <c r="B1819" s="323" t="s">
        <v>2584</v>
      </c>
      <c r="C1819" s="18"/>
      <c r="D1819" s="430"/>
    </row>
    <row r="1820" spans="1:4" s="3" customFormat="1">
      <c r="A1820" s="111"/>
      <c r="B1820" s="323" t="s">
        <v>2265</v>
      </c>
      <c r="C1820" s="18"/>
      <c r="D1820" s="430"/>
    </row>
    <row r="1821" spans="1:4" s="3" customFormat="1">
      <c r="A1821" s="111"/>
      <c r="B1821" s="305" t="s">
        <v>2599</v>
      </c>
      <c r="C1821" s="18" t="s">
        <v>2600</v>
      </c>
      <c r="D1821" s="430"/>
    </row>
    <row r="1822" spans="1:4" s="3" customFormat="1">
      <c r="A1822" s="141" t="s">
        <v>2601</v>
      </c>
      <c r="B1822" s="115" t="s">
        <v>2602</v>
      </c>
      <c r="C1822" s="30"/>
      <c r="D1822" s="430"/>
    </row>
    <row r="1823" spans="1:4" s="3" customFormat="1">
      <c r="A1823" s="111"/>
      <c r="B1823" s="267" t="s">
        <v>2603</v>
      </c>
      <c r="C1823" s="18"/>
      <c r="D1823" s="430"/>
    </row>
    <row r="1824" spans="1:4" s="3" customFormat="1">
      <c r="A1824" s="111"/>
      <c r="B1824" s="267" t="s">
        <v>2176</v>
      </c>
      <c r="C1824" s="18"/>
      <c r="D1824" s="430"/>
    </row>
    <row r="1825" spans="1:4" s="3" customFormat="1">
      <c r="A1825" s="111"/>
      <c r="B1825" s="322" t="s">
        <v>2580</v>
      </c>
      <c r="C1825" s="18"/>
      <c r="D1825" s="430"/>
    </row>
    <row r="1826" spans="1:4" s="3" customFormat="1">
      <c r="A1826" s="111"/>
      <c r="B1826" s="323" t="s">
        <v>2581</v>
      </c>
      <c r="C1826" s="18"/>
      <c r="D1826" s="430"/>
    </row>
    <row r="1827" spans="1:4" s="3" customFormat="1">
      <c r="A1827" s="111"/>
      <c r="B1827" s="323" t="s">
        <v>2582</v>
      </c>
      <c r="C1827" s="18"/>
      <c r="D1827" s="430"/>
    </row>
    <row r="1828" spans="1:4" s="3" customFormat="1">
      <c r="A1828" s="111"/>
      <c r="B1828" s="323" t="s">
        <v>2583</v>
      </c>
      <c r="C1828" s="18"/>
      <c r="D1828" s="430"/>
    </row>
    <row r="1829" spans="1:4" s="2" customFormat="1">
      <c r="A1829" s="111"/>
      <c r="B1829" s="323" t="s">
        <v>2584</v>
      </c>
      <c r="C1829" s="18"/>
      <c r="D1829" s="430"/>
    </row>
    <row r="1830" spans="1:4" s="2" customFormat="1">
      <c r="A1830" s="111"/>
      <c r="B1830" s="323" t="s">
        <v>2265</v>
      </c>
      <c r="C1830" s="18"/>
      <c r="D1830" s="430"/>
    </row>
    <row r="1831" spans="1:4" s="2" customFormat="1">
      <c r="A1831" s="111"/>
      <c r="B1831" s="305" t="s">
        <v>1028</v>
      </c>
      <c r="C1831" s="18" t="s">
        <v>1029</v>
      </c>
      <c r="D1831" s="430"/>
    </row>
    <row r="1832" spans="1:4" s="2" customFormat="1">
      <c r="A1832" s="141" t="s">
        <v>2604</v>
      </c>
      <c r="B1832" s="115" t="s">
        <v>2605</v>
      </c>
      <c r="C1832" s="30"/>
      <c r="D1832" s="430"/>
    </row>
    <row r="1833" spans="1:4" s="2" customFormat="1" ht="26.45">
      <c r="A1833" s="111"/>
      <c r="B1833" s="267" t="s">
        <v>2606</v>
      </c>
      <c r="C1833" s="18"/>
      <c r="D1833" s="430"/>
    </row>
    <row r="1834" spans="1:4" s="2" customFormat="1">
      <c r="A1834" s="111"/>
      <c r="B1834" s="267" t="s">
        <v>2176</v>
      </c>
      <c r="C1834" s="18"/>
      <c r="D1834" s="430"/>
    </row>
    <row r="1835" spans="1:4" s="2" customFormat="1">
      <c r="A1835" s="111"/>
      <c r="B1835" s="322" t="s">
        <v>2580</v>
      </c>
      <c r="C1835" s="18"/>
      <c r="D1835" s="430"/>
    </row>
    <row r="1836" spans="1:4" s="2" customFormat="1">
      <c r="A1836" s="111"/>
      <c r="B1836" s="323" t="s">
        <v>2581</v>
      </c>
      <c r="C1836" s="18"/>
      <c r="D1836" s="430"/>
    </row>
    <row r="1837" spans="1:4" s="2" customFormat="1">
      <c r="A1837" s="111"/>
      <c r="B1837" s="323" t="s">
        <v>2582</v>
      </c>
      <c r="C1837" s="18"/>
      <c r="D1837" s="430"/>
    </row>
    <row r="1838" spans="1:4" s="3" customFormat="1">
      <c r="A1838" s="111"/>
      <c r="B1838" s="323" t="s">
        <v>2583</v>
      </c>
      <c r="C1838" s="18"/>
      <c r="D1838" s="430"/>
    </row>
    <row r="1839" spans="1:4" s="3" customFormat="1">
      <c r="A1839" s="111"/>
      <c r="B1839" s="323" t="s">
        <v>2584</v>
      </c>
      <c r="C1839" s="18"/>
      <c r="D1839" s="430"/>
    </row>
    <row r="1840" spans="1:4" s="5" customFormat="1">
      <c r="A1840" s="111"/>
      <c r="B1840" s="323" t="s">
        <v>2265</v>
      </c>
      <c r="C1840" s="18"/>
      <c r="D1840" s="430"/>
    </row>
    <row r="1841" spans="1:4" s="5" customFormat="1">
      <c r="A1841" s="111"/>
      <c r="B1841" s="305" t="s">
        <v>2599</v>
      </c>
      <c r="C1841" s="18" t="s">
        <v>2600</v>
      </c>
      <c r="D1841" s="430"/>
    </row>
    <row r="1842" spans="1:4" s="5" customFormat="1">
      <c r="A1842" s="112"/>
      <c r="B1842" s="295"/>
      <c r="C1842" s="266"/>
      <c r="D1842" s="430"/>
    </row>
    <row r="1843" spans="1:4" s="3" customFormat="1">
      <c r="A1843" s="22" t="s">
        <v>2607</v>
      </c>
      <c r="B1843" s="264" t="s">
        <v>2608</v>
      </c>
      <c r="C1843" s="265"/>
      <c r="D1843" s="255"/>
    </row>
    <row r="1844" spans="1:4" s="3" customFormat="1">
      <c r="A1844" s="30"/>
      <c r="B1844" s="324" t="s">
        <v>2573</v>
      </c>
      <c r="C1844" s="41"/>
      <c r="D1844" s="427"/>
    </row>
    <row r="1845" spans="1:4" s="3" customFormat="1">
      <c r="A1845" s="30"/>
      <c r="B1845" s="325" t="s">
        <v>2609</v>
      </c>
      <c r="C1845" s="41"/>
      <c r="D1845" s="427"/>
    </row>
    <row r="1846" spans="1:4" s="3" customFormat="1">
      <c r="A1846" s="30"/>
      <c r="B1846" s="326" t="s">
        <v>2610</v>
      </c>
      <c r="C1846" s="41"/>
      <c r="D1846" s="427"/>
    </row>
    <row r="1847" spans="1:4" s="3" customFormat="1">
      <c r="A1847" s="30"/>
      <c r="B1847" s="327" t="s">
        <v>2611</v>
      </c>
      <c r="C1847" s="41"/>
      <c r="D1847" s="427"/>
    </row>
    <row r="1848" spans="1:4" s="3" customFormat="1">
      <c r="A1848" s="286"/>
      <c r="B1848" s="285" t="s">
        <v>1028</v>
      </c>
      <c r="C1848" s="18" t="s">
        <v>1029</v>
      </c>
      <c r="D1848" s="427"/>
    </row>
    <row r="1849" spans="1:4" s="3" customFormat="1">
      <c r="A1849" s="22" t="s">
        <v>2612</v>
      </c>
      <c r="B1849" s="23" t="s">
        <v>2613</v>
      </c>
      <c r="C1849" s="24"/>
      <c r="D1849" s="255"/>
    </row>
    <row r="1850" spans="1:4" s="3" customFormat="1" ht="52.9">
      <c r="A1850" s="111"/>
      <c r="B1850" s="267" t="s">
        <v>2614</v>
      </c>
      <c r="C1850" s="18"/>
      <c r="D1850" s="418"/>
    </row>
    <row r="1851" spans="1:4" s="3" customFormat="1">
      <c r="A1851" s="111"/>
      <c r="B1851" s="267" t="s">
        <v>1028</v>
      </c>
      <c r="C1851" s="18" t="s">
        <v>1029</v>
      </c>
      <c r="D1851" s="418"/>
    </row>
    <row r="1852" spans="1:4" s="3" customFormat="1">
      <c r="A1852" s="22" t="s">
        <v>2615</v>
      </c>
      <c r="B1852" s="23" t="s">
        <v>2616</v>
      </c>
      <c r="C1852" s="24"/>
      <c r="D1852" s="255"/>
    </row>
    <row r="1853" spans="1:4" s="3" customFormat="1" ht="52.9">
      <c r="A1853" s="111"/>
      <c r="B1853" s="267" t="s">
        <v>2617</v>
      </c>
      <c r="C1853" s="18"/>
      <c r="D1853" s="418"/>
    </row>
    <row r="1854" spans="1:4" s="3" customFormat="1">
      <c r="A1854" s="111"/>
      <c r="B1854" s="267" t="s">
        <v>2016</v>
      </c>
      <c r="C1854" s="18"/>
      <c r="D1854" s="418"/>
    </row>
    <row r="1855" spans="1:4" s="3" customFormat="1">
      <c r="A1855" s="111"/>
      <c r="B1855" s="267" t="s">
        <v>2618</v>
      </c>
      <c r="C1855" s="18"/>
      <c r="D1855" s="418"/>
    </row>
    <row r="1856" spans="1:4" s="3" customFormat="1">
      <c r="A1856" s="111"/>
      <c r="B1856" s="267" t="s">
        <v>2619</v>
      </c>
      <c r="C1856" s="18"/>
      <c r="D1856" s="418"/>
    </row>
    <row r="1857" spans="1:4" s="2" customFormat="1">
      <c r="A1857" s="111"/>
      <c r="B1857" s="267" t="s">
        <v>2620</v>
      </c>
      <c r="C1857" s="18"/>
      <c r="D1857" s="418"/>
    </row>
    <row r="1858" spans="1:4" s="2" customFormat="1" ht="26.45">
      <c r="A1858" s="111"/>
      <c r="B1858" s="267" t="s">
        <v>2621</v>
      </c>
      <c r="C1858" s="18"/>
      <c r="D1858" s="418"/>
    </row>
    <row r="1859" spans="1:4" s="2" customFormat="1">
      <c r="A1859" s="111"/>
      <c r="B1859" s="267" t="s">
        <v>2622</v>
      </c>
      <c r="C1859" s="18"/>
      <c r="D1859" s="418"/>
    </row>
    <row r="1860" spans="1:4" s="2" customFormat="1">
      <c r="A1860" s="111"/>
      <c r="B1860" s="267" t="s">
        <v>2623</v>
      </c>
      <c r="C1860" s="18"/>
      <c r="D1860" s="418"/>
    </row>
    <row r="1861" spans="1:4" s="2" customFormat="1">
      <c r="A1861" s="111"/>
      <c r="B1861" s="267" t="s">
        <v>1028</v>
      </c>
      <c r="C1861" s="18" t="s">
        <v>1029</v>
      </c>
      <c r="D1861" s="418"/>
    </row>
    <row r="1862" spans="1:4" s="2" customFormat="1">
      <c r="A1862" s="22" t="s">
        <v>2624</v>
      </c>
      <c r="B1862" s="23" t="s">
        <v>2625</v>
      </c>
      <c r="C1862" s="24"/>
      <c r="D1862" s="255"/>
    </row>
    <row r="1863" spans="1:4" s="2" customFormat="1" ht="39.6">
      <c r="A1863" s="111"/>
      <c r="B1863" s="267" t="s">
        <v>2626</v>
      </c>
      <c r="C1863" s="18"/>
      <c r="D1863" s="418"/>
    </row>
    <row r="1864" spans="1:4" s="2" customFormat="1">
      <c r="A1864" s="140"/>
      <c r="B1864" s="303" t="s">
        <v>1028</v>
      </c>
      <c r="C1864" s="109" t="s">
        <v>1029</v>
      </c>
      <c r="D1864" s="418"/>
    </row>
    <row r="1865" spans="1:4" s="2" customFormat="1" ht="13.9">
      <c r="A1865" s="13" t="s">
        <v>2627</v>
      </c>
      <c r="B1865" s="14" t="s">
        <v>2628</v>
      </c>
      <c r="C1865" s="15"/>
      <c r="D1865" s="254"/>
    </row>
    <row r="1866" spans="1:4" s="3" customFormat="1" ht="26.45">
      <c r="A1866" s="22" t="s">
        <v>2629</v>
      </c>
      <c r="B1866" s="23" t="s">
        <v>2630</v>
      </c>
      <c r="C1866" s="24"/>
      <c r="D1866" s="255"/>
    </row>
    <row r="1867" spans="1:4" s="3" customFormat="1" ht="66">
      <c r="A1867" s="111"/>
      <c r="B1867" s="267" t="s">
        <v>2631</v>
      </c>
      <c r="C1867" s="18"/>
      <c r="D1867" s="430"/>
    </row>
    <row r="1868" spans="1:4" s="3" customFormat="1" ht="39.6">
      <c r="A1868" s="111"/>
      <c r="B1868" s="267" t="s">
        <v>2632</v>
      </c>
      <c r="C1868" s="18"/>
      <c r="D1868" s="430"/>
    </row>
    <row r="1869" spans="1:4" s="3" customFormat="1">
      <c r="A1869" s="111" t="s">
        <v>959</v>
      </c>
      <c r="B1869" s="267" t="s">
        <v>2016</v>
      </c>
      <c r="C1869" s="18" t="s">
        <v>959</v>
      </c>
      <c r="D1869" s="430"/>
    </row>
    <row r="1870" spans="1:4" s="3" customFormat="1">
      <c r="A1870" s="111"/>
      <c r="B1870" s="267" t="s">
        <v>2633</v>
      </c>
      <c r="C1870" s="18"/>
      <c r="D1870" s="430"/>
    </row>
    <row r="1871" spans="1:4" s="3" customFormat="1" ht="26.45">
      <c r="A1871" s="111"/>
      <c r="B1871" s="267" t="s">
        <v>2634</v>
      </c>
      <c r="C1871" s="18"/>
      <c r="D1871" s="430"/>
    </row>
    <row r="1872" spans="1:4" s="3" customFormat="1">
      <c r="A1872" s="111"/>
      <c r="B1872" s="267" t="s">
        <v>2635</v>
      </c>
      <c r="C1872" s="18"/>
      <c r="D1872" s="430"/>
    </row>
    <row r="1873" spans="1:4" s="3" customFormat="1" ht="26.45">
      <c r="A1873" s="111"/>
      <c r="B1873" s="267" t="s">
        <v>2636</v>
      </c>
      <c r="C1873" s="18"/>
      <c r="D1873" s="430"/>
    </row>
    <row r="1874" spans="1:4" s="3" customFormat="1">
      <c r="A1874" s="111"/>
      <c r="B1874" s="267" t="s">
        <v>2637</v>
      </c>
      <c r="C1874" s="18"/>
      <c r="D1874" s="430"/>
    </row>
    <row r="1875" spans="1:4" s="3" customFormat="1">
      <c r="A1875" s="111"/>
      <c r="B1875" s="267" t="s">
        <v>2638</v>
      </c>
      <c r="C1875" s="18"/>
      <c r="D1875" s="430"/>
    </row>
    <row r="1876" spans="1:4" s="3" customFormat="1">
      <c r="A1876" s="111"/>
      <c r="B1876" s="267" t="s">
        <v>2639</v>
      </c>
      <c r="C1876" s="18"/>
      <c r="D1876" s="430"/>
    </row>
    <row r="1877" spans="1:4" s="3" customFormat="1">
      <c r="A1877" s="111"/>
      <c r="B1877" s="267" t="s">
        <v>1028</v>
      </c>
      <c r="C1877" s="18" t="s">
        <v>1029</v>
      </c>
      <c r="D1877" s="430"/>
    </row>
    <row r="1878" spans="1:4" s="3" customFormat="1">
      <c r="A1878" s="141" t="s">
        <v>117</v>
      </c>
      <c r="B1878" s="115" t="s">
        <v>2640</v>
      </c>
      <c r="C1878" s="30"/>
      <c r="D1878" s="430"/>
    </row>
    <row r="1879" spans="1:4" s="3" customFormat="1" ht="39.6">
      <c r="A1879" s="111"/>
      <c r="B1879" s="267" t="s">
        <v>2641</v>
      </c>
      <c r="C1879" s="18"/>
      <c r="D1879" s="430"/>
    </row>
    <row r="1880" spans="1:4" s="3" customFormat="1">
      <c r="A1880" s="111"/>
      <c r="B1880" s="267" t="s">
        <v>2063</v>
      </c>
      <c r="C1880" s="18" t="s">
        <v>1029</v>
      </c>
      <c r="D1880" s="430"/>
    </row>
    <row r="1881" spans="1:4" s="3" customFormat="1">
      <c r="A1881" s="22" t="s">
        <v>2642</v>
      </c>
      <c r="B1881" s="23" t="s">
        <v>2643</v>
      </c>
      <c r="C1881" s="24"/>
      <c r="D1881" s="255"/>
    </row>
    <row r="1882" spans="1:4" s="3" customFormat="1" ht="26.45">
      <c r="A1882" s="111"/>
      <c r="B1882" s="267" t="s">
        <v>2644</v>
      </c>
      <c r="C1882" s="18"/>
      <c r="D1882" s="430"/>
    </row>
    <row r="1883" spans="1:4" s="3" customFormat="1">
      <c r="A1883" s="111" t="s">
        <v>959</v>
      </c>
      <c r="B1883" s="267" t="s">
        <v>2016</v>
      </c>
      <c r="C1883" s="18" t="s">
        <v>959</v>
      </c>
      <c r="D1883" s="430"/>
    </row>
    <row r="1884" spans="1:4" s="3" customFormat="1">
      <c r="A1884" s="111"/>
      <c r="B1884" s="267" t="s">
        <v>2645</v>
      </c>
      <c r="C1884" s="18"/>
      <c r="D1884" s="430"/>
    </row>
    <row r="1885" spans="1:4" s="3" customFormat="1" ht="26.45">
      <c r="A1885" s="111"/>
      <c r="B1885" s="267" t="s">
        <v>2646</v>
      </c>
      <c r="C1885" s="18"/>
      <c r="D1885" s="430"/>
    </row>
    <row r="1886" spans="1:4" s="2" customFormat="1">
      <c r="A1886" s="111"/>
      <c r="B1886" s="267" t="s">
        <v>2647</v>
      </c>
      <c r="C1886" s="18"/>
      <c r="D1886" s="430"/>
    </row>
    <row r="1887" spans="1:4" s="2" customFormat="1">
      <c r="A1887" s="111"/>
      <c r="B1887" s="267" t="s">
        <v>2648</v>
      </c>
      <c r="C1887" s="18"/>
      <c r="D1887" s="430"/>
    </row>
    <row r="1888" spans="1:4" s="2" customFormat="1">
      <c r="A1888" s="111"/>
      <c r="B1888" s="267" t="s">
        <v>1231</v>
      </c>
      <c r="C1888" s="18" t="s">
        <v>1262</v>
      </c>
      <c r="D1888" s="430"/>
    </row>
    <row r="1889" spans="1:4" s="2" customFormat="1">
      <c r="A1889" s="413" t="s">
        <v>2649</v>
      </c>
      <c r="B1889" s="414" t="s">
        <v>2650</v>
      </c>
      <c r="C1889" s="415"/>
      <c r="D1889" s="431"/>
    </row>
    <row r="1890" spans="1:4" s="2" customFormat="1" ht="79.150000000000006">
      <c r="A1890" s="111"/>
      <c r="B1890" s="267" t="s">
        <v>2651</v>
      </c>
      <c r="C1890" s="18"/>
      <c r="D1890" s="418"/>
    </row>
    <row r="1891" spans="1:4" s="2" customFormat="1">
      <c r="A1891" s="111"/>
      <c r="B1891" s="267" t="s">
        <v>1076</v>
      </c>
      <c r="C1891" s="18" t="s">
        <v>1077</v>
      </c>
      <c r="D1891" s="418"/>
    </row>
    <row r="1892" spans="1:4" s="2" customFormat="1">
      <c r="A1892" s="22" t="s">
        <v>2652</v>
      </c>
      <c r="B1892" s="23" t="s">
        <v>2653</v>
      </c>
      <c r="C1892" s="24"/>
      <c r="D1892" s="432"/>
    </row>
    <row r="1893" spans="1:4" s="2" customFormat="1">
      <c r="A1893" s="111"/>
      <c r="B1893" s="267" t="s">
        <v>2654</v>
      </c>
      <c r="C1893" s="18"/>
      <c r="D1893" s="430"/>
    </row>
    <row r="1894" spans="1:4" s="2" customFormat="1">
      <c r="A1894" s="111"/>
      <c r="B1894" s="267" t="s">
        <v>1541</v>
      </c>
      <c r="C1894" s="18"/>
      <c r="D1894" s="430"/>
    </row>
    <row r="1895" spans="1:4" s="2" customFormat="1" ht="26.45">
      <c r="A1895" s="286" t="s">
        <v>959</v>
      </c>
      <c r="B1895" s="267" t="s">
        <v>2655</v>
      </c>
      <c r="C1895" s="18" t="s">
        <v>959</v>
      </c>
      <c r="D1895" s="430"/>
    </row>
    <row r="1896" spans="1:4" s="2" customFormat="1">
      <c r="A1896" s="286" t="s">
        <v>959</v>
      </c>
      <c r="B1896" s="267" t="s">
        <v>2656</v>
      </c>
      <c r="C1896" s="18" t="s">
        <v>959</v>
      </c>
      <c r="D1896" s="430"/>
    </row>
    <row r="1897" spans="1:4" s="2" customFormat="1" ht="26.45">
      <c r="A1897" s="286" t="s">
        <v>959</v>
      </c>
      <c r="B1897" s="267" t="s">
        <v>2657</v>
      </c>
      <c r="C1897" s="18" t="s">
        <v>959</v>
      </c>
      <c r="D1897" s="430"/>
    </row>
    <row r="1898" spans="1:4" s="3" customFormat="1">
      <c r="A1898" s="111"/>
      <c r="B1898" s="267" t="s">
        <v>1231</v>
      </c>
      <c r="C1898" s="18" t="s">
        <v>1262</v>
      </c>
      <c r="D1898" s="430"/>
    </row>
    <row r="1899" spans="1:4" s="3" customFormat="1" ht="26.45">
      <c r="A1899" s="22" t="s">
        <v>2658</v>
      </c>
      <c r="B1899" s="23" t="s">
        <v>2659</v>
      </c>
      <c r="C1899" s="24"/>
      <c r="D1899" s="432"/>
    </row>
    <row r="1900" spans="1:4" s="3" customFormat="1" ht="30.75" customHeight="1">
      <c r="A1900" s="111"/>
      <c r="B1900" s="267" t="s">
        <v>2660</v>
      </c>
      <c r="C1900" s="18"/>
      <c r="D1900" s="418"/>
    </row>
    <row r="1901" spans="1:4" s="3" customFormat="1" ht="32.25" customHeight="1">
      <c r="A1901" s="111"/>
      <c r="B1901" s="267" t="s">
        <v>2661</v>
      </c>
      <c r="C1901" s="18"/>
      <c r="D1901" s="418"/>
    </row>
    <row r="1902" spans="1:4" s="3" customFormat="1" ht="15" customHeight="1">
      <c r="A1902" s="111"/>
      <c r="B1902" s="267" t="s">
        <v>2662</v>
      </c>
      <c r="C1902" s="18"/>
      <c r="D1902" s="418"/>
    </row>
    <row r="1903" spans="1:4" s="3" customFormat="1" ht="18.75" customHeight="1">
      <c r="A1903" s="111"/>
      <c r="B1903" s="147" t="s">
        <v>2663</v>
      </c>
      <c r="C1903" s="18"/>
      <c r="D1903" s="418"/>
    </row>
    <row r="1904" spans="1:4" s="3" customFormat="1" ht="15.75" customHeight="1">
      <c r="A1904" s="111"/>
      <c r="B1904" s="147" t="s">
        <v>2664</v>
      </c>
      <c r="C1904" s="18"/>
      <c r="D1904" s="418"/>
    </row>
    <row r="1905" spans="1:4" s="3" customFormat="1" ht="15.75" customHeight="1">
      <c r="A1905" s="111"/>
      <c r="B1905" s="147" t="s">
        <v>2665</v>
      </c>
      <c r="C1905" s="18"/>
      <c r="D1905" s="418"/>
    </row>
    <row r="1906" spans="1:4" s="3" customFormat="1" ht="40.5" customHeight="1">
      <c r="A1906" s="111"/>
      <c r="B1906" s="267" t="s">
        <v>2666</v>
      </c>
      <c r="C1906" s="18"/>
      <c r="D1906" s="418"/>
    </row>
    <row r="1907" spans="1:4" s="3" customFormat="1" ht="40.5" customHeight="1">
      <c r="A1907" s="111"/>
      <c r="B1907" s="267" t="s">
        <v>2667</v>
      </c>
      <c r="C1907" s="18"/>
      <c r="D1907" s="418"/>
    </row>
    <row r="1908" spans="1:4" s="3" customFormat="1" ht="17.25" customHeight="1">
      <c r="A1908" s="111"/>
      <c r="B1908" s="267" t="s">
        <v>2668</v>
      </c>
      <c r="C1908" s="18"/>
      <c r="D1908" s="418"/>
    </row>
    <row r="1909" spans="1:4" s="3" customFormat="1" ht="17.25" customHeight="1">
      <c r="A1909" s="111"/>
      <c r="B1909" s="147" t="s">
        <v>2669</v>
      </c>
      <c r="C1909" s="18"/>
      <c r="D1909" s="418"/>
    </row>
    <row r="1910" spans="1:4" s="3" customFormat="1" ht="17.25" customHeight="1">
      <c r="A1910" s="111"/>
      <c r="B1910" s="147" t="s">
        <v>2670</v>
      </c>
      <c r="C1910" s="18"/>
      <c r="D1910" s="418"/>
    </row>
    <row r="1911" spans="1:4" s="3" customFormat="1" ht="17.25" customHeight="1">
      <c r="A1911" s="111"/>
      <c r="B1911" s="147" t="s">
        <v>2671</v>
      </c>
      <c r="C1911" s="18"/>
      <c r="D1911" s="418"/>
    </row>
    <row r="1912" spans="1:4" s="3" customFormat="1" ht="17.25" customHeight="1">
      <c r="A1912" s="111"/>
      <c r="B1912" s="147" t="s">
        <v>2672</v>
      </c>
      <c r="C1912" s="18"/>
      <c r="D1912" s="418"/>
    </row>
    <row r="1913" spans="1:4" s="3" customFormat="1" ht="28.5" customHeight="1">
      <c r="A1913" s="111"/>
      <c r="B1913" s="267" t="s">
        <v>2673</v>
      </c>
      <c r="C1913" s="18"/>
      <c r="D1913" s="418"/>
    </row>
    <row r="1914" spans="1:4" s="3" customFormat="1">
      <c r="A1914" s="111"/>
      <c r="B1914" s="267" t="s">
        <v>1428</v>
      </c>
      <c r="C1914" s="18" t="s">
        <v>1429</v>
      </c>
      <c r="D1914" s="418"/>
    </row>
    <row r="1915" spans="1:4" s="3" customFormat="1" ht="26.45">
      <c r="A1915" s="22" t="s">
        <v>2674</v>
      </c>
      <c r="B1915" s="23" t="s">
        <v>2675</v>
      </c>
      <c r="C1915" s="24"/>
      <c r="D1915" s="432"/>
    </row>
    <row r="1916" spans="1:4" s="3" customFormat="1" ht="26.45">
      <c r="A1916" s="111"/>
      <c r="B1916" s="267" t="s">
        <v>2676</v>
      </c>
      <c r="C1916" s="18"/>
      <c r="D1916" s="430"/>
    </row>
    <row r="1917" spans="1:4" s="3" customFormat="1" ht="39.6">
      <c r="A1917" s="111"/>
      <c r="B1917" s="267" t="s">
        <v>2677</v>
      </c>
      <c r="C1917" s="18"/>
      <c r="D1917" s="430"/>
    </row>
    <row r="1918" spans="1:4" s="3" customFormat="1" ht="26.45">
      <c r="A1918" s="111"/>
      <c r="B1918" s="267" t="s">
        <v>2678</v>
      </c>
      <c r="C1918" s="18"/>
      <c r="D1918" s="430"/>
    </row>
    <row r="1919" spans="1:4" s="3" customFormat="1">
      <c r="A1919" s="111"/>
      <c r="B1919" s="267" t="s">
        <v>2679</v>
      </c>
      <c r="C1919" s="18"/>
      <c r="D1919" s="430"/>
    </row>
    <row r="1920" spans="1:4" s="3" customFormat="1">
      <c r="A1920" s="111"/>
      <c r="B1920" s="147" t="s">
        <v>2663</v>
      </c>
      <c r="C1920" s="18"/>
      <c r="D1920" s="430"/>
    </row>
    <row r="1921" spans="1:4" s="3" customFormat="1">
      <c r="A1921" s="111"/>
      <c r="B1921" s="147" t="s">
        <v>2664</v>
      </c>
      <c r="C1921" s="18"/>
      <c r="D1921" s="430"/>
    </row>
    <row r="1922" spans="1:4" s="3" customFormat="1">
      <c r="A1922" s="111"/>
      <c r="B1922" s="147" t="s">
        <v>2665</v>
      </c>
      <c r="C1922" s="18"/>
      <c r="D1922" s="430"/>
    </row>
    <row r="1923" spans="1:4" s="3" customFormat="1" ht="39.6">
      <c r="A1923" s="111"/>
      <c r="B1923" s="267" t="s">
        <v>2680</v>
      </c>
      <c r="C1923" s="18"/>
      <c r="D1923" s="430"/>
    </row>
    <row r="1924" spans="1:4" s="3" customFormat="1" ht="39.6">
      <c r="A1924" s="111"/>
      <c r="B1924" s="267" t="s">
        <v>2667</v>
      </c>
      <c r="C1924" s="18"/>
      <c r="D1924" s="430"/>
    </row>
    <row r="1925" spans="1:4" s="3" customFormat="1">
      <c r="A1925" s="111"/>
      <c r="B1925" s="267" t="s">
        <v>2681</v>
      </c>
      <c r="C1925" s="18"/>
      <c r="D1925" s="430"/>
    </row>
    <row r="1926" spans="1:4" s="3" customFormat="1">
      <c r="A1926" s="111"/>
      <c r="B1926" s="147" t="s">
        <v>2669</v>
      </c>
      <c r="C1926" s="18"/>
      <c r="D1926" s="430"/>
    </row>
    <row r="1927" spans="1:4" s="3" customFormat="1">
      <c r="A1927" s="111"/>
      <c r="B1927" s="147" t="s">
        <v>2670</v>
      </c>
      <c r="C1927" s="18"/>
      <c r="D1927" s="430"/>
    </row>
    <row r="1928" spans="1:4" s="3" customFormat="1">
      <c r="A1928" s="111"/>
      <c r="B1928" s="147" t="s">
        <v>2671</v>
      </c>
      <c r="C1928" s="18"/>
      <c r="D1928" s="430"/>
    </row>
    <row r="1929" spans="1:4" s="3" customFormat="1">
      <c r="A1929" s="111"/>
      <c r="B1929" s="147" t="s">
        <v>2672</v>
      </c>
      <c r="C1929" s="18"/>
      <c r="D1929" s="430"/>
    </row>
    <row r="1930" spans="1:4" s="3" customFormat="1" ht="26.45">
      <c r="A1930" s="111"/>
      <c r="B1930" s="267" t="s">
        <v>2682</v>
      </c>
      <c r="C1930" s="18"/>
      <c r="D1930" s="430"/>
    </row>
    <row r="1931" spans="1:4" s="3" customFormat="1" ht="26.45">
      <c r="A1931" s="30" t="s">
        <v>2683</v>
      </c>
      <c r="B1931" s="31" t="s">
        <v>2684</v>
      </c>
      <c r="C1931" s="18"/>
      <c r="D1931" s="430"/>
    </row>
    <row r="1932" spans="1:4" s="3" customFormat="1">
      <c r="A1932" s="55"/>
      <c r="B1932" s="267" t="s">
        <v>1428</v>
      </c>
      <c r="C1932" s="18" t="s">
        <v>1429</v>
      </c>
      <c r="D1932" s="430"/>
    </row>
    <row r="1933" spans="1:4" s="3" customFormat="1" ht="26.45">
      <c r="A1933" s="30" t="s">
        <v>2685</v>
      </c>
      <c r="B1933" s="31" t="s">
        <v>2686</v>
      </c>
      <c r="C1933" s="18"/>
      <c r="D1933" s="430"/>
    </row>
    <row r="1934" spans="1:4" s="2" customFormat="1">
      <c r="A1934" s="55"/>
      <c r="B1934" s="267" t="s">
        <v>1428</v>
      </c>
      <c r="C1934" s="18" t="s">
        <v>1429</v>
      </c>
      <c r="D1934" s="430"/>
    </row>
    <row r="1935" spans="1:4" s="2" customFormat="1" ht="26.45">
      <c r="A1935" s="22" t="s">
        <v>2687</v>
      </c>
      <c r="B1935" s="23" t="s">
        <v>2688</v>
      </c>
      <c r="C1935" s="24"/>
      <c r="D1935" s="432"/>
    </row>
    <row r="1936" spans="1:4" s="2" customFormat="1" ht="39.6">
      <c r="A1936" s="111"/>
      <c r="B1936" s="267" t="s">
        <v>2689</v>
      </c>
      <c r="C1936" s="18"/>
      <c r="D1936" s="430"/>
    </row>
    <row r="1937" spans="1:4" s="2" customFormat="1" ht="39.6">
      <c r="A1937" s="111"/>
      <c r="B1937" s="267" t="s">
        <v>2677</v>
      </c>
      <c r="C1937" s="18"/>
      <c r="D1937" s="430"/>
    </row>
    <row r="1938" spans="1:4" s="2" customFormat="1" ht="26.45">
      <c r="A1938" s="111"/>
      <c r="B1938" s="267" t="s">
        <v>2678</v>
      </c>
      <c r="C1938" s="18"/>
      <c r="D1938" s="430"/>
    </row>
    <row r="1939" spans="1:4" s="2" customFormat="1">
      <c r="A1939" s="111"/>
      <c r="B1939" s="267" t="s">
        <v>2679</v>
      </c>
      <c r="C1939" s="18"/>
      <c r="D1939" s="430"/>
    </row>
    <row r="1940" spans="1:4" s="2" customFormat="1">
      <c r="A1940" s="111"/>
      <c r="B1940" s="147" t="s">
        <v>2663</v>
      </c>
      <c r="C1940" s="18"/>
      <c r="D1940" s="430"/>
    </row>
    <row r="1941" spans="1:4" s="2" customFormat="1">
      <c r="A1941" s="111"/>
      <c r="B1941" s="147" t="s">
        <v>2664</v>
      </c>
      <c r="C1941" s="18"/>
      <c r="D1941" s="430"/>
    </row>
    <row r="1942" spans="1:4" s="2" customFormat="1">
      <c r="A1942" s="111"/>
      <c r="B1942" s="147" t="s">
        <v>2665</v>
      </c>
      <c r="C1942" s="18"/>
      <c r="D1942" s="430"/>
    </row>
    <row r="1943" spans="1:4" s="3" customFormat="1" ht="39.6">
      <c r="A1943" s="111"/>
      <c r="B1943" s="267" t="s">
        <v>2680</v>
      </c>
      <c r="C1943" s="18"/>
      <c r="D1943" s="430"/>
    </row>
    <row r="1944" spans="1:4" s="3" customFormat="1" ht="39.6">
      <c r="A1944" s="111"/>
      <c r="B1944" s="267" t="s">
        <v>2667</v>
      </c>
      <c r="C1944" s="18"/>
      <c r="D1944" s="430"/>
    </row>
    <row r="1945" spans="1:4" s="3" customFormat="1">
      <c r="A1945" s="111"/>
      <c r="B1945" s="267" t="s">
        <v>2681</v>
      </c>
      <c r="C1945" s="18"/>
      <c r="D1945" s="430"/>
    </row>
    <row r="1946" spans="1:4" s="3" customFormat="1">
      <c r="A1946" s="111"/>
      <c r="B1946" s="147" t="s">
        <v>2669</v>
      </c>
      <c r="C1946" s="18"/>
      <c r="D1946" s="430"/>
    </row>
    <row r="1947" spans="1:4" s="3" customFormat="1">
      <c r="A1947" s="111"/>
      <c r="B1947" s="147" t="s">
        <v>2670</v>
      </c>
      <c r="C1947" s="18"/>
      <c r="D1947" s="430"/>
    </row>
    <row r="1948" spans="1:4" s="3" customFormat="1">
      <c r="A1948" s="111"/>
      <c r="B1948" s="147" t="s">
        <v>2671</v>
      </c>
      <c r="C1948" s="18"/>
      <c r="D1948" s="430"/>
    </row>
    <row r="1949" spans="1:4" s="3" customFormat="1">
      <c r="A1949" s="111"/>
      <c r="B1949" s="147" t="s">
        <v>2672</v>
      </c>
      <c r="C1949" s="18"/>
      <c r="D1949" s="430"/>
    </row>
    <row r="1950" spans="1:4" s="3" customFormat="1" ht="26.45">
      <c r="A1950" s="111"/>
      <c r="B1950" s="267" t="s">
        <v>2682</v>
      </c>
      <c r="C1950" s="18"/>
      <c r="D1950" s="430"/>
    </row>
    <row r="1951" spans="1:4" s="3" customFormat="1" ht="26.45">
      <c r="A1951" s="30" t="s">
        <v>2690</v>
      </c>
      <c r="B1951" s="31" t="s">
        <v>2691</v>
      </c>
      <c r="C1951" s="18"/>
      <c r="D1951" s="430"/>
    </row>
    <row r="1952" spans="1:4" s="3" customFormat="1">
      <c r="A1952" s="55"/>
      <c r="B1952" s="267" t="s">
        <v>1428</v>
      </c>
      <c r="C1952" s="18" t="s">
        <v>1429</v>
      </c>
      <c r="D1952" s="430"/>
    </row>
    <row r="1953" spans="1:4" s="3" customFormat="1" ht="26.45">
      <c r="A1953" s="30" t="s">
        <v>2692</v>
      </c>
      <c r="B1953" s="31" t="s">
        <v>2693</v>
      </c>
      <c r="C1953" s="18"/>
      <c r="D1953" s="430"/>
    </row>
    <row r="1954" spans="1:4" s="3" customFormat="1">
      <c r="A1954" s="55"/>
      <c r="B1954" s="267" t="s">
        <v>1428</v>
      </c>
      <c r="C1954" s="18" t="s">
        <v>1429</v>
      </c>
      <c r="D1954" s="430"/>
    </row>
    <row r="1955" spans="1:4" s="3" customFormat="1" ht="26.45">
      <c r="A1955" s="22" t="s">
        <v>2694</v>
      </c>
      <c r="B1955" s="26" t="s">
        <v>2695</v>
      </c>
      <c r="C1955" s="24"/>
      <c r="D1955" s="433"/>
    </row>
    <row r="1956" spans="1:4" s="3" customFormat="1" ht="39.6">
      <c r="A1956" s="111"/>
      <c r="B1956" s="267" t="s">
        <v>2696</v>
      </c>
      <c r="C1956" s="18"/>
      <c r="D1956" s="430"/>
    </row>
    <row r="1957" spans="1:4" s="2" customFormat="1" ht="39.6">
      <c r="A1957" s="111"/>
      <c r="B1957" s="267" t="s">
        <v>2677</v>
      </c>
      <c r="C1957" s="18"/>
      <c r="D1957" s="430"/>
    </row>
    <row r="1958" spans="1:4" s="2" customFormat="1" ht="26.45">
      <c r="A1958" s="111"/>
      <c r="B1958" s="267" t="s">
        <v>2678</v>
      </c>
      <c r="C1958" s="18"/>
      <c r="D1958" s="430"/>
    </row>
    <row r="1959" spans="1:4" s="2" customFormat="1">
      <c r="A1959" s="111"/>
      <c r="B1959" s="267" t="s">
        <v>2679</v>
      </c>
      <c r="C1959" s="18"/>
      <c r="D1959" s="430"/>
    </row>
    <row r="1960" spans="1:4" s="2" customFormat="1">
      <c r="A1960" s="111"/>
      <c r="B1960" s="147" t="s">
        <v>2663</v>
      </c>
      <c r="C1960" s="18"/>
      <c r="D1960" s="430"/>
    </row>
    <row r="1961" spans="1:4" s="2" customFormat="1">
      <c r="A1961" s="111"/>
      <c r="B1961" s="147" t="s">
        <v>2664</v>
      </c>
      <c r="C1961" s="18"/>
      <c r="D1961" s="430"/>
    </row>
    <row r="1962" spans="1:4" s="2" customFormat="1">
      <c r="A1962" s="111"/>
      <c r="B1962" s="147" t="s">
        <v>2665</v>
      </c>
      <c r="C1962" s="18"/>
      <c r="D1962" s="430"/>
    </row>
    <row r="1963" spans="1:4" s="2" customFormat="1" ht="39.6">
      <c r="A1963" s="111"/>
      <c r="B1963" s="267" t="s">
        <v>2680</v>
      </c>
      <c r="C1963" s="18"/>
      <c r="D1963" s="430"/>
    </row>
    <row r="1964" spans="1:4" s="2" customFormat="1" ht="39.6">
      <c r="A1964" s="111"/>
      <c r="B1964" s="267" t="s">
        <v>2667</v>
      </c>
      <c r="C1964" s="18"/>
      <c r="D1964" s="430"/>
    </row>
    <row r="1965" spans="1:4" s="2" customFormat="1">
      <c r="A1965" s="111"/>
      <c r="B1965" s="267" t="s">
        <v>2681</v>
      </c>
      <c r="C1965" s="18"/>
      <c r="D1965" s="430"/>
    </row>
    <row r="1966" spans="1:4" s="3" customFormat="1">
      <c r="A1966" s="111"/>
      <c r="B1966" s="147" t="s">
        <v>2669</v>
      </c>
      <c r="C1966" s="18"/>
      <c r="D1966" s="430"/>
    </row>
    <row r="1967" spans="1:4" s="3" customFormat="1">
      <c r="A1967" s="111"/>
      <c r="B1967" s="147" t="s">
        <v>2670</v>
      </c>
      <c r="C1967" s="18"/>
      <c r="D1967" s="430"/>
    </row>
    <row r="1968" spans="1:4" s="3" customFormat="1">
      <c r="A1968" s="111"/>
      <c r="B1968" s="147" t="s">
        <v>2671</v>
      </c>
      <c r="C1968" s="18"/>
      <c r="D1968" s="430"/>
    </row>
    <row r="1969" spans="1:4" s="3" customFormat="1">
      <c r="A1969" s="111"/>
      <c r="B1969" s="147" t="s">
        <v>2672</v>
      </c>
      <c r="C1969" s="18"/>
      <c r="D1969" s="430"/>
    </row>
    <row r="1970" spans="1:4" s="3" customFormat="1" ht="26.45">
      <c r="A1970" s="111"/>
      <c r="B1970" s="267" t="s">
        <v>2682</v>
      </c>
      <c r="C1970" s="18"/>
      <c r="D1970" s="430"/>
    </row>
    <row r="1971" spans="1:4" s="3" customFormat="1" ht="26.45">
      <c r="A1971" s="30" t="s">
        <v>2697</v>
      </c>
      <c r="B1971" s="31" t="s">
        <v>2698</v>
      </c>
      <c r="C1971" s="18"/>
      <c r="D1971" s="430"/>
    </row>
    <row r="1972" spans="1:4" s="3" customFormat="1">
      <c r="A1972" s="55"/>
      <c r="B1972" s="267" t="s">
        <v>1428</v>
      </c>
      <c r="C1972" s="18" t="s">
        <v>1429</v>
      </c>
      <c r="D1972" s="430"/>
    </row>
    <row r="1973" spans="1:4" s="3" customFormat="1" ht="26.45">
      <c r="A1973" s="30" t="s">
        <v>2699</v>
      </c>
      <c r="B1973" s="31" t="s">
        <v>2700</v>
      </c>
      <c r="C1973" s="18"/>
      <c r="D1973" s="430"/>
    </row>
    <row r="1974" spans="1:4" s="3" customFormat="1">
      <c r="A1974" s="55"/>
      <c r="B1974" s="267" t="s">
        <v>1428</v>
      </c>
      <c r="C1974" s="18" t="s">
        <v>1429</v>
      </c>
      <c r="D1974" s="430"/>
    </row>
    <row r="1975" spans="1:4" s="3" customFormat="1" ht="26.45">
      <c r="A1975" s="22" t="s">
        <v>2701</v>
      </c>
      <c r="B1975" s="26" t="s">
        <v>2702</v>
      </c>
      <c r="C1975" s="24"/>
      <c r="D1975" s="432"/>
    </row>
    <row r="1976" spans="1:4" s="3" customFormat="1" ht="26.45">
      <c r="A1976" s="111"/>
      <c r="B1976" s="267" t="s">
        <v>2703</v>
      </c>
      <c r="C1976" s="18"/>
      <c r="D1976" s="430"/>
    </row>
    <row r="1977" spans="1:4" s="3" customFormat="1" ht="39.6">
      <c r="A1977" s="111"/>
      <c r="B1977" s="267" t="s">
        <v>2677</v>
      </c>
      <c r="C1977" s="18"/>
      <c r="D1977" s="430"/>
    </row>
    <row r="1978" spans="1:4" s="3" customFormat="1" ht="26.45">
      <c r="A1978" s="111"/>
      <c r="B1978" s="267" t="s">
        <v>2678</v>
      </c>
      <c r="C1978" s="18"/>
      <c r="D1978" s="430"/>
    </row>
    <row r="1979" spans="1:4" s="3" customFormat="1">
      <c r="A1979" s="111"/>
      <c r="B1979" s="267" t="s">
        <v>2679</v>
      </c>
      <c r="C1979" s="18"/>
      <c r="D1979" s="430"/>
    </row>
    <row r="1980" spans="1:4" s="2" customFormat="1">
      <c r="A1980" s="111"/>
      <c r="B1980" s="147" t="s">
        <v>2663</v>
      </c>
      <c r="C1980" s="18"/>
      <c r="D1980" s="430"/>
    </row>
    <row r="1981" spans="1:4" s="2" customFormat="1">
      <c r="A1981" s="111"/>
      <c r="B1981" s="147" t="s">
        <v>2664</v>
      </c>
      <c r="C1981" s="18"/>
      <c r="D1981" s="430"/>
    </row>
    <row r="1982" spans="1:4" s="2" customFormat="1">
      <c r="A1982" s="111"/>
      <c r="B1982" s="147" t="s">
        <v>2665</v>
      </c>
      <c r="C1982" s="18"/>
      <c r="D1982" s="430"/>
    </row>
    <row r="1983" spans="1:4" s="2" customFormat="1" ht="39.6">
      <c r="A1983" s="111"/>
      <c r="B1983" s="267" t="s">
        <v>2680</v>
      </c>
      <c r="C1983" s="18"/>
      <c r="D1983" s="430"/>
    </row>
    <row r="1984" spans="1:4" s="2" customFormat="1" ht="39.6">
      <c r="A1984" s="111"/>
      <c r="B1984" s="267" t="s">
        <v>2667</v>
      </c>
      <c r="C1984" s="18"/>
      <c r="D1984" s="430"/>
    </row>
    <row r="1985" spans="1:4" s="2" customFormat="1">
      <c r="A1985" s="111"/>
      <c r="B1985" s="267" t="s">
        <v>2681</v>
      </c>
      <c r="C1985" s="18"/>
      <c r="D1985" s="430"/>
    </row>
    <row r="1986" spans="1:4" s="2" customFormat="1">
      <c r="A1986" s="111"/>
      <c r="B1986" s="147" t="s">
        <v>2669</v>
      </c>
      <c r="C1986" s="18"/>
      <c r="D1986" s="430"/>
    </row>
    <row r="1987" spans="1:4" s="2" customFormat="1">
      <c r="A1987" s="111"/>
      <c r="B1987" s="147" t="s">
        <v>2670</v>
      </c>
      <c r="C1987" s="18"/>
      <c r="D1987" s="430"/>
    </row>
    <row r="1988" spans="1:4" s="2" customFormat="1">
      <c r="A1988" s="111"/>
      <c r="B1988" s="147" t="s">
        <v>2671</v>
      </c>
      <c r="C1988" s="18"/>
      <c r="D1988" s="430"/>
    </row>
    <row r="1989" spans="1:4" s="3" customFormat="1">
      <c r="A1989" s="111"/>
      <c r="B1989" s="147" t="s">
        <v>2672</v>
      </c>
      <c r="C1989" s="18"/>
      <c r="D1989" s="430"/>
    </row>
    <row r="1990" spans="1:4" s="3" customFormat="1" ht="26.45">
      <c r="A1990" s="111"/>
      <c r="B1990" s="267" t="s">
        <v>2682</v>
      </c>
      <c r="C1990" s="18"/>
      <c r="D1990" s="430"/>
    </row>
    <row r="1991" spans="1:4" s="3" customFormat="1" ht="26.45">
      <c r="A1991" s="30" t="s">
        <v>2704</v>
      </c>
      <c r="B1991" s="31" t="s">
        <v>2705</v>
      </c>
      <c r="C1991" s="18"/>
      <c r="D1991" s="430"/>
    </row>
    <row r="1992" spans="1:4" s="3" customFormat="1">
      <c r="A1992" s="55"/>
      <c r="B1992" s="267" t="s">
        <v>1428</v>
      </c>
      <c r="C1992" s="18" t="s">
        <v>1429</v>
      </c>
      <c r="D1992" s="430"/>
    </row>
    <row r="1993" spans="1:4" s="3" customFormat="1" ht="26.45">
      <c r="A1993" s="30" t="s">
        <v>2706</v>
      </c>
      <c r="B1993" s="31" t="s">
        <v>2707</v>
      </c>
      <c r="C1993" s="18"/>
      <c r="D1993" s="430"/>
    </row>
    <row r="1994" spans="1:4" s="3" customFormat="1">
      <c r="A1994" s="55"/>
      <c r="B1994" s="267" t="s">
        <v>1428</v>
      </c>
      <c r="C1994" s="18" t="s">
        <v>1429</v>
      </c>
      <c r="D1994" s="430"/>
    </row>
    <row r="1995" spans="1:4" s="3" customFormat="1" ht="26.45">
      <c r="A1995" s="22" t="s">
        <v>2708</v>
      </c>
      <c r="B1995" s="26" t="s">
        <v>2709</v>
      </c>
      <c r="C1995" s="24"/>
      <c r="D1995" s="432"/>
    </row>
    <row r="1996" spans="1:4" s="3" customFormat="1" ht="39.6">
      <c r="A1996" s="111"/>
      <c r="B1996" s="267" t="s">
        <v>2710</v>
      </c>
      <c r="C1996" s="18"/>
      <c r="D1996" s="430"/>
    </row>
    <row r="1997" spans="1:4" s="3" customFormat="1" ht="26.45">
      <c r="A1997" s="111"/>
      <c r="B1997" s="267" t="s">
        <v>2711</v>
      </c>
      <c r="C1997" s="18"/>
      <c r="D1997" s="430"/>
    </row>
    <row r="1998" spans="1:4" s="3" customFormat="1" ht="26.45">
      <c r="A1998" s="111"/>
      <c r="B1998" s="267" t="s">
        <v>2712</v>
      </c>
      <c r="C1998" s="18"/>
      <c r="D1998" s="430"/>
    </row>
    <row r="1999" spans="1:4" s="3" customFormat="1" ht="26.45">
      <c r="A1999" s="111"/>
      <c r="B1999" s="267" t="s">
        <v>2713</v>
      </c>
      <c r="C1999" s="18"/>
      <c r="D1999" s="430"/>
    </row>
    <row r="2000" spans="1:4" s="3" customFormat="1" ht="39.6">
      <c r="A2000" s="111"/>
      <c r="B2000" s="267" t="s">
        <v>2680</v>
      </c>
      <c r="C2000" s="18"/>
      <c r="D2000" s="430"/>
    </row>
    <row r="2001" spans="1:4" s="3" customFormat="1">
      <c r="A2001" s="111"/>
      <c r="B2001" s="267" t="s">
        <v>2679</v>
      </c>
      <c r="C2001" s="18"/>
      <c r="D2001" s="430"/>
    </row>
    <row r="2002" spans="1:4" s="3" customFormat="1">
      <c r="A2002" s="111"/>
      <c r="B2002" s="147" t="s">
        <v>2714</v>
      </c>
      <c r="C2002" s="18"/>
      <c r="D2002" s="430"/>
    </row>
    <row r="2003" spans="1:4" s="3" customFormat="1">
      <c r="A2003" s="111"/>
      <c r="B2003" s="147" t="s">
        <v>2715</v>
      </c>
      <c r="C2003" s="18"/>
      <c r="D2003" s="430"/>
    </row>
    <row r="2004" spans="1:4" s="3" customFormat="1">
      <c r="A2004" s="111"/>
      <c r="B2004" s="147" t="s">
        <v>2665</v>
      </c>
      <c r="C2004" s="18"/>
      <c r="D2004" s="430"/>
    </row>
    <row r="2005" spans="1:4" s="3" customFormat="1" ht="26.45">
      <c r="A2005" s="111"/>
      <c r="B2005" s="267" t="s">
        <v>2716</v>
      </c>
      <c r="C2005" s="18"/>
      <c r="D2005" s="430"/>
    </row>
    <row r="2006" spans="1:4" s="3" customFormat="1">
      <c r="A2006" s="111"/>
      <c r="B2006" s="267" t="s">
        <v>2681</v>
      </c>
      <c r="C2006" s="18"/>
      <c r="D2006" s="430"/>
    </row>
    <row r="2007" spans="1:4" s="3" customFormat="1">
      <c r="A2007" s="111"/>
      <c r="B2007" s="147" t="s">
        <v>2717</v>
      </c>
      <c r="C2007" s="18"/>
      <c r="D2007" s="430"/>
    </row>
    <row r="2008" spans="1:4" s="3" customFormat="1">
      <c r="A2008" s="111"/>
      <c r="B2008" s="147" t="s">
        <v>2670</v>
      </c>
      <c r="C2008" s="18"/>
      <c r="D2008" s="430"/>
    </row>
    <row r="2009" spans="1:4" s="3" customFormat="1">
      <c r="A2009" s="111"/>
      <c r="B2009" s="147" t="s">
        <v>2718</v>
      </c>
      <c r="C2009" s="18"/>
      <c r="D2009" s="430"/>
    </row>
    <row r="2010" spans="1:4" s="3" customFormat="1">
      <c r="A2010" s="111"/>
      <c r="B2010" s="147" t="s">
        <v>2719</v>
      </c>
      <c r="C2010" s="18"/>
      <c r="D2010" s="430"/>
    </row>
    <row r="2011" spans="1:4" s="3" customFormat="1" ht="26.45">
      <c r="A2011" s="30" t="s">
        <v>2720</v>
      </c>
      <c r="B2011" s="31" t="s">
        <v>2721</v>
      </c>
      <c r="C2011" s="18"/>
      <c r="D2011" s="430"/>
    </row>
    <row r="2012" spans="1:4" s="3" customFormat="1">
      <c r="A2012" s="111"/>
      <c r="B2012" s="267" t="s">
        <v>1428</v>
      </c>
      <c r="C2012" s="18" t="s">
        <v>1429</v>
      </c>
      <c r="D2012" s="430"/>
    </row>
    <row r="2013" spans="1:4" s="2" customFormat="1" ht="26.45">
      <c r="A2013" s="30" t="s">
        <v>2722</v>
      </c>
      <c r="B2013" s="31" t="s">
        <v>2723</v>
      </c>
      <c r="C2013" s="18"/>
      <c r="D2013" s="430"/>
    </row>
    <row r="2014" spans="1:4" s="2" customFormat="1">
      <c r="A2014" s="140"/>
      <c r="B2014" s="303" t="s">
        <v>1428</v>
      </c>
      <c r="C2014" s="109" t="s">
        <v>1429</v>
      </c>
      <c r="D2014" s="430"/>
    </row>
    <row r="2015" spans="1:4" s="2" customFormat="1" ht="26.45">
      <c r="A2015" s="22" t="s">
        <v>2724</v>
      </c>
      <c r="B2015" s="367" t="s">
        <v>2725</v>
      </c>
      <c r="C2015" s="24"/>
      <c r="D2015" s="432"/>
    </row>
    <row r="2016" spans="1:4" s="2" customFormat="1" ht="39.6">
      <c r="A2016" s="111"/>
      <c r="B2016" s="484" t="s">
        <v>2726</v>
      </c>
      <c r="C2016" s="18"/>
      <c r="D2016" s="430"/>
    </row>
    <row r="2017" spans="1:4" s="2" customFormat="1" ht="26.45">
      <c r="A2017" s="111"/>
      <c r="B2017" s="267" t="s">
        <v>2711</v>
      </c>
      <c r="C2017" s="18"/>
      <c r="D2017" s="430"/>
    </row>
    <row r="2018" spans="1:4" s="2" customFormat="1" ht="26.45">
      <c r="A2018" s="111"/>
      <c r="B2018" s="267" t="s">
        <v>2712</v>
      </c>
      <c r="C2018" s="18"/>
      <c r="D2018" s="430"/>
    </row>
    <row r="2019" spans="1:4" s="2" customFormat="1" ht="26.45">
      <c r="A2019" s="111"/>
      <c r="B2019" s="267" t="s">
        <v>2713</v>
      </c>
      <c r="C2019" s="18"/>
      <c r="D2019" s="430"/>
    </row>
    <row r="2020" spans="1:4" s="2" customFormat="1" ht="39.6">
      <c r="A2020" s="111"/>
      <c r="B2020" s="267" t="s">
        <v>2680</v>
      </c>
      <c r="C2020" s="18"/>
      <c r="D2020" s="430"/>
    </row>
    <row r="2021" spans="1:4" s="2" customFormat="1">
      <c r="A2021" s="111"/>
      <c r="B2021" s="267" t="s">
        <v>2679</v>
      </c>
      <c r="C2021" s="18"/>
      <c r="D2021" s="430"/>
    </row>
    <row r="2022" spans="1:4" s="2" customFormat="1">
      <c r="A2022" s="111"/>
      <c r="B2022" s="147" t="s">
        <v>2727</v>
      </c>
      <c r="C2022" s="18"/>
      <c r="D2022" s="430"/>
    </row>
    <row r="2023" spans="1:4" s="3" customFormat="1">
      <c r="A2023" s="111"/>
      <c r="B2023" s="147" t="s">
        <v>2728</v>
      </c>
      <c r="C2023" s="18"/>
      <c r="D2023" s="430"/>
    </row>
    <row r="2024" spans="1:4" s="3" customFormat="1">
      <c r="A2024" s="111"/>
      <c r="B2024" s="147" t="s">
        <v>2729</v>
      </c>
      <c r="C2024" s="18"/>
      <c r="D2024" s="430"/>
    </row>
    <row r="2025" spans="1:4" s="3" customFormat="1" ht="26.45">
      <c r="A2025" s="111"/>
      <c r="B2025" s="267" t="s">
        <v>2716</v>
      </c>
      <c r="C2025" s="18"/>
      <c r="D2025" s="430"/>
    </row>
    <row r="2026" spans="1:4" s="3" customFormat="1">
      <c r="A2026" s="111"/>
      <c r="B2026" s="267" t="s">
        <v>2681</v>
      </c>
      <c r="C2026" s="18"/>
      <c r="D2026" s="430"/>
    </row>
    <row r="2027" spans="1:4" s="3" customFormat="1">
      <c r="A2027" s="111"/>
      <c r="B2027" s="147" t="s">
        <v>2717</v>
      </c>
      <c r="C2027" s="18"/>
      <c r="D2027" s="430"/>
    </row>
    <row r="2028" spans="1:4" s="3" customFormat="1">
      <c r="A2028" s="111"/>
      <c r="B2028" s="147" t="s">
        <v>2670</v>
      </c>
      <c r="C2028" s="18"/>
      <c r="D2028" s="430"/>
    </row>
    <row r="2029" spans="1:4" s="3" customFormat="1">
      <c r="A2029" s="111"/>
      <c r="B2029" s="147" t="s">
        <v>2718</v>
      </c>
      <c r="C2029" s="18"/>
      <c r="D2029" s="430"/>
    </row>
    <row r="2030" spans="1:4" s="3" customFormat="1">
      <c r="A2030" s="111"/>
      <c r="B2030" s="147" t="s">
        <v>2719</v>
      </c>
      <c r="C2030" s="18"/>
      <c r="D2030" s="430"/>
    </row>
    <row r="2031" spans="1:4" s="2" customFormat="1" ht="26.45">
      <c r="A2031" s="30" t="s">
        <v>2730</v>
      </c>
      <c r="B2031" s="485" t="s">
        <v>2731</v>
      </c>
      <c r="C2031" s="18"/>
      <c r="D2031" s="430"/>
    </row>
    <row r="2032" spans="1:4" s="2" customFormat="1">
      <c r="A2032" s="111"/>
      <c r="B2032" s="267" t="s">
        <v>1428</v>
      </c>
      <c r="C2032" s="18" t="s">
        <v>1429</v>
      </c>
      <c r="D2032" s="430"/>
    </row>
    <row r="2033" spans="1:4" s="2" customFormat="1" ht="26.45">
      <c r="A2033" s="30" t="s">
        <v>2732</v>
      </c>
      <c r="B2033" s="485" t="s">
        <v>2733</v>
      </c>
      <c r="C2033" s="18"/>
      <c r="D2033" s="430"/>
    </row>
    <row r="2034" spans="1:4" s="2" customFormat="1">
      <c r="A2034" s="111"/>
      <c r="B2034" s="267" t="s">
        <v>1428</v>
      </c>
      <c r="C2034" s="18" t="s">
        <v>1429</v>
      </c>
      <c r="D2034" s="430"/>
    </row>
    <row r="2035" spans="1:4" s="2" customFormat="1">
      <c r="A2035" s="22" t="s">
        <v>2734</v>
      </c>
      <c r="B2035" s="26" t="s">
        <v>2735</v>
      </c>
      <c r="C2035" s="24"/>
      <c r="D2035" s="432"/>
    </row>
    <row r="2036" spans="1:4" s="2" customFormat="1" ht="39.6">
      <c r="A2036" s="111"/>
      <c r="B2036" s="267" t="s">
        <v>2736</v>
      </c>
      <c r="C2036" s="18"/>
      <c r="D2036" s="430"/>
    </row>
    <row r="2037" spans="1:4" s="2" customFormat="1" ht="26.45">
      <c r="A2037" s="111"/>
      <c r="B2037" s="267" t="s">
        <v>2711</v>
      </c>
      <c r="C2037" s="18"/>
      <c r="D2037" s="430"/>
    </row>
    <row r="2038" spans="1:4" s="2" customFormat="1" ht="26.45">
      <c r="A2038" s="111"/>
      <c r="B2038" s="267" t="s">
        <v>2712</v>
      </c>
      <c r="C2038" s="18"/>
      <c r="D2038" s="430"/>
    </row>
    <row r="2039" spans="1:4" s="2" customFormat="1" ht="26.45">
      <c r="A2039" s="111"/>
      <c r="B2039" s="267" t="s">
        <v>2713</v>
      </c>
      <c r="C2039" s="18"/>
      <c r="D2039" s="430"/>
    </row>
    <row r="2040" spans="1:4" s="3" customFormat="1" ht="39.6">
      <c r="A2040" s="111"/>
      <c r="B2040" s="267" t="s">
        <v>2680</v>
      </c>
      <c r="C2040" s="18"/>
      <c r="D2040" s="430"/>
    </row>
    <row r="2041" spans="1:4" s="3" customFormat="1">
      <c r="A2041" s="111"/>
      <c r="B2041" s="267" t="s">
        <v>2679</v>
      </c>
      <c r="C2041" s="18"/>
      <c r="D2041" s="430"/>
    </row>
    <row r="2042" spans="1:4" s="3" customFormat="1">
      <c r="A2042" s="111"/>
      <c r="B2042" s="147" t="s">
        <v>2727</v>
      </c>
      <c r="C2042" s="18"/>
      <c r="D2042" s="430"/>
    </row>
    <row r="2043" spans="1:4" s="3" customFormat="1">
      <c r="A2043" s="111"/>
      <c r="B2043" s="147" t="s">
        <v>2728</v>
      </c>
      <c r="C2043" s="18"/>
      <c r="D2043" s="430"/>
    </row>
    <row r="2044" spans="1:4" s="3" customFormat="1">
      <c r="A2044" s="111"/>
      <c r="B2044" s="147" t="s">
        <v>2729</v>
      </c>
      <c r="C2044" s="18"/>
      <c r="D2044" s="430"/>
    </row>
    <row r="2045" spans="1:4" s="3" customFormat="1" ht="26.45">
      <c r="A2045" s="111"/>
      <c r="B2045" s="267" t="s">
        <v>2716</v>
      </c>
      <c r="C2045" s="18"/>
      <c r="D2045" s="430"/>
    </row>
    <row r="2046" spans="1:4" s="3" customFormat="1">
      <c r="A2046" s="111"/>
      <c r="B2046" s="267" t="s">
        <v>2681</v>
      </c>
      <c r="C2046" s="18"/>
      <c r="D2046" s="430"/>
    </row>
    <row r="2047" spans="1:4" s="3" customFormat="1">
      <c r="A2047" s="111"/>
      <c r="B2047" s="147" t="s">
        <v>2717</v>
      </c>
      <c r="C2047" s="18"/>
      <c r="D2047" s="430"/>
    </row>
    <row r="2048" spans="1:4" s="3" customFormat="1">
      <c r="A2048" s="111"/>
      <c r="B2048" s="147" t="s">
        <v>2670</v>
      </c>
      <c r="C2048" s="18"/>
      <c r="D2048" s="430"/>
    </row>
    <row r="2049" spans="1:4" s="3" customFormat="1">
      <c r="A2049" s="111"/>
      <c r="B2049" s="147" t="s">
        <v>2718</v>
      </c>
      <c r="C2049" s="18"/>
      <c r="D2049" s="430"/>
    </row>
    <row r="2050" spans="1:4" s="3" customFormat="1">
      <c r="A2050" s="111"/>
      <c r="B2050" s="147" t="s">
        <v>2719</v>
      </c>
      <c r="C2050" s="18"/>
      <c r="D2050" s="430"/>
    </row>
    <row r="2051" spans="1:4" s="3" customFormat="1">
      <c r="A2051" s="30" t="s">
        <v>2737</v>
      </c>
      <c r="B2051" s="31" t="s">
        <v>2738</v>
      </c>
      <c r="C2051" s="18"/>
      <c r="D2051" s="430"/>
    </row>
    <row r="2052" spans="1:4" s="3" customFormat="1">
      <c r="A2052" s="111"/>
      <c r="B2052" s="267" t="s">
        <v>1428</v>
      </c>
      <c r="C2052" s="18" t="s">
        <v>1429</v>
      </c>
      <c r="D2052" s="430"/>
    </row>
    <row r="2053" spans="1:4" s="3" customFormat="1" ht="26.45">
      <c r="A2053" s="30" t="s">
        <v>2739</v>
      </c>
      <c r="B2053" s="31" t="s">
        <v>2740</v>
      </c>
      <c r="C2053" s="18"/>
      <c r="D2053" s="430"/>
    </row>
    <row r="2054" spans="1:4" s="3" customFormat="1">
      <c r="A2054" s="111"/>
      <c r="B2054" s="267" t="s">
        <v>1428</v>
      </c>
      <c r="C2054" s="18" t="s">
        <v>1429</v>
      </c>
      <c r="D2054" s="430"/>
    </row>
    <row r="2055" spans="1:4" s="3" customFormat="1">
      <c r="A2055" s="22" t="s">
        <v>2741</v>
      </c>
      <c r="B2055" s="23" t="s">
        <v>2742</v>
      </c>
      <c r="C2055" s="24"/>
      <c r="D2055" s="432"/>
    </row>
    <row r="2056" spans="1:4" s="3" customFormat="1" ht="26.45">
      <c r="A2056" s="111"/>
      <c r="B2056" s="267" t="s">
        <v>2743</v>
      </c>
      <c r="C2056" s="18"/>
      <c r="D2056" s="430"/>
    </row>
    <row r="2057" spans="1:4" s="3" customFormat="1" ht="39.6">
      <c r="A2057" s="111"/>
      <c r="B2057" s="267" t="s">
        <v>2744</v>
      </c>
      <c r="C2057" s="18"/>
      <c r="D2057" s="430"/>
    </row>
    <row r="2058" spans="1:4" s="3" customFormat="1" ht="39.6">
      <c r="A2058" s="111"/>
      <c r="B2058" s="267" t="s">
        <v>2745</v>
      </c>
      <c r="C2058" s="18"/>
      <c r="D2058" s="430"/>
    </row>
    <row r="2059" spans="1:4" s="3" customFormat="1" ht="26.45">
      <c r="A2059" s="111"/>
      <c r="B2059" s="267" t="s">
        <v>2746</v>
      </c>
      <c r="C2059" s="18"/>
      <c r="D2059" s="430"/>
    </row>
    <row r="2060" spans="1:4" s="2" customFormat="1">
      <c r="A2060" s="111"/>
      <c r="B2060" s="267" t="s">
        <v>1428</v>
      </c>
      <c r="C2060" s="18" t="s">
        <v>1429</v>
      </c>
      <c r="D2060" s="430"/>
    </row>
    <row r="2061" spans="1:4" s="72" customFormat="1" ht="26.45">
      <c r="A2061" s="22" t="s">
        <v>2747</v>
      </c>
      <c r="B2061" s="23" t="s">
        <v>2748</v>
      </c>
      <c r="C2061" s="24"/>
      <c r="D2061" s="432"/>
    </row>
    <row r="2062" spans="1:4" s="72" customFormat="1" ht="26.45">
      <c r="A2062" s="111"/>
      <c r="B2062" s="267" t="s">
        <v>2749</v>
      </c>
      <c r="C2062" s="18"/>
      <c r="D2062" s="430"/>
    </row>
    <row r="2063" spans="1:4" s="72" customFormat="1" ht="26.45">
      <c r="A2063" s="111"/>
      <c r="B2063" s="267" t="s">
        <v>2750</v>
      </c>
      <c r="C2063" s="18"/>
      <c r="D2063" s="430"/>
    </row>
    <row r="2064" spans="1:4" s="72" customFormat="1">
      <c r="A2064" s="111"/>
      <c r="B2064" s="267" t="s">
        <v>1428</v>
      </c>
      <c r="C2064" s="18" t="s">
        <v>1429</v>
      </c>
      <c r="D2064" s="430"/>
    </row>
    <row r="2065" spans="1:4" s="72" customFormat="1">
      <c r="A2065" s="22" t="s">
        <v>2751</v>
      </c>
      <c r="B2065" s="23" t="s">
        <v>2752</v>
      </c>
      <c r="C2065" s="24"/>
      <c r="D2065" s="432"/>
    </row>
    <row r="2066" spans="1:4" s="72" customFormat="1" ht="26.45">
      <c r="A2066" s="111"/>
      <c r="B2066" s="267" t="s">
        <v>2753</v>
      </c>
      <c r="C2066" s="18"/>
      <c r="D2066" s="430"/>
    </row>
    <row r="2067" spans="1:4" s="72" customFormat="1" ht="26.45">
      <c r="A2067" s="111"/>
      <c r="B2067" s="267" t="s">
        <v>2754</v>
      </c>
      <c r="C2067" s="18"/>
      <c r="D2067" s="430"/>
    </row>
    <row r="2068" spans="1:4" s="72" customFormat="1">
      <c r="A2068" s="111"/>
      <c r="B2068" s="267" t="s">
        <v>1428</v>
      </c>
      <c r="C2068" s="18" t="s">
        <v>1429</v>
      </c>
      <c r="D2068" s="430"/>
    </row>
    <row r="2069" spans="1:4" s="70" customFormat="1">
      <c r="A2069" s="22" t="s">
        <v>2755</v>
      </c>
      <c r="B2069" s="23" t="s">
        <v>2756</v>
      </c>
      <c r="C2069" s="24"/>
      <c r="D2069" s="432"/>
    </row>
    <row r="2070" spans="1:4" s="70" customFormat="1" ht="26.45">
      <c r="A2070" s="111"/>
      <c r="B2070" s="267" t="s">
        <v>2757</v>
      </c>
      <c r="C2070" s="18"/>
      <c r="D2070" s="430"/>
    </row>
    <row r="2071" spans="1:4" s="70" customFormat="1" ht="26.45">
      <c r="A2071" s="111"/>
      <c r="B2071" s="267" t="s">
        <v>2758</v>
      </c>
      <c r="C2071" s="18"/>
      <c r="D2071" s="430"/>
    </row>
    <row r="2072" spans="1:4" s="70" customFormat="1">
      <c r="A2072" s="111"/>
      <c r="B2072" s="267" t="s">
        <v>1428</v>
      </c>
      <c r="C2072" s="18" t="s">
        <v>1429</v>
      </c>
      <c r="D2072" s="430"/>
    </row>
    <row r="2073" spans="1:4" s="70" customFormat="1" ht="26.45">
      <c r="A2073" s="22" t="s">
        <v>2759</v>
      </c>
      <c r="B2073" s="59" t="s">
        <v>2760</v>
      </c>
      <c r="C2073" s="24"/>
      <c r="D2073" s="432"/>
    </row>
    <row r="2074" spans="1:4" s="70" customFormat="1" ht="26.45">
      <c r="A2074" s="111"/>
      <c r="B2074" s="267" t="s">
        <v>2761</v>
      </c>
      <c r="C2074" s="18"/>
      <c r="D2074" s="430"/>
    </row>
    <row r="2075" spans="1:4" s="70" customFormat="1" ht="26.45">
      <c r="A2075" s="111"/>
      <c r="B2075" s="267" t="s">
        <v>2762</v>
      </c>
      <c r="C2075" s="18"/>
      <c r="D2075" s="430"/>
    </row>
    <row r="2076" spans="1:4" s="70" customFormat="1">
      <c r="A2076" s="140"/>
      <c r="B2076" s="303" t="s">
        <v>1428</v>
      </c>
      <c r="C2076" s="109" t="s">
        <v>1429</v>
      </c>
      <c r="D2076" s="430"/>
    </row>
    <row r="2077" spans="1:4" s="70" customFormat="1" ht="26.45">
      <c r="A2077" s="22" t="s">
        <v>2763</v>
      </c>
      <c r="B2077" s="59" t="s">
        <v>2764</v>
      </c>
      <c r="C2077" s="24"/>
      <c r="D2077" s="432"/>
    </row>
    <row r="2078" spans="1:4" s="70" customFormat="1" ht="26.45">
      <c r="A2078" s="30"/>
      <c r="B2078" s="267" t="s">
        <v>2765</v>
      </c>
      <c r="C2078" s="18"/>
      <c r="D2078" s="430"/>
    </row>
    <row r="2079" spans="1:4" s="70" customFormat="1" ht="26.45">
      <c r="A2079" s="30"/>
      <c r="B2079" s="267" t="s">
        <v>2766</v>
      </c>
      <c r="C2079" s="18"/>
      <c r="D2079" s="430"/>
    </row>
    <row r="2080" spans="1:4" s="70" customFormat="1" ht="26.45">
      <c r="A2080" s="30"/>
      <c r="B2080" s="267" t="s">
        <v>2767</v>
      </c>
      <c r="C2080" s="18"/>
      <c r="D2080" s="430"/>
    </row>
    <row r="2081" spans="1:4" s="70" customFormat="1">
      <c r="A2081" s="30"/>
      <c r="B2081" s="267" t="s">
        <v>2768</v>
      </c>
      <c r="C2081" s="18"/>
      <c r="D2081" s="430"/>
    </row>
    <row r="2082" spans="1:4" s="70" customFormat="1">
      <c r="A2082" s="30"/>
      <c r="B2082" s="267" t="s">
        <v>2769</v>
      </c>
      <c r="C2082" s="18"/>
      <c r="D2082" s="430"/>
    </row>
    <row r="2083" spans="1:4" s="70" customFormat="1" ht="26.45">
      <c r="A2083" s="30" t="s">
        <v>2770</v>
      </c>
      <c r="B2083" s="31" t="s">
        <v>2771</v>
      </c>
      <c r="C2083" s="18"/>
      <c r="D2083" s="430"/>
    </row>
    <row r="2084" spans="1:4" s="70" customFormat="1">
      <c r="A2084" s="286"/>
      <c r="B2084" s="267" t="s">
        <v>1428</v>
      </c>
      <c r="C2084" s="18" t="s">
        <v>1429</v>
      </c>
      <c r="D2084" s="430"/>
    </row>
    <row r="2085" spans="1:4" s="70" customFormat="1" ht="26.45">
      <c r="A2085" s="30" t="s">
        <v>2772</v>
      </c>
      <c r="B2085" s="31" t="s">
        <v>2773</v>
      </c>
      <c r="C2085" s="18"/>
      <c r="D2085" s="430"/>
    </row>
    <row r="2086" spans="1:4" s="70" customFormat="1">
      <c r="A2086" s="286"/>
      <c r="B2086" s="267" t="s">
        <v>1428</v>
      </c>
      <c r="C2086" s="18" t="s">
        <v>1429</v>
      </c>
      <c r="D2086" s="430"/>
    </row>
    <row r="2087" spans="1:4" s="70" customFormat="1" ht="26.45">
      <c r="A2087" s="30" t="s">
        <v>2774</v>
      </c>
      <c r="B2087" s="31" t="s">
        <v>2775</v>
      </c>
      <c r="C2087" s="18"/>
      <c r="D2087" s="430"/>
    </row>
    <row r="2088" spans="1:4" s="70" customFormat="1">
      <c r="A2088" s="286"/>
      <c r="B2088" s="267" t="s">
        <v>1428</v>
      </c>
      <c r="C2088" s="18" t="s">
        <v>1429</v>
      </c>
      <c r="D2088" s="430"/>
    </row>
    <row r="2089" spans="1:4" s="70" customFormat="1" ht="26.45">
      <c r="A2089" s="30" t="s">
        <v>2776</v>
      </c>
      <c r="B2089" s="31" t="s">
        <v>2777</v>
      </c>
      <c r="C2089" s="18"/>
      <c r="D2089" s="430"/>
    </row>
    <row r="2090" spans="1:4" s="70" customFormat="1">
      <c r="A2090" s="286"/>
      <c r="B2090" s="267" t="s">
        <v>1428</v>
      </c>
      <c r="C2090" s="18" t="s">
        <v>1429</v>
      </c>
      <c r="D2090" s="430"/>
    </row>
    <row r="2091" spans="1:4" s="2" customFormat="1" ht="26.45">
      <c r="A2091" s="30" t="s">
        <v>2778</v>
      </c>
      <c r="B2091" s="31" t="s">
        <v>2779</v>
      </c>
      <c r="C2091" s="18"/>
      <c r="D2091" s="430"/>
    </row>
    <row r="2092" spans="1:4" s="2" customFormat="1">
      <c r="A2092" s="286"/>
      <c r="B2092" s="267" t="s">
        <v>1428</v>
      </c>
      <c r="C2092" s="18" t="s">
        <v>1429</v>
      </c>
      <c r="D2092" s="430"/>
    </row>
    <row r="2093" spans="1:4" s="2" customFormat="1">
      <c r="A2093" s="111" t="s">
        <v>2780</v>
      </c>
      <c r="B2093" s="381" t="s">
        <v>2781</v>
      </c>
      <c r="C2093" s="18"/>
      <c r="D2093" s="430"/>
    </row>
    <row r="2094" spans="1:4" s="2" customFormat="1">
      <c r="A2094" s="331"/>
      <c r="B2094" s="382" t="s">
        <v>1428</v>
      </c>
      <c r="C2094" s="18" t="s">
        <v>1429</v>
      </c>
      <c r="D2094" s="430"/>
    </row>
    <row r="2095" spans="1:4" s="2" customFormat="1">
      <c r="A2095" s="112" t="s">
        <v>2782</v>
      </c>
      <c r="B2095" s="381" t="s">
        <v>2783</v>
      </c>
      <c r="C2095" s="18"/>
      <c r="D2095" s="430"/>
    </row>
    <row r="2096" spans="1:4" s="2" customFormat="1">
      <c r="A2096" s="331"/>
      <c r="B2096" s="267" t="s">
        <v>1428</v>
      </c>
      <c r="C2096" s="18" t="s">
        <v>1429</v>
      </c>
      <c r="D2096" s="430"/>
    </row>
    <row r="2097" spans="1:4" s="2" customFormat="1">
      <c r="A2097" s="112" t="s">
        <v>2784</v>
      </c>
      <c r="B2097" s="381" t="s">
        <v>2785</v>
      </c>
      <c r="C2097" s="18"/>
      <c r="D2097" s="430"/>
    </row>
    <row r="2098" spans="1:4" s="2" customFormat="1">
      <c r="A2098" s="331"/>
      <c r="B2098" s="267" t="s">
        <v>1428</v>
      </c>
      <c r="C2098" s="109" t="s">
        <v>1429</v>
      </c>
      <c r="D2098" s="430"/>
    </row>
    <row r="2099" spans="1:4" s="2" customFormat="1">
      <c r="A2099" s="43" t="s">
        <v>2786</v>
      </c>
      <c r="B2099" s="44" t="s">
        <v>2787</v>
      </c>
      <c r="C2099" s="24"/>
      <c r="D2099" s="432"/>
    </row>
    <row r="2100" spans="1:4" s="2" customFormat="1">
      <c r="A2100" s="219" t="s">
        <v>2788</v>
      </c>
      <c r="B2100" s="220" t="s">
        <v>2789</v>
      </c>
      <c r="C2100" s="221"/>
      <c r="D2100" s="434"/>
    </row>
    <row r="2101" spans="1:4" s="2" customFormat="1" ht="44.25" customHeight="1">
      <c r="A2101" s="111" t="s">
        <v>959</v>
      </c>
      <c r="B2101" s="267" t="s">
        <v>2790</v>
      </c>
      <c r="C2101" s="18" t="s">
        <v>959</v>
      </c>
      <c r="D2101" s="430"/>
    </row>
    <row r="2102" spans="1:4" s="2" customFormat="1">
      <c r="A2102" s="55" t="s">
        <v>2791</v>
      </c>
      <c r="B2102" s="77" t="s">
        <v>2792</v>
      </c>
      <c r="C2102" s="18"/>
      <c r="D2102" s="430"/>
    </row>
    <row r="2103" spans="1:4" s="2" customFormat="1">
      <c r="A2103" s="111"/>
      <c r="B2103" s="267" t="s">
        <v>1231</v>
      </c>
      <c r="C2103" s="18" t="s">
        <v>1262</v>
      </c>
      <c r="D2103" s="430"/>
    </row>
    <row r="2104" spans="1:4" s="2" customFormat="1">
      <c r="A2104" s="55" t="s">
        <v>2793</v>
      </c>
      <c r="B2104" s="77" t="s">
        <v>2794</v>
      </c>
      <c r="C2104" s="18"/>
      <c r="D2104" s="430"/>
    </row>
    <row r="2105" spans="1:4" s="2" customFormat="1">
      <c r="A2105" s="111"/>
      <c r="B2105" s="267" t="s">
        <v>1231</v>
      </c>
      <c r="C2105" s="18" t="s">
        <v>1262</v>
      </c>
      <c r="D2105" s="430"/>
    </row>
    <row r="2106" spans="1:4" s="3" customFormat="1">
      <c r="A2106" s="55" t="s">
        <v>2795</v>
      </c>
      <c r="B2106" s="77" t="s">
        <v>2796</v>
      </c>
      <c r="C2106" s="18"/>
      <c r="D2106" s="430"/>
    </row>
    <row r="2107" spans="1:4" s="3" customFormat="1">
      <c r="A2107" s="111"/>
      <c r="B2107" s="267" t="s">
        <v>1231</v>
      </c>
      <c r="C2107" s="18" t="s">
        <v>1262</v>
      </c>
      <c r="D2107" s="430"/>
    </row>
    <row r="2108" spans="1:4" s="3" customFormat="1">
      <c r="A2108" s="55" t="s">
        <v>2797</v>
      </c>
      <c r="B2108" s="77" t="s">
        <v>2798</v>
      </c>
      <c r="C2108" s="18"/>
      <c r="D2108" s="430"/>
    </row>
    <row r="2109" spans="1:4" s="3" customFormat="1">
      <c r="A2109" s="111"/>
      <c r="B2109" s="267" t="s">
        <v>1231</v>
      </c>
      <c r="C2109" s="18" t="s">
        <v>1262</v>
      </c>
      <c r="D2109" s="430"/>
    </row>
    <row r="2110" spans="1:4" s="3" customFormat="1">
      <c r="A2110" s="55" t="s">
        <v>2799</v>
      </c>
      <c r="B2110" s="77" t="s">
        <v>2800</v>
      </c>
      <c r="C2110" s="18"/>
      <c r="D2110" s="430"/>
    </row>
    <row r="2111" spans="1:4" s="3" customFormat="1">
      <c r="A2111" s="111"/>
      <c r="B2111" s="267" t="s">
        <v>1231</v>
      </c>
      <c r="C2111" s="18" t="s">
        <v>1262</v>
      </c>
      <c r="D2111" s="430"/>
    </row>
    <row r="2112" spans="1:4" s="3" customFormat="1">
      <c r="A2112" s="55" t="s">
        <v>2801</v>
      </c>
      <c r="B2112" s="77" t="s">
        <v>2802</v>
      </c>
      <c r="C2112" s="18"/>
      <c r="D2112" s="430"/>
    </row>
    <row r="2113" spans="1:4" s="3" customFormat="1">
      <c r="A2113" s="111"/>
      <c r="B2113" s="267" t="s">
        <v>1231</v>
      </c>
      <c r="C2113" s="18" t="s">
        <v>1262</v>
      </c>
      <c r="D2113" s="430"/>
    </row>
    <row r="2114" spans="1:4" s="3" customFormat="1">
      <c r="A2114" s="55" t="s">
        <v>2803</v>
      </c>
      <c r="B2114" s="77" t="s">
        <v>2804</v>
      </c>
      <c r="C2114" s="18"/>
      <c r="D2114" s="430"/>
    </row>
    <row r="2115" spans="1:4" s="3" customFormat="1">
      <c r="A2115" s="111"/>
      <c r="B2115" s="267" t="s">
        <v>1231</v>
      </c>
      <c r="C2115" s="18" t="s">
        <v>1262</v>
      </c>
      <c r="D2115" s="430"/>
    </row>
    <row r="2116" spans="1:4" s="3" customFormat="1">
      <c r="A2116" s="55" t="s">
        <v>2805</v>
      </c>
      <c r="B2116" s="77" t="s">
        <v>2806</v>
      </c>
      <c r="C2116" s="18"/>
      <c r="D2116" s="430"/>
    </row>
    <row r="2117" spans="1:4" s="3" customFormat="1">
      <c r="A2117" s="111"/>
      <c r="B2117" s="267" t="s">
        <v>2807</v>
      </c>
      <c r="C2117" s="18" t="s">
        <v>2808</v>
      </c>
      <c r="D2117" s="430"/>
    </row>
    <row r="2118" spans="1:4" s="3" customFormat="1">
      <c r="A2118" s="30" t="s">
        <v>2809</v>
      </c>
      <c r="B2118" s="31" t="s">
        <v>2810</v>
      </c>
      <c r="C2118" s="18"/>
      <c r="D2118" s="418"/>
    </row>
    <row r="2119" spans="1:4" s="3" customFormat="1" ht="39.6">
      <c r="A2119" s="111" t="s">
        <v>959</v>
      </c>
      <c r="B2119" s="267" t="s">
        <v>2811</v>
      </c>
      <c r="C2119" s="18" t="s">
        <v>959</v>
      </c>
      <c r="D2119" s="418"/>
    </row>
    <row r="2120" spans="1:4" s="3" customFormat="1" ht="26.45">
      <c r="A2120" s="111"/>
      <c r="B2120" s="267" t="s">
        <v>2812</v>
      </c>
      <c r="C2120" s="18"/>
      <c r="D2120" s="418"/>
    </row>
    <row r="2121" spans="1:4" s="3" customFormat="1">
      <c r="A2121" s="55" t="s">
        <v>2813</v>
      </c>
      <c r="B2121" s="77" t="s">
        <v>2814</v>
      </c>
      <c r="C2121" s="18"/>
      <c r="D2121" s="418"/>
    </row>
    <row r="2122" spans="1:4" s="3" customFormat="1">
      <c r="A2122" s="111"/>
      <c r="B2122" s="267" t="s">
        <v>1231</v>
      </c>
      <c r="C2122" s="18" t="s">
        <v>1262</v>
      </c>
      <c r="D2122" s="418"/>
    </row>
    <row r="2123" spans="1:4" s="3" customFormat="1">
      <c r="A2123" s="55" t="s">
        <v>2815</v>
      </c>
      <c r="B2123" s="77" t="s">
        <v>2816</v>
      </c>
      <c r="C2123" s="18"/>
      <c r="D2123" s="418"/>
    </row>
    <row r="2124" spans="1:4" s="3" customFormat="1">
      <c r="A2124" s="111"/>
      <c r="B2124" s="267" t="s">
        <v>1231</v>
      </c>
      <c r="C2124" s="18" t="s">
        <v>1262</v>
      </c>
      <c r="D2124" s="418"/>
    </row>
    <row r="2125" spans="1:4" s="3" customFormat="1">
      <c r="A2125" s="55" t="s">
        <v>2817</v>
      </c>
      <c r="B2125" s="77" t="s">
        <v>2818</v>
      </c>
      <c r="C2125" s="18"/>
      <c r="D2125" s="418"/>
    </row>
    <row r="2126" spans="1:4" s="2" customFormat="1">
      <c r="A2126" s="111"/>
      <c r="B2126" s="267" t="s">
        <v>2807</v>
      </c>
      <c r="C2126" s="18" t="s">
        <v>2808</v>
      </c>
      <c r="D2126" s="418"/>
    </row>
    <row r="2127" spans="1:4" s="2" customFormat="1" ht="26.25" customHeight="1">
      <c r="A2127" s="115" t="s">
        <v>2819</v>
      </c>
      <c r="B2127" s="17" t="s">
        <v>2820</v>
      </c>
      <c r="C2127" s="18"/>
      <c r="D2127" s="418"/>
    </row>
    <row r="2128" spans="1:4" s="2" customFormat="1" ht="39.6">
      <c r="A2128" s="132"/>
      <c r="B2128" s="267" t="s">
        <v>2821</v>
      </c>
      <c r="C2128" s="18"/>
      <c r="D2128" s="418"/>
    </row>
    <row r="2129" spans="1:4" s="2" customFormat="1" ht="26.45">
      <c r="A2129" s="132"/>
      <c r="B2129" s="267" t="s">
        <v>2822</v>
      </c>
      <c r="C2129" s="18"/>
      <c r="D2129" s="418"/>
    </row>
    <row r="2130" spans="1:4" s="2" customFormat="1">
      <c r="A2130" s="132"/>
      <c r="B2130" s="267" t="s">
        <v>1231</v>
      </c>
      <c r="C2130" s="18" t="s">
        <v>1262</v>
      </c>
      <c r="D2130" s="418"/>
    </row>
    <row r="2131" spans="1:4" s="2" customFormat="1">
      <c r="A2131" s="30" t="s">
        <v>2823</v>
      </c>
      <c r="B2131" s="218" t="s">
        <v>2824</v>
      </c>
      <c r="C2131" s="18"/>
      <c r="D2131" s="418"/>
    </row>
    <row r="2132" spans="1:4" s="2" customFormat="1">
      <c r="A2132" s="55" t="s">
        <v>2825</v>
      </c>
      <c r="B2132" s="77" t="s">
        <v>2826</v>
      </c>
      <c r="C2132" s="18"/>
      <c r="D2132" s="418"/>
    </row>
    <row r="2133" spans="1:4" s="2" customFormat="1">
      <c r="A2133" s="122"/>
      <c r="B2133" s="328" t="s">
        <v>2827</v>
      </c>
      <c r="C2133" s="133"/>
      <c r="D2133" s="418"/>
    </row>
    <row r="2134" spans="1:4" s="2" customFormat="1">
      <c r="A2134" s="122"/>
      <c r="B2134" s="328" t="s">
        <v>2828</v>
      </c>
      <c r="C2134" s="133"/>
      <c r="D2134" s="418"/>
    </row>
    <row r="2135" spans="1:4" s="3" customFormat="1">
      <c r="A2135" s="122"/>
      <c r="B2135" s="328" t="s">
        <v>2829</v>
      </c>
      <c r="C2135" s="133"/>
      <c r="D2135" s="418"/>
    </row>
    <row r="2136" spans="1:4" s="3" customFormat="1">
      <c r="A2136" s="122"/>
      <c r="B2136" s="328" t="s">
        <v>2830</v>
      </c>
      <c r="C2136" s="133"/>
      <c r="D2136" s="418"/>
    </row>
    <row r="2137" spans="1:4" s="3" customFormat="1">
      <c r="A2137" s="122"/>
      <c r="B2137" s="328" t="s">
        <v>2831</v>
      </c>
      <c r="C2137" s="133"/>
      <c r="D2137" s="418"/>
    </row>
    <row r="2138" spans="1:4" s="3" customFormat="1">
      <c r="A2138" s="122"/>
      <c r="B2138" s="328" t="s">
        <v>2832</v>
      </c>
      <c r="C2138" s="133"/>
      <c r="D2138" s="418"/>
    </row>
    <row r="2139" spans="1:4" s="3" customFormat="1" ht="26.45">
      <c r="A2139" s="122"/>
      <c r="B2139" s="328" t="s">
        <v>2833</v>
      </c>
      <c r="C2139" s="133"/>
      <c r="D2139" s="418"/>
    </row>
    <row r="2140" spans="1:4" s="3" customFormat="1">
      <c r="A2140" s="122" t="s">
        <v>2834</v>
      </c>
      <c r="B2140" s="132" t="s">
        <v>2835</v>
      </c>
      <c r="C2140" s="133"/>
      <c r="D2140" s="418"/>
    </row>
    <row r="2141" spans="1:4" s="3" customFormat="1">
      <c r="A2141" s="111"/>
      <c r="B2141" s="267" t="s">
        <v>998</v>
      </c>
      <c r="C2141" s="18" t="s">
        <v>999</v>
      </c>
      <c r="D2141" s="418"/>
    </row>
    <row r="2142" spans="1:4" s="3" customFormat="1">
      <c r="A2142" s="122" t="s">
        <v>2836</v>
      </c>
      <c r="B2142" s="132" t="s">
        <v>2837</v>
      </c>
      <c r="C2142" s="133"/>
      <c r="D2142" s="418"/>
    </row>
    <row r="2143" spans="1:4" s="3" customFormat="1">
      <c r="A2143" s="111"/>
      <c r="B2143" s="267" t="s">
        <v>998</v>
      </c>
      <c r="C2143" s="18" t="s">
        <v>999</v>
      </c>
      <c r="D2143" s="418"/>
    </row>
    <row r="2144" spans="1:4" s="3" customFormat="1">
      <c r="A2144" s="122" t="s">
        <v>2838</v>
      </c>
      <c r="B2144" s="132" t="s">
        <v>2839</v>
      </c>
      <c r="C2144" s="133"/>
      <c r="D2144" s="418"/>
    </row>
    <row r="2145" spans="1:4" s="3" customFormat="1">
      <c r="A2145" s="111"/>
      <c r="B2145" s="267" t="s">
        <v>998</v>
      </c>
      <c r="C2145" s="18" t="s">
        <v>999</v>
      </c>
      <c r="D2145" s="418"/>
    </row>
    <row r="2146" spans="1:4" s="3" customFormat="1">
      <c r="A2146" s="55" t="s">
        <v>2840</v>
      </c>
      <c r="B2146" s="77" t="s">
        <v>2841</v>
      </c>
      <c r="C2146" s="18"/>
      <c r="D2146" s="418"/>
    </row>
    <row r="2147" spans="1:4" s="2" customFormat="1" ht="26.45">
      <c r="A2147" s="55"/>
      <c r="B2147" s="267" t="s">
        <v>2842</v>
      </c>
      <c r="C2147" s="18"/>
      <c r="D2147" s="418"/>
    </row>
    <row r="2148" spans="1:4" s="2" customFormat="1" ht="25.5" customHeight="1">
      <c r="A2148" s="122"/>
      <c r="B2148" s="301" t="s">
        <v>2807</v>
      </c>
      <c r="C2148" s="133" t="s">
        <v>2808</v>
      </c>
      <c r="D2148" s="418"/>
    </row>
    <row r="2149" spans="1:4" s="2" customFormat="1">
      <c r="A2149" s="55" t="s">
        <v>2843</v>
      </c>
      <c r="B2149" s="77" t="s">
        <v>2844</v>
      </c>
      <c r="C2149" s="18"/>
      <c r="D2149" s="418"/>
    </row>
    <row r="2150" spans="1:4" s="2" customFormat="1" ht="26.45">
      <c r="A2150" s="55"/>
      <c r="B2150" s="267" t="s">
        <v>2845</v>
      </c>
      <c r="C2150" s="18"/>
      <c r="D2150" s="418"/>
    </row>
    <row r="2151" spans="1:4" s="2" customFormat="1">
      <c r="A2151" s="55"/>
      <c r="B2151" s="267" t="s">
        <v>1076</v>
      </c>
      <c r="C2151" s="18" t="s">
        <v>1077</v>
      </c>
      <c r="D2151" s="418"/>
    </row>
    <row r="2152" spans="1:4" s="2" customFormat="1">
      <c r="A2152" s="55" t="s">
        <v>2846</v>
      </c>
      <c r="B2152" s="77" t="s">
        <v>2847</v>
      </c>
      <c r="C2152" s="18"/>
      <c r="D2152" s="418"/>
    </row>
    <row r="2153" spans="1:4" s="2" customFormat="1" ht="26.45">
      <c r="A2153" s="55"/>
      <c r="B2153" s="267" t="s">
        <v>2848</v>
      </c>
      <c r="C2153" s="18"/>
      <c r="D2153" s="418"/>
    </row>
    <row r="2154" spans="1:4" s="2" customFormat="1">
      <c r="A2154" s="55"/>
      <c r="B2154" s="267" t="s">
        <v>2849</v>
      </c>
      <c r="C2154" s="18"/>
      <c r="D2154" s="418"/>
    </row>
    <row r="2155" spans="1:4" s="3" customFormat="1">
      <c r="A2155" s="55" t="s">
        <v>2850</v>
      </c>
      <c r="B2155" s="77" t="s">
        <v>2851</v>
      </c>
      <c r="C2155" s="18"/>
      <c r="D2155" s="418"/>
    </row>
    <row r="2156" spans="1:4" s="3" customFormat="1">
      <c r="A2156" s="55"/>
      <c r="B2156" s="267" t="s">
        <v>2852</v>
      </c>
      <c r="C2156" s="18"/>
      <c r="D2156" s="418"/>
    </row>
    <row r="2157" spans="1:4" s="3" customFormat="1">
      <c r="A2157" s="55"/>
      <c r="B2157" s="267" t="s">
        <v>1231</v>
      </c>
      <c r="C2157" s="18" t="s">
        <v>1262</v>
      </c>
      <c r="D2157" s="418"/>
    </row>
    <row r="2158" spans="1:4" s="3" customFormat="1">
      <c r="A2158" s="55" t="s">
        <v>2853</v>
      </c>
      <c r="B2158" s="77" t="s">
        <v>2854</v>
      </c>
      <c r="C2158" s="18"/>
      <c r="D2158" s="418"/>
    </row>
    <row r="2159" spans="1:4" s="3" customFormat="1">
      <c r="A2159" s="55"/>
      <c r="B2159" s="267" t="s">
        <v>1231</v>
      </c>
      <c r="C2159" s="18" t="s">
        <v>1262</v>
      </c>
      <c r="D2159" s="418"/>
    </row>
    <row r="2160" spans="1:4" s="3" customFormat="1">
      <c r="A2160" s="55" t="s">
        <v>2855</v>
      </c>
      <c r="B2160" s="267" t="s">
        <v>2856</v>
      </c>
      <c r="C2160" s="18"/>
      <c r="D2160" s="418"/>
    </row>
    <row r="2161" spans="1:4" s="3" customFormat="1">
      <c r="A2161" s="55"/>
      <c r="B2161" s="267" t="s">
        <v>1231</v>
      </c>
      <c r="C2161" s="18" t="s">
        <v>1262</v>
      </c>
      <c r="D2161" s="418"/>
    </row>
    <row r="2162" spans="1:4" s="3" customFormat="1">
      <c r="A2162" s="55" t="s">
        <v>2857</v>
      </c>
      <c r="B2162" s="77" t="s">
        <v>2858</v>
      </c>
      <c r="C2162" s="18"/>
      <c r="D2162" s="418"/>
    </row>
    <row r="2163" spans="1:4" s="3" customFormat="1" ht="26.45">
      <c r="A2163" s="55"/>
      <c r="B2163" s="267" t="s">
        <v>2859</v>
      </c>
      <c r="C2163" s="18"/>
      <c r="D2163" s="418"/>
    </row>
    <row r="2164" spans="1:4" s="3" customFormat="1">
      <c r="A2164" s="55"/>
      <c r="B2164" s="267" t="s">
        <v>2016</v>
      </c>
      <c r="C2164" s="18"/>
      <c r="D2164" s="418"/>
    </row>
    <row r="2165" spans="1:4" s="3" customFormat="1">
      <c r="A2165" s="55"/>
      <c r="B2165" s="267" t="s">
        <v>2828</v>
      </c>
      <c r="C2165" s="18"/>
      <c r="D2165" s="418"/>
    </row>
    <row r="2166" spans="1:4" s="3" customFormat="1">
      <c r="A2166" s="55"/>
      <c r="B2166" s="267" t="s">
        <v>2860</v>
      </c>
      <c r="C2166" s="18"/>
      <c r="D2166" s="418"/>
    </row>
    <row r="2167" spans="1:4" s="2" customFormat="1">
      <c r="A2167" s="55"/>
      <c r="B2167" s="267" t="s">
        <v>2861</v>
      </c>
      <c r="C2167" s="18"/>
      <c r="D2167" s="418"/>
    </row>
    <row r="2168" spans="1:4" s="2" customFormat="1">
      <c r="A2168" s="55"/>
      <c r="B2168" s="267" t="s">
        <v>2862</v>
      </c>
      <c r="C2168" s="18"/>
      <c r="D2168" s="418"/>
    </row>
    <row r="2169" spans="1:4" s="2" customFormat="1">
      <c r="A2169" s="55"/>
      <c r="B2169" s="267" t="s">
        <v>2807</v>
      </c>
      <c r="C2169" s="18" t="s">
        <v>2808</v>
      </c>
      <c r="D2169" s="418"/>
    </row>
    <row r="2170" spans="1:4" s="2" customFormat="1">
      <c r="A2170" s="22" t="s">
        <v>2863</v>
      </c>
      <c r="B2170" s="50" t="s">
        <v>2864</v>
      </c>
      <c r="C2170" s="45"/>
      <c r="D2170" s="435"/>
    </row>
    <row r="2171" spans="1:4" s="2" customFormat="1" ht="17.45">
      <c r="A2171" s="231"/>
      <c r="B2171" s="329" t="s">
        <v>2865</v>
      </c>
      <c r="C2171" s="231"/>
      <c r="D2171" s="436"/>
    </row>
    <row r="2172" spans="1:4" s="2" customFormat="1" ht="17.45">
      <c r="A2172" s="232"/>
      <c r="B2172" s="320" t="s">
        <v>2866</v>
      </c>
      <c r="C2172" s="232"/>
      <c r="D2172" s="437"/>
    </row>
    <row r="2173" spans="1:4" s="2" customFormat="1" ht="17.45">
      <c r="A2173" s="232"/>
      <c r="B2173" s="321" t="s">
        <v>2867</v>
      </c>
      <c r="C2173" s="232"/>
      <c r="D2173" s="437"/>
    </row>
    <row r="2174" spans="1:4" s="2" customFormat="1" ht="17.45">
      <c r="A2174" s="232"/>
      <c r="B2174" s="321" t="s">
        <v>2868</v>
      </c>
      <c r="C2174" s="232"/>
      <c r="D2174" s="437"/>
    </row>
    <row r="2175" spans="1:4" s="3" customFormat="1" ht="26.45">
      <c r="A2175" s="232"/>
      <c r="B2175" s="321" t="s">
        <v>2869</v>
      </c>
      <c r="C2175" s="232"/>
      <c r="D2175" s="437"/>
    </row>
    <row r="2176" spans="1:4" s="3" customFormat="1" ht="52.9">
      <c r="A2176" s="232"/>
      <c r="B2176" s="320" t="s">
        <v>2870</v>
      </c>
      <c r="C2176" s="232"/>
      <c r="D2176" s="437"/>
    </row>
    <row r="2177" spans="1:4" s="3" customFormat="1">
      <c r="A2177" s="30" t="s">
        <v>2871</v>
      </c>
      <c r="B2177" s="115" t="s">
        <v>2872</v>
      </c>
      <c r="C2177" s="18"/>
      <c r="D2177" s="430"/>
    </row>
    <row r="2178" spans="1:4" s="3" customFormat="1">
      <c r="A2178" s="55" t="s">
        <v>2873</v>
      </c>
      <c r="B2178" s="132" t="s">
        <v>2874</v>
      </c>
      <c r="C2178" s="18"/>
      <c r="D2178" s="430"/>
    </row>
    <row r="2179" spans="1:4" s="3" customFormat="1">
      <c r="A2179" s="30"/>
      <c r="B2179" s="285" t="s">
        <v>1428</v>
      </c>
      <c r="C2179" s="18" t="s">
        <v>1429</v>
      </c>
      <c r="D2179" s="430"/>
    </row>
    <row r="2180" spans="1:4" s="3" customFormat="1">
      <c r="A2180" s="55" t="s">
        <v>2875</v>
      </c>
      <c r="B2180" s="132" t="s">
        <v>2876</v>
      </c>
      <c r="C2180" s="18"/>
      <c r="D2180" s="430"/>
    </row>
    <row r="2181" spans="1:4" s="3" customFormat="1">
      <c r="A2181" s="30"/>
      <c r="B2181" s="285" t="s">
        <v>1428</v>
      </c>
      <c r="C2181" s="18" t="s">
        <v>1429</v>
      </c>
      <c r="D2181" s="430"/>
    </row>
    <row r="2182" spans="1:4" s="3" customFormat="1">
      <c r="A2182" s="30" t="s">
        <v>2877</v>
      </c>
      <c r="B2182" s="115" t="s">
        <v>2878</v>
      </c>
      <c r="C2182" s="18"/>
      <c r="D2182" s="430"/>
    </row>
    <row r="2183" spans="1:4" s="2" customFormat="1">
      <c r="A2183" s="55" t="s">
        <v>2879</v>
      </c>
      <c r="B2183" s="132" t="s">
        <v>2874</v>
      </c>
      <c r="C2183" s="18"/>
      <c r="D2183" s="430"/>
    </row>
    <row r="2184" spans="1:4" s="2" customFormat="1">
      <c r="A2184" s="30"/>
      <c r="B2184" s="285" t="s">
        <v>1428</v>
      </c>
      <c r="C2184" s="18" t="s">
        <v>1429</v>
      </c>
      <c r="D2184" s="430"/>
    </row>
    <row r="2185" spans="1:4" s="2" customFormat="1">
      <c r="A2185" s="55" t="s">
        <v>2880</v>
      </c>
      <c r="B2185" s="132" t="s">
        <v>2876</v>
      </c>
      <c r="C2185" s="18"/>
      <c r="D2185" s="430"/>
    </row>
    <row r="2186" spans="1:4" s="2" customFormat="1">
      <c r="A2186" s="116"/>
      <c r="B2186" s="313" t="s">
        <v>1428</v>
      </c>
      <c r="C2186" s="109" t="s">
        <v>1429</v>
      </c>
      <c r="D2186" s="430"/>
    </row>
    <row r="2187" spans="1:4" s="2" customFormat="1">
      <c r="A2187" s="22" t="s">
        <v>2881</v>
      </c>
      <c r="B2187" s="50" t="s">
        <v>2882</v>
      </c>
      <c r="C2187" s="45"/>
      <c r="D2187" s="435"/>
    </row>
    <row r="2188" spans="1:4" s="2" customFormat="1">
      <c r="A2188" s="30" t="s">
        <v>2883</v>
      </c>
      <c r="B2188" s="115" t="s">
        <v>2884</v>
      </c>
      <c r="C2188" s="30"/>
      <c r="D2188" s="438"/>
    </row>
    <row r="2189" spans="1:4" s="2" customFormat="1" ht="26.45">
      <c r="A2189" s="111" t="s">
        <v>959</v>
      </c>
      <c r="B2189" s="267" t="s">
        <v>2885</v>
      </c>
      <c r="C2189" s="18" t="s">
        <v>959</v>
      </c>
      <c r="D2189" s="430"/>
    </row>
    <row r="2190" spans="1:4" s="2" customFormat="1">
      <c r="A2190" s="111" t="s">
        <v>959</v>
      </c>
      <c r="B2190" s="267" t="s">
        <v>1541</v>
      </c>
      <c r="C2190" s="18" t="s">
        <v>959</v>
      </c>
      <c r="D2190" s="430"/>
    </row>
    <row r="2191" spans="1:4" s="3" customFormat="1">
      <c r="A2191" s="111" t="s">
        <v>959</v>
      </c>
      <c r="B2191" s="267" t="s">
        <v>1542</v>
      </c>
      <c r="C2191" s="18" t="s">
        <v>959</v>
      </c>
      <c r="D2191" s="430"/>
    </row>
    <row r="2192" spans="1:4" s="3" customFormat="1">
      <c r="A2192" s="111" t="s">
        <v>959</v>
      </c>
      <c r="B2192" s="267" t="s">
        <v>2886</v>
      </c>
      <c r="C2192" s="18" t="s">
        <v>959</v>
      </c>
      <c r="D2192" s="430"/>
    </row>
    <row r="2193" spans="1:4" s="3" customFormat="1" ht="26.45">
      <c r="A2193" s="111" t="s">
        <v>959</v>
      </c>
      <c r="B2193" s="267" t="s">
        <v>2887</v>
      </c>
      <c r="C2193" s="18" t="s">
        <v>959</v>
      </c>
      <c r="D2193" s="430"/>
    </row>
    <row r="2194" spans="1:4" s="3" customFormat="1">
      <c r="A2194" s="111" t="s">
        <v>959</v>
      </c>
      <c r="B2194" s="267" t="s">
        <v>2888</v>
      </c>
      <c r="C2194" s="18" t="s">
        <v>959</v>
      </c>
      <c r="D2194" s="430"/>
    </row>
    <row r="2195" spans="1:4" s="3" customFormat="1">
      <c r="A2195" s="111" t="s">
        <v>959</v>
      </c>
      <c r="B2195" s="267" t="s">
        <v>2889</v>
      </c>
      <c r="C2195" s="18" t="s">
        <v>959</v>
      </c>
      <c r="D2195" s="430"/>
    </row>
    <row r="2196" spans="1:4" s="3" customFormat="1">
      <c r="A2196" s="111" t="s">
        <v>959</v>
      </c>
      <c r="B2196" s="267" t="s">
        <v>2890</v>
      </c>
      <c r="C2196" s="18" t="s">
        <v>959</v>
      </c>
      <c r="D2196" s="430"/>
    </row>
    <row r="2197" spans="1:4" s="3" customFormat="1">
      <c r="A2197" s="111"/>
      <c r="B2197" s="267" t="s">
        <v>1231</v>
      </c>
      <c r="C2197" s="18" t="s">
        <v>1262</v>
      </c>
      <c r="D2197" s="430"/>
    </row>
    <row r="2198" spans="1:4" s="3" customFormat="1">
      <c r="A2198" s="30" t="s">
        <v>2891</v>
      </c>
      <c r="B2198" s="115" t="s">
        <v>2892</v>
      </c>
      <c r="C2198" s="30"/>
      <c r="D2198" s="430"/>
    </row>
    <row r="2199" spans="1:4" s="3" customFormat="1" ht="26.45">
      <c r="A2199" s="111" t="s">
        <v>959</v>
      </c>
      <c r="B2199" s="267" t="s">
        <v>2893</v>
      </c>
      <c r="C2199" s="18" t="s">
        <v>959</v>
      </c>
      <c r="D2199" s="430"/>
    </row>
    <row r="2200" spans="1:4" s="3" customFormat="1">
      <c r="A2200" s="111"/>
      <c r="B2200" s="267" t="s">
        <v>1231</v>
      </c>
      <c r="C2200" s="18" t="s">
        <v>1262</v>
      </c>
      <c r="D2200" s="430"/>
    </row>
    <row r="2201" spans="1:4" s="2" customFormat="1">
      <c r="A2201" s="30" t="s">
        <v>2894</v>
      </c>
      <c r="B2201" s="115" t="s">
        <v>2895</v>
      </c>
      <c r="C2201" s="30"/>
      <c r="D2201" s="430"/>
    </row>
    <row r="2202" spans="1:4" s="2" customFormat="1" ht="26.45">
      <c r="A2202" s="111" t="s">
        <v>959</v>
      </c>
      <c r="B2202" s="267" t="s">
        <v>2896</v>
      </c>
      <c r="C2202" s="18" t="s">
        <v>959</v>
      </c>
      <c r="D2202" s="430"/>
    </row>
    <row r="2203" spans="1:4" s="2" customFormat="1">
      <c r="A2203" s="111"/>
      <c r="B2203" s="267" t="s">
        <v>1231</v>
      </c>
      <c r="C2203" s="18" t="s">
        <v>1262</v>
      </c>
      <c r="D2203" s="430"/>
    </row>
    <row r="2204" spans="1:4" s="2" customFormat="1">
      <c r="A2204" s="30" t="s">
        <v>2897</v>
      </c>
      <c r="B2204" s="115" t="s">
        <v>2898</v>
      </c>
      <c r="C2204" s="30" t="s">
        <v>959</v>
      </c>
      <c r="D2204" s="430"/>
    </row>
    <row r="2205" spans="1:4" s="2" customFormat="1">
      <c r="A2205" s="111" t="s">
        <v>959</v>
      </c>
      <c r="B2205" s="267" t="s">
        <v>2899</v>
      </c>
      <c r="C2205" s="18" t="s">
        <v>959</v>
      </c>
      <c r="D2205" s="430"/>
    </row>
    <row r="2206" spans="1:4" s="2" customFormat="1">
      <c r="A2206" s="111" t="s">
        <v>959</v>
      </c>
      <c r="B2206" s="267" t="s">
        <v>1541</v>
      </c>
      <c r="C2206" s="18" t="s">
        <v>959</v>
      </c>
      <c r="D2206" s="430"/>
    </row>
    <row r="2207" spans="1:4" s="2" customFormat="1">
      <c r="A2207" s="111" t="s">
        <v>959</v>
      </c>
      <c r="B2207" s="267" t="s">
        <v>1542</v>
      </c>
      <c r="C2207" s="18" t="s">
        <v>959</v>
      </c>
      <c r="D2207" s="430"/>
    </row>
    <row r="2208" spans="1:4" s="3" customFormat="1" ht="26.45">
      <c r="A2208" s="111" t="s">
        <v>959</v>
      </c>
      <c r="B2208" s="267" t="s">
        <v>2900</v>
      </c>
      <c r="C2208" s="18" t="s">
        <v>959</v>
      </c>
      <c r="D2208" s="430"/>
    </row>
    <row r="2209" spans="1:4" s="3" customFormat="1">
      <c r="A2209" s="111" t="s">
        <v>959</v>
      </c>
      <c r="B2209" s="267" t="s">
        <v>2901</v>
      </c>
      <c r="C2209" s="18" t="s">
        <v>959</v>
      </c>
      <c r="D2209" s="430"/>
    </row>
    <row r="2210" spans="1:4" s="3" customFormat="1" ht="26.45">
      <c r="A2210" s="111" t="s">
        <v>959</v>
      </c>
      <c r="B2210" s="267" t="s">
        <v>2902</v>
      </c>
      <c r="C2210" s="18" t="s">
        <v>959</v>
      </c>
      <c r="D2210" s="430"/>
    </row>
    <row r="2211" spans="1:4" s="3" customFormat="1">
      <c r="A2211" s="55" t="s">
        <v>2903</v>
      </c>
      <c r="B2211" s="77" t="s">
        <v>2904</v>
      </c>
      <c r="C2211" s="18"/>
      <c r="D2211" s="430"/>
    </row>
    <row r="2212" spans="1:4" s="3" customFormat="1">
      <c r="A2212" s="30"/>
      <c r="B2212" s="267" t="s">
        <v>1428</v>
      </c>
      <c r="C2212" s="18" t="s">
        <v>1429</v>
      </c>
      <c r="D2212" s="430"/>
    </row>
    <row r="2213" spans="1:4" s="3" customFormat="1">
      <c r="A2213" s="55" t="s">
        <v>2905</v>
      </c>
      <c r="B2213" s="77" t="s">
        <v>2906</v>
      </c>
      <c r="C2213" s="18"/>
      <c r="D2213" s="430"/>
    </row>
    <row r="2214" spans="1:4" s="3" customFormat="1">
      <c r="A2214" s="30"/>
      <c r="B2214" s="267" t="s">
        <v>1428</v>
      </c>
      <c r="C2214" s="18" t="s">
        <v>1429</v>
      </c>
      <c r="D2214" s="430"/>
    </row>
    <row r="2215" spans="1:4" s="3" customFormat="1">
      <c r="A2215" s="55" t="s">
        <v>2907</v>
      </c>
      <c r="B2215" s="77" t="s">
        <v>2908</v>
      </c>
      <c r="C2215" s="18"/>
      <c r="D2215" s="430"/>
    </row>
    <row r="2216" spans="1:4" s="3" customFormat="1">
      <c r="A2216" s="30"/>
      <c r="B2216" s="267" t="s">
        <v>1428</v>
      </c>
      <c r="C2216" s="18" t="s">
        <v>1429</v>
      </c>
      <c r="D2216" s="430"/>
    </row>
    <row r="2217" spans="1:4" s="3" customFormat="1">
      <c r="A2217" s="55" t="s">
        <v>2909</v>
      </c>
      <c r="B2217" s="55" t="s">
        <v>2910</v>
      </c>
      <c r="C2217" s="18"/>
      <c r="D2217" s="430"/>
    </row>
    <row r="2218" spans="1:4" s="3" customFormat="1">
      <c r="A2218" s="30"/>
      <c r="B2218" s="267" t="s">
        <v>1428</v>
      </c>
      <c r="C2218" s="18" t="s">
        <v>1429</v>
      </c>
      <c r="D2218" s="430"/>
    </row>
    <row r="2219" spans="1:4" s="3" customFormat="1">
      <c r="A2219" s="30" t="s">
        <v>2911</v>
      </c>
      <c r="B2219" s="115" t="s">
        <v>2912</v>
      </c>
      <c r="C2219" s="30" t="s">
        <v>959</v>
      </c>
      <c r="D2219" s="430"/>
    </row>
    <row r="2220" spans="1:4" s="3" customFormat="1" ht="26.45">
      <c r="A2220" s="55" t="s">
        <v>959</v>
      </c>
      <c r="B2220" s="267" t="s">
        <v>2913</v>
      </c>
      <c r="C2220" s="18" t="s">
        <v>959</v>
      </c>
      <c r="D2220" s="430"/>
    </row>
    <row r="2221" spans="1:4" s="3" customFormat="1">
      <c r="A2221" s="55" t="s">
        <v>959</v>
      </c>
      <c r="B2221" s="267" t="s">
        <v>961</v>
      </c>
      <c r="C2221" s="18" t="s">
        <v>959</v>
      </c>
      <c r="D2221" s="430"/>
    </row>
    <row r="2222" spans="1:4" s="3" customFormat="1">
      <c r="A2222" s="55" t="s">
        <v>959</v>
      </c>
      <c r="B2222" s="267" t="s">
        <v>1542</v>
      </c>
      <c r="C2222" s="18" t="s">
        <v>959</v>
      </c>
      <c r="D2222" s="430"/>
    </row>
    <row r="2223" spans="1:4" s="3" customFormat="1" ht="26.45">
      <c r="A2223" s="55" t="s">
        <v>959</v>
      </c>
      <c r="B2223" s="267" t="s">
        <v>2914</v>
      </c>
      <c r="C2223" s="18" t="s">
        <v>959</v>
      </c>
      <c r="D2223" s="430"/>
    </row>
    <row r="2224" spans="1:4" s="3" customFormat="1">
      <c r="A2224" s="55" t="s">
        <v>959</v>
      </c>
      <c r="B2224" s="267" t="s">
        <v>2915</v>
      </c>
      <c r="C2224" s="18" t="s">
        <v>959</v>
      </c>
      <c r="D2224" s="430"/>
    </row>
    <row r="2225" spans="1:4" s="3" customFormat="1">
      <c r="A2225" s="55" t="s">
        <v>959</v>
      </c>
      <c r="B2225" s="267" t="s">
        <v>2916</v>
      </c>
      <c r="C2225" s="18" t="s">
        <v>959</v>
      </c>
      <c r="D2225" s="430"/>
    </row>
    <row r="2226" spans="1:4" s="3" customFormat="1" ht="26.45">
      <c r="A2226" s="55" t="s">
        <v>959</v>
      </c>
      <c r="B2226" s="267" t="s">
        <v>2917</v>
      </c>
      <c r="C2226" s="18" t="s">
        <v>959</v>
      </c>
      <c r="D2226" s="430"/>
    </row>
    <row r="2227" spans="1:4" s="3" customFormat="1">
      <c r="A2227" s="55" t="s">
        <v>2918</v>
      </c>
      <c r="B2227" s="77" t="s">
        <v>2904</v>
      </c>
      <c r="C2227" s="18"/>
      <c r="D2227" s="430"/>
    </row>
    <row r="2228" spans="1:4" s="3" customFormat="1">
      <c r="A2228" s="30"/>
      <c r="B2228" s="267" t="s">
        <v>1428</v>
      </c>
      <c r="C2228" s="18" t="s">
        <v>1429</v>
      </c>
      <c r="D2228" s="430"/>
    </row>
    <row r="2229" spans="1:4" s="3" customFormat="1">
      <c r="A2229" s="55" t="s">
        <v>2919</v>
      </c>
      <c r="B2229" s="77" t="s">
        <v>2906</v>
      </c>
      <c r="C2229" s="18"/>
      <c r="D2229" s="430"/>
    </row>
    <row r="2230" spans="1:4" s="3" customFormat="1">
      <c r="A2230" s="30"/>
      <c r="B2230" s="267" t="s">
        <v>1428</v>
      </c>
      <c r="C2230" s="18" t="s">
        <v>1429</v>
      </c>
      <c r="D2230" s="430"/>
    </row>
    <row r="2231" spans="1:4" s="3" customFormat="1">
      <c r="A2231" s="55" t="s">
        <v>2920</v>
      </c>
      <c r="B2231" s="77" t="s">
        <v>2908</v>
      </c>
      <c r="C2231" s="18"/>
      <c r="D2231" s="430"/>
    </row>
    <row r="2232" spans="1:4" s="3" customFormat="1">
      <c r="A2232" s="30"/>
      <c r="B2232" s="267" t="s">
        <v>1428</v>
      </c>
      <c r="C2232" s="18" t="s">
        <v>1429</v>
      </c>
      <c r="D2232" s="430"/>
    </row>
    <row r="2233" spans="1:4" s="3" customFormat="1">
      <c r="A2233" s="55" t="s">
        <v>2921</v>
      </c>
      <c r="B2233" s="55" t="s">
        <v>2910</v>
      </c>
      <c r="C2233" s="18"/>
      <c r="D2233" s="430"/>
    </row>
    <row r="2234" spans="1:4" s="3" customFormat="1">
      <c r="A2234" s="30"/>
      <c r="B2234" s="267" t="s">
        <v>1428</v>
      </c>
      <c r="C2234" s="18" t="s">
        <v>1429</v>
      </c>
      <c r="D2234" s="430"/>
    </row>
    <row r="2235" spans="1:4" s="3" customFormat="1">
      <c r="A2235" s="55" t="s">
        <v>2922</v>
      </c>
      <c r="B2235" s="55" t="s">
        <v>2923</v>
      </c>
      <c r="C2235" s="18"/>
      <c r="D2235" s="430"/>
    </row>
    <row r="2236" spans="1:4" s="3" customFormat="1">
      <c r="A2236" s="55"/>
      <c r="B2236" s="267" t="s">
        <v>1428</v>
      </c>
      <c r="C2236" s="18" t="s">
        <v>1429</v>
      </c>
      <c r="D2236" s="430"/>
    </row>
    <row r="2237" spans="1:4" s="3" customFormat="1">
      <c r="A2237" s="30" t="s">
        <v>2924</v>
      </c>
      <c r="B2237" s="115" t="s">
        <v>2925</v>
      </c>
      <c r="C2237" s="30" t="s">
        <v>959</v>
      </c>
      <c r="D2237" s="430"/>
    </row>
    <row r="2238" spans="1:4" s="3" customFormat="1">
      <c r="A2238" s="55" t="s">
        <v>959</v>
      </c>
      <c r="B2238" s="267" t="s">
        <v>2926</v>
      </c>
      <c r="C2238" s="18" t="s">
        <v>959</v>
      </c>
      <c r="D2238" s="430"/>
    </row>
    <row r="2239" spans="1:4" s="3" customFormat="1">
      <c r="A2239" s="55" t="s">
        <v>959</v>
      </c>
      <c r="B2239" s="267" t="s">
        <v>961</v>
      </c>
      <c r="C2239" s="18" t="s">
        <v>959</v>
      </c>
      <c r="D2239" s="430"/>
    </row>
    <row r="2240" spans="1:4" s="3" customFormat="1">
      <c r="A2240" s="55" t="s">
        <v>959</v>
      </c>
      <c r="B2240" s="267" t="s">
        <v>1542</v>
      </c>
      <c r="C2240" s="18" t="s">
        <v>959</v>
      </c>
      <c r="D2240" s="430"/>
    </row>
    <row r="2241" spans="1:4" s="3" customFormat="1" ht="26.45">
      <c r="A2241" s="55" t="s">
        <v>959</v>
      </c>
      <c r="B2241" s="267" t="s">
        <v>2927</v>
      </c>
      <c r="C2241" s="18" t="s">
        <v>959</v>
      </c>
      <c r="D2241" s="430"/>
    </row>
    <row r="2242" spans="1:4" s="3" customFormat="1" ht="26.45">
      <c r="A2242" s="55" t="s">
        <v>959</v>
      </c>
      <c r="B2242" s="267" t="s">
        <v>2928</v>
      </c>
      <c r="C2242" s="18" t="s">
        <v>959</v>
      </c>
      <c r="D2242" s="430"/>
    </row>
    <row r="2243" spans="1:4" s="3" customFormat="1">
      <c r="A2243" s="55" t="s">
        <v>959</v>
      </c>
      <c r="B2243" s="267" t="s">
        <v>2929</v>
      </c>
      <c r="C2243" s="18" t="s">
        <v>959</v>
      </c>
      <c r="D2243" s="430"/>
    </row>
    <row r="2244" spans="1:4" s="3" customFormat="1" ht="26.45">
      <c r="A2244" s="55" t="s">
        <v>959</v>
      </c>
      <c r="B2244" s="267" t="s">
        <v>2930</v>
      </c>
      <c r="C2244" s="18" t="s">
        <v>959</v>
      </c>
      <c r="D2244" s="430"/>
    </row>
    <row r="2245" spans="1:4" s="3" customFormat="1" ht="13.5" customHeight="1">
      <c r="A2245" s="55" t="s">
        <v>959</v>
      </c>
      <c r="B2245" s="267" t="s">
        <v>2931</v>
      </c>
      <c r="C2245" s="18" t="s">
        <v>959</v>
      </c>
      <c r="D2245" s="430"/>
    </row>
    <row r="2246" spans="1:4" s="3" customFormat="1">
      <c r="A2246" s="55" t="s">
        <v>959</v>
      </c>
      <c r="B2246" s="267" t="s">
        <v>2932</v>
      </c>
      <c r="C2246" s="18" t="s">
        <v>959</v>
      </c>
      <c r="D2246" s="430"/>
    </row>
    <row r="2247" spans="1:4" s="3" customFormat="1">
      <c r="A2247" s="55" t="s">
        <v>2933</v>
      </c>
      <c r="B2247" s="77" t="s">
        <v>2934</v>
      </c>
      <c r="C2247" s="18"/>
      <c r="D2247" s="430"/>
    </row>
    <row r="2248" spans="1:4" s="3" customFormat="1" ht="12.75" customHeight="1">
      <c r="A2248" s="30"/>
      <c r="B2248" s="267" t="s">
        <v>1428</v>
      </c>
      <c r="C2248" s="18" t="s">
        <v>1429</v>
      </c>
      <c r="D2248" s="430"/>
    </row>
    <row r="2249" spans="1:4" s="3" customFormat="1">
      <c r="A2249" s="55" t="s">
        <v>2935</v>
      </c>
      <c r="B2249" s="77" t="s">
        <v>2936</v>
      </c>
      <c r="C2249" s="18"/>
      <c r="D2249" s="430"/>
    </row>
    <row r="2250" spans="1:4" s="3" customFormat="1">
      <c r="A2250" s="30"/>
      <c r="B2250" s="267" t="s">
        <v>1428</v>
      </c>
      <c r="C2250" s="18" t="s">
        <v>1429</v>
      </c>
      <c r="D2250" s="430"/>
    </row>
    <row r="2251" spans="1:4" s="3" customFormat="1">
      <c r="A2251" s="55" t="s">
        <v>2937</v>
      </c>
      <c r="B2251" s="77" t="s">
        <v>2938</v>
      </c>
      <c r="C2251" s="18"/>
      <c r="D2251" s="430"/>
    </row>
    <row r="2252" spans="1:4" s="3" customFormat="1">
      <c r="A2252" s="30"/>
      <c r="B2252" s="267" t="s">
        <v>1428</v>
      </c>
      <c r="C2252" s="18" t="s">
        <v>1429</v>
      </c>
      <c r="D2252" s="430"/>
    </row>
    <row r="2253" spans="1:4" s="3" customFormat="1">
      <c r="A2253" s="55" t="s">
        <v>2939</v>
      </c>
      <c r="B2253" s="77" t="s">
        <v>2940</v>
      </c>
      <c r="C2253" s="18"/>
      <c r="D2253" s="430"/>
    </row>
    <row r="2254" spans="1:4" s="3" customFormat="1">
      <c r="A2254" s="30"/>
      <c r="B2254" s="267" t="s">
        <v>1428</v>
      </c>
      <c r="C2254" s="18" t="s">
        <v>1429</v>
      </c>
      <c r="D2254" s="430"/>
    </row>
    <row r="2255" spans="1:4" s="3" customFormat="1">
      <c r="A2255" s="55" t="s">
        <v>2941</v>
      </c>
      <c r="B2255" s="77" t="s">
        <v>2942</v>
      </c>
      <c r="C2255" s="18"/>
      <c r="D2255" s="430"/>
    </row>
    <row r="2256" spans="1:4" s="3" customFormat="1">
      <c r="A2256" s="30"/>
      <c r="B2256" s="267" t="s">
        <v>1428</v>
      </c>
      <c r="C2256" s="18" t="s">
        <v>1429</v>
      </c>
      <c r="D2256" s="430"/>
    </row>
    <row r="2257" spans="1:25" s="2" customFormat="1">
      <c r="A2257" s="55" t="s">
        <v>2943</v>
      </c>
      <c r="B2257" s="77" t="s">
        <v>2944</v>
      </c>
      <c r="C2257" s="18"/>
      <c r="D2257" s="430"/>
    </row>
    <row r="2258" spans="1:25" s="2" customFormat="1">
      <c r="A2258" s="30"/>
      <c r="B2258" s="267" t="s">
        <v>1428</v>
      </c>
      <c r="C2258" s="18" t="s">
        <v>1429</v>
      </c>
      <c r="D2258" s="430"/>
    </row>
    <row r="2259" spans="1:25" s="2" customFormat="1">
      <c r="A2259" s="55" t="s">
        <v>2945</v>
      </c>
      <c r="B2259" s="77" t="s">
        <v>2946</v>
      </c>
      <c r="C2259" s="18"/>
      <c r="D2259" s="430"/>
    </row>
    <row r="2260" spans="1:25" s="2" customFormat="1">
      <c r="A2260" s="30"/>
      <c r="B2260" s="267" t="s">
        <v>1428</v>
      </c>
      <c r="C2260" s="18" t="s">
        <v>1429</v>
      </c>
      <c r="D2260" s="430"/>
    </row>
    <row r="2261" spans="1:25" s="2" customFormat="1">
      <c r="A2261" s="30" t="s">
        <v>2947</v>
      </c>
      <c r="B2261" s="383" t="s">
        <v>2948</v>
      </c>
      <c r="C2261" s="18"/>
      <c r="D2261" s="430"/>
    </row>
    <row r="2262" spans="1:25" s="2" customFormat="1">
      <c r="A2262" s="30"/>
      <c r="B2262" s="285" t="s">
        <v>1428</v>
      </c>
      <c r="C2262" s="18" t="s">
        <v>1429</v>
      </c>
      <c r="D2262" s="430"/>
    </row>
    <row r="2263" spans="1:25" s="268" customFormat="1" ht="26.45">
      <c r="A2263" s="30" t="s">
        <v>2949</v>
      </c>
      <c r="B2263" s="383" t="s">
        <v>2950</v>
      </c>
      <c r="C2263" s="18"/>
      <c r="D2263" s="430"/>
      <c r="E2263" s="85"/>
      <c r="F2263" s="85"/>
      <c r="G2263" s="85"/>
      <c r="H2263" s="85"/>
      <c r="I2263" s="85"/>
      <c r="J2263" s="85"/>
      <c r="K2263" s="85"/>
      <c r="L2263" s="85"/>
      <c r="M2263" s="85"/>
      <c r="N2263" s="85"/>
      <c r="O2263" s="85"/>
      <c r="P2263" s="85"/>
      <c r="Q2263" s="85"/>
      <c r="R2263" s="85"/>
      <c r="S2263" s="85"/>
      <c r="T2263" s="85"/>
      <c r="U2263" s="85"/>
      <c r="V2263" s="85"/>
      <c r="W2263" s="85"/>
      <c r="X2263" s="85"/>
      <c r="Y2263" s="85"/>
    </row>
    <row r="2264" spans="1:25" s="268" customFormat="1">
      <c r="A2264" s="116"/>
      <c r="B2264" s="313" t="s">
        <v>1428</v>
      </c>
      <c r="C2264" s="109" t="s">
        <v>1429</v>
      </c>
      <c r="D2264" s="430"/>
      <c r="E2264" s="85"/>
      <c r="F2264" s="85"/>
      <c r="G2264" s="85"/>
      <c r="H2264" s="85"/>
      <c r="I2264" s="85"/>
      <c r="J2264" s="85"/>
      <c r="K2264" s="85"/>
      <c r="L2264" s="85"/>
      <c r="M2264" s="85"/>
      <c r="N2264" s="85"/>
      <c r="O2264" s="85"/>
      <c r="P2264" s="85"/>
      <c r="Q2264" s="85"/>
      <c r="R2264" s="85"/>
      <c r="S2264" s="85"/>
      <c r="T2264" s="85"/>
      <c r="U2264" s="85"/>
      <c r="V2264" s="85"/>
      <c r="W2264" s="85"/>
      <c r="X2264" s="85"/>
      <c r="Y2264" s="85"/>
    </row>
    <row r="2265" spans="1:25" s="2" customFormat="1">
      <c r="A2265" s="22" t="s">
        <v>2951</v>
      </c>
      <c r="B2265" s="50" t="s">
        <v>2952</v>
      </c>
      <c r="C2265" s="45"/>
      <c r="D2265" s="439"/>
    </row>
    <row r="2266" spans="1:25" s="3" customFormat="1" ht="26.45">
      <c r="A2266" s="286"/>
      <c r="B2266" s="267" t="s">
        <v>2953</v>
      </c>
      <c r="C2266" s="18"/>
      <c r="D2266" s="418"/>
    </row>
    <row r="2267" spans="1:25" s="2" customFormat="1">
      <c r="A2267" s="286"/>
      <c r="B2267" s="267" t="s">
        <v>2954</v>
      </c>
      <c r="C2267" s="18"/>
      <c r="D2267" s="418"/>
    </row>
    <row r="2268" spans="1:25" s="2" customFormat="1">
      <c r="A2268" s="286"/>
      <c r="B2268" s="147" t="s">
        <v>2955</v>
      </c>
      <c r="C2268" s="18"/>
      <c r="D2268" s="418"/>
    </row>
    <row r="2269" spans="1:25" s="2" customFormat="1">
      <c r="A2269" s="286"/>
      <c r="B2269" s="147" t="s">
        <v>2956</v>
      </c>
      <c r="C2269" s="18"/>
      <c r="D2269" s="418"/>
    </row>
    <row r="2270" spans="1:25" s="2" customFormat="1" ht="26.45">
      <c r="A2270" s="286"/>
      <c r="B2270" s="147" t="s">
        <v>2957</v>
      </c>
      <c r="C2270" s="18"/>
      <c r="D2270" s="418"/>
    </row>
    <row r="2271" spans="1:25" s="2" customFormat="1" ht="13.9">
      <c r="A2271" s="30" t="s">
        <v>2958</v>
      </c>
      <c r="B2271" s="31" t="s">
        <v>2959</v>
      </c>
      <c r="C2271" s="18"/>
      <c r="D2271" s="418"/>
    </row>
    <row r="2272" spans="1:25" s="2" customFormat="1" ht="12.75" customHeight="1">
      <c r="A2272" s="286"/>
      <c r="B2272" s="267" t="s">
        <v>1076</v>
      </c>
      <c r="C2272" s="18" t="s">
        <v>1077</v>
      </c>
      <c r="D2272" s="418"/>
    </row>
    <row r="2273" spans="1:4" s="2" customFormat="1" ht="15">
      <c r="A2273" s="30" t="s">
        <v>2960</v>
      </c>
      <c r="B2273" s="31" t="s">
        <v>2961</v>
      </c>
      <c r="C2273" s="18"/>
      <c r="D2273" s="418"/>
    </row>
    <row r="2274" spans="1:4" s="2" customFormat="1">
      <c r="A2274" s="286"/>
      <c r="B2274" s="267" t="s">
        <v>1076</v>
      </c>
      <c r="C2274" s="18" t="s">
        <v>1077</v>
      </c>
      <c r="D2274" s="418"/>
    </row>
    <row r="2275" spans="1:4" s="2" customFormat="1">
      <c r="A2275" s="30" t="s">
        <v>2962</v>
      </c>
      <c r="B2275" s="31" t="s">
        <v>2963</v>
      </c>
      <c r="C2275" s="18"/>
      <c r="D2275" s="418"/>
    </row>
    <row r="2276" spans="1:4" s="3" customFormat="1">
      <c r="A2276" s="286"/>
      <c r="B2276" s="267" t="s">
        <v>1076</v>
      </c>
      <c r="C2276" s="18" t="s">
        <v>1077</v>
      </c>
      <c r="D2276" s="418"/>
    </row>
    <row r="2277" spans="1:4" s="3" customFormat="1">
      <c r="A2277" s="22" t="s">
        <v>2964</v>
      </c>
      <c r="B2277" s="50" t="s">
        <v>2965</v>
      </c>
      <c r="C2277" s="45"/>
      <c r="D2277" s="439"/>
    </row>
    <row r="2278" spans="1:4" s="3" customFormat="1" ht="39.6">
      <c r="A2278" s="111"/>
      <c r="B2278" s="267" t="s">
        <v>2966</v>
      </c>
      <c r="C2278" s="18"/>
      <c r="D2278" s="418"/>
    </row>
    <row r="2279" spans="1:4" s="3" customFormat="1">
      <c r="A2279" s="111"/>
      <c r="B2279" s="267" t="s">
        <v>2104</v>
      </c>
      <c r="C2279" s="18"/>
      <c r="D2279" s="418"/>
    </row>
    <row r="2280" spans="1:4" s="3" customFormat="1">
      <c r="A2280" s="111"/>
      <c r="B2280" s="147" t="s">
        <v>2967</v>
      </c>
      <c r="C2280" s="18"/>
      <c r="D2280" s="418"/>
    </row>
    <row r="2281" spans="1:4" s="3" customFormat="1">
      <c r="A2281" s="111"/>
      <c r="B2281" s="147" t="s">
        <v>2968</v>
      </c>
      <c r="C2281" s="18"/>
      <c r="D2281" s="418"/>
    </row>
    <row r="2282" spans="1:4" s="3" customFormat="1">
      <c r="A2282" s="111"/>
      <c r="B2282" s="267" t="s">
        <v>2969</v>
      </c>
      <c r="C2282" s="18"/>
      <c r="D2282" s="418"/>
    </row>
    <row r="2283" spans="1:4" s="3" customFormat="1">
      <c r="A2283" s="140"/>
      <c r="B2283" s="303" t="s">
        <v>1428</v>
      </c>
      <c r="C2283" s="109" t="s">
        <v>1429</v>
      </c>
      <c r="D2283" s="418"/>
    </row>
    <row r="2284" spans="1:4" s="2" customFormat="1">
      <c r="A2284" s="22" t="s">
        <v>2970</v>
      </c>
      <c r="B2284" s="50" t="s">
        <v>2971</v>
      </c>
      <c r="C2284" s="45" t="s">
        <v>959</v>
      </c>
      <c r="D2284" s="439"/>
    </row>
    <row r="2285" spans="1:4" s="2" customFormat="1" ht="26.45">
      <c r="A2285" s="111" t="s">
        <v>959</v>
      </c>
      <c r="B2285" s="267" t="s">
        <v>2972</v>
      </c>
      <c r="C2285" s="18" t="s">
        <v>959</v>
      </c>
      <c r="D2285" s="418"/>
    </row>
    <row r="2286" spans="1:4" s="2" customFormat="1">
      <c r="A2286" s="111" t="s">
        <v>959</v>
      </c>
      <c r="B2286" s="267" t="s">
        <v>2257</v>
      </c>
      <c r="C2286" s="18" t="s">
        <v>959</v>
      </c>
      <c r="D2286" s="418"/>
    </row>
    <row r="2287" spans="1:4" s="2" customFormat="1">
      <c r="A2287" s="111" t="s">
        <v>959</v>
      </c>
      <c r="B2287" s="267" t="s">
        <v>1542</v>
      </c>
      <c r="C2287" s="18" t="s">
        <v>959</v>
      </c>
      <c r="D2287" s="418"/>
    </row>
    <row r="2288" spans="1:4" s="2" customFormat="1" ht="26.45">
      <c r="A2288" s="111" t="s">
        <v>959</v>
      </c>
      <c r="B2288" s="267" t="s">
        <v>2973</v>
      </c>
      <c r="C2288" s="18" t="s">
        <v>959</v>
      </c>
      <c r="D2288" s="418"/>
    </row>
    <row r="2289" spans="1:4" s="2" customFormat="1" ht="14.25" customHeight="1">
      <c r="A2289" s="148"/>
      <c r="B2289" s="303" t="s">
        <v>1076</v>
      </c>
      <c r="C2289" s="109" t="s">
        <v>1077</v>
      </c>
      <c r="D2289" s="418"/>
    </row>
    <row r="2290" spans="1:4" s="2" customFormat="1" ht="27.6">
      <c r="A2290" s="13" t="s">
        <v>2974</v>
      </c>
      <c r="B2290" s="52" t="s">
        <v>2975</v>
      </c>
      <c r="C2290" s="7" t="s">
        <v>959</v>
      </c>
      <c r="D2290" s="440"/>
    </row>
    <row r="2291" spans="1:4" s="2" customFormat="1" ht="26.45">
      <c r="A2291" s="22" t="s">
        <v>203</v>
      </c>
      <c r="B2291" s="50" t="s">
        <v>2976</v>
      </c>
      <c r="C2291" s="45" t="s">
        <v>959</v>
      </c>
      <c r="D2291" s="439"/>
    </row>
    <row r="2292" spans="1:4" s="2" customFormat="1" ht="26.45">
      <c r="A2292" s="111" t="s">
        <v>959</v>
      </c>
      <c r="B2292" s="267" t="s">
        <v>2977</v>
      </c>
      <c r="C2292" s="18" t="s">
        <v>959</v>
      </c>
      <c r="D2292" s="418"/>
    </row>
    <row r="2293" spans="1:4" s="3" customFormat="1">
      <c r="A2293" s="111" t="s">
        <v>959</v>
      </c>
      <c r="B2293" s="267" t="s">
        <v>961</v>
      </c>
      <c r="C2293" s="18" t="s">
        <v>959</v>
      </c>
      <c r="D2293" s="418"/>
    </row>
    <row r="2294" spans="1:4" s="3" customFormat="1">
      <c r="A2294" s="111" t="s">
        <v>959</v>
      </c>
      <c r="B2294" s="267" t="s">
        <v>1542</v>
      </c>
      <c r="C2294" s="18" t="s">
        <v>959</v>
      </c>
      <c r="D2294" s="418"/>
    </row>
    <row r="2295" spans="1:4" s="3" customFormat="1" ht="26.45">
      <c r="A2295" s="111" t="s">
        <v>959</v>
      </c>
      <c r="B2295" s="267" t="s">
        <v>2978</v>
      </c>
      <c r="C2295" s="18" t="s">
        <v>959</v>
      </c>
      <c r="D2295" s="418"/>
    </row>
    <row r="2296" spans="1:4" s="3" customFormat="1" ht="26.45">
      <c r="A2296" s="111" t="s">
        <v>959</v>
      </c>
      <c r="B2296" s="267" t="s">
        <v>2979</v>
      </c>
      <c r="C2296" s="18" t="s">
        <v>959</v>
      </c>
      <c r="D2296" s="418"/>
    </row>
    <row r="2297" spans="1:4" s="3" customFormat="1">
      <c r="A2297" s="111"/>
      <c r="B2297" s="267" t="s">
        <v>2980</v>
      </c>
      <c r="C2297" s="18"/>
      <c r="D2297" s="418"/>
    </row>
    <row r="2298" spans="1:4" s="3" customFormat="1">
      <c r="A2298" s="111" t="s">
        <v>959</v>
      </c>
      <c r="B2298" s="267" t="s">
        <v>2981</v>
      </c>
      <c r="C2298" s="18" t="s">
        <v>959</v>
      </c>
      <c r="D2298" s="418"/>
    </row>
    <row r="2299" spans="1:4" s="3" customFormat="1">
      <c r="A2299" s="111" t="s">
        <v>959</v>
      </c>
      <c r="B2299" s="267" t="s">
        <v>2982</v>
      </c>
      <c r="C2299" s="18" t="s">
        <v>959</v>
      </c>
      <c r="D2299" s="418"/>
    </row>
    <row r="2300" spans="1:4" s="3" customFormat="1">
      <c r="A2300" s="30" t="s">
        <v>2983</v>
      </c>
      <c r="B2300" s="31" t="s">
        <v>2984</v>
      </c>
      <c r="C2300" s="18"/>
      <c r="D2300" s="418"/>
    </row>
    <row r="2301" spans="1:4" s="3" customFormat="1">
      <c r="A2301" s="55"/>
      <c r="B2301" s="267" t="s">
        <v>1076</v>
      </c>
      <c r="C2301" s="18" t="s">
        <v>1077</v>
      </c>
      <c r="D2301" s="418"/>
    </row>
    <row r="2302" spans="1:4" s="3" customFormat="1">
      <c r="A2302" s="30" t="s">
        <v>2985</v>
      </c>
      <c r="B2302" s="31" t="s">
        <v>2986</v>
      </c>
      <c r="C2302" s="18"/>
      <c r="D2302" s="418"/>
    </row>
    <row r="2303" spans="1:4" s="3" customFormat="1">
      <c r="A2303" s="55"/>
      <c r="B2303" s="267" t="s">
        <v>1076</v>
      </c>
      <c r="C2303" s="18" t="s">
        <v>1077</v>
      </c>
      <c r="D2303" s="418"/>
    </row>
    <row r="2304" spans="1:4" s="3" customFormat="1">
      <c r="A2304" s="30" t="s">
        <v>2987</v>
      </c>
      <c r="B2304" s="31" t="s">
        <v>2988</v>
      </c>
      <c r="C2304" s="18"/>
      <c r="D2304" s="418"/>
    </row>
    <row r="2305" spans="1:4" s="2" customFormat="1">
      <c r="A2305" s="55"/>
      <c r="B2305" s="267" t="s">
        <v>1076</v>
      </c>
      <c r="C2305" s="18" t="s">
        <v>1077</v>
      </c>
      <c r="D2305" s="418"/>
    </row>
    <row r="2306" spans="1:4" s="2" customFormat="1">
      <c r="A2306" s="30" t="s">
        <v>2989</v>
      </c>
      <c r="B2306" s="31" t="s">
        <v>2990</v>
      </c>
      <c r="C2306" s="18"/>
      <c r="D2306" s="418"/>
    </row>
    <row r="2307" spans="1:4" s="3" customFormat="1" ht="12.75" customHeight="1">
      <c r="A2307" s="55"/>
      <c r="B2307" s="267" t="s">
        <v>1076</v>
      </c>
      <c r="C2307" s="18" t="s">
        <v>1077</v>
      </c>
      <c r="D2307" s="418"/>
    </row>
    <row r="2308" spans="1:4" s="2" customFormat="1">
      <c r="A2308" s="30" t="s">
        <v>2991</v>
      </c>
      <c r="B2308" s="31" t="s">
        <v>2992</v>
      </c>
      <c r="C2308" s="18"/>
      <c r="D2308" s="418"/>
    </row>
    <row r="2309" spans="1:4" s="2" customFormat="1">
      <c r="A2309" s="55"/>
      <c r="B2309" s="267" t="s">
        <v>1076</v>
      </c>
      <c r="C2309" s="18" t="s">
        <v>1077</v>
      </c>
      <c r="D2309" s="418"/>
    </row>
    <row r="2310" spans="1:4" s="2" customFormat="1">
      <c r="A2310" s="30" t="s">
        <v>2993</v>
      </c>
      <c r="B2310" s="31" t="s">
        <v>2994</v>
      </c>
      <c r="C2310" s="18"/>
      <c r="D2310" s="418"/>
    </row>
    <row r="2311" spans="1:4" s="2" customFormat="1">
      <c r="A2311" s="55"/>
      <c r="B2311" s="267" t="s">
        <v>1076</v>
      </c>
      <c r="C2311" s="18" t="s">
        <v>1077</v>
      </c>
      <c r="D2311" s="418"/>
    </row>
    <row r="2312" spans="1:4" s="2" customFormat="1">
      <c r="A2312" s="30" t="s">
        <v>2995</v>
      </c>
      <c r="B2312" s="31" t="s">
        <v>2996</v>
      </c>
      <c r="C2312" s="18"/>
      <c r="D2312" s="418"/>
    </row>
    <row r="2313" spans="1:4" s="2" customFormat="1">
      <c r="A2313" s="55"/>
      <c r="B2313" s="267" t="s">
        <v>1076</v>
      </c>
      <c r="C2313" s="18" t="s">
        <v>1077</v>
      </c>
      <c r="D2313" s="418"/>
    </row>
    <row r="2314" spans="1:4" s="2" customFormat="1">
      <c r="A2314" s="30" t="s">
        <v>2997</v>
      </c>
      <c r="B2314" s="31" t="s">
        <v>2998</v>
      </c>
      <c r="C2314" s="18"/>
      <c r="D2314" s="418"/>
    </row>
    <row r="2315" spans="1:4" s="2" customFormat="1">
      <c r="A2315" s="55"/>
      <c r="B2315" s="267" t="s">
        <v>1076</v>
      </c>
      <c r="C2315" s="18" t="s">
        <v>1077</v>
      </c>
      <c r="D2315" s="418"/>
    </row>
    <row r="2316" spans="1:4" s="2" customFormat="1">
      <c r="A2316" s="30" t="s">
        <v>2999</v>
      </c>
      <c r="B2316" s="31" t="s">
        <v>3000</v>
      </c>
      <c r="C2316" s="18"/>
      <c r="D2316" s="418"/>
    </row>
    <row r="2317" spans="1:4" s="2" customFormat="1">
      <c r="A2317" s="148"/>
      <c r="B2317" s="303" t="s">
        <v>1076</v>
      </c>
      <c r="C2317" s="109" t="s">
        <v>1077</v>
      </c>
      <c r="D2317" s="418"/>
    </row>
    <row r="2318" spans="1:4" s="2" customFormat="1" ht="26.45">
      <c r="A2318" s="22" t="s">
        <v>204</v>
      </c>
      <c r="B2318" s="50" t="s">
        <v>3001</v>
      </c>
      <c r="C2318" s="45" t="s">
        <v>959</v>
      </c>
      <c r="D2318" s="439"/>
    </row>
    <row r="2319" spans="1:4" s="2" customFormat="1" ht="26.45">
      <c r="A2319" s="111" t="s">
        <v>959</v>
      </c>
      <c r="B2319" s="267" t="s">
        <v>3002</v>
      </c>
      <c r="C2319" s="18" t="s">
        <v>959</v>
      </c>
      <c r="D2319" s="418"/>
    </row>
    <row r="2320" spans="1:4" s="2" customFormat="1">
      <c r="A2320" s="111" t="s">
        <v>959</v>
      </c>
      <c r="B2320" s="267" t="s">
        <v>961</v>
      </c>
      <c r="C2320" s="18" t="s">
        <v>959</v>
      </c>
      <c r="D2320" s="418"/>
    </row>
    <row r="2321" spans="1:4" s="3" customFormat="1">
      <c r="A2321" s="111" t="s">
        <v>959</v>
      </c>
      <c r="B2321" s="267" t="s">
        <v>1542</v>
      </c>
      <c r="C2321" s="18" t="s">
        <v>959</v>
      </c>
      <c r="D2321" s="418"/>
    </row>
    <row r="2322" spans="1:4" s="2" customFormat="1" ht="26.45">
      <c r="A2322" s="111" t="s">
        <v>959</v>
      </c>
      <c r="B2322" s="267" t="s">
        <v>2978</v>
      </c>
      <c r="C2322" s="18" t="s">
        <v>959</v>
      </c>
      <c r="D2322" s="418"/>
    </row>
    <row r="2323" spans="1:4" s="2" customFormat="1" ht="26.45">
      <c r="A2323" s="111" t="s">
        <v>959</v>
      </c>
      <c r="B2323" s="267" t="s">
        <v>2979</v>
      </c>
      <c r="C2323" s="18" t="s">
        <v>959</v>
      </c>
      <c r="D2323" s="418"/>
    </row>
    <row r="2324" spans="1:4" s="3" customFormat="1">
      <c r="A2324" s="111"/>
      <c r="B2324" s="267" t="s">
        <v>2980</v>
      </c>
      <c r="C2324" s="18"/>
      <c r="D2324" s="418"/>
    </row>
    <row r="2325" spans="1:4" s="2" customFormat="1" ht="26.25" customHeight="1">
      <c r="A2325" s="111" t="s">
        <v>959</v>
      </c>
      <c r="B2325" s="267" t="s">
        <v>2981</v>
      </c>
      <c r="C2325" s="18" t="s">
        <v>959</v>
      </c>
      <c r="D2325" s="418"/>
    </row>
    <row r="2326" spans="1:4" s="2" customFormat="1">
      <c r="A2326" s="111" t="s">
        <v>959</v>
      </c>
      <c r="B2326" s="267" t="s">
        <v>2982</v>
      </c>
      <c r="C2326" s="18" t="s">
        <v>959</v>
      </c>
      <c r="D2326" s="418"/>
    </row>
    <row r="2327" spans="1:4" s="2" customFormat="1">
      <c r="A2327" s="30" t="s">
        <v>3003</v>
      </c>
      <c r="B2327" s="31" t="s">
        <v>3004</v>
      </c>
      <c r="C2327" s="18"/>
      <c r="D2327" s="418"/>
    </row>
    <row r="2328" spans="1:4" s="2" customFormat="1">
      <c r="A2328" s="55"/>
      <c r="B2328" s="267" t="s">
        <v>1076</v>
      </c>
      <c r="C2328" s="18" t="s">
        <v>1077</v>
      </c>
      <c r="D2328" s="418"/>
    </row>
    <row r="2329" spans="1:4" s="2" customFormat="1">
      <c r="A2329" s="30" t="s">
        <v>3005</v>
      </c>
      <c r="B2329" s="31" t="s">
        <v>3006</v>
      </c>
      <c r="C2329" s="18"/>
      <c r="D2329" s="418"/>
    </row>
    <row r="2330" spans="1:4" s="2" customFormat="1">
      <c r="A2330" s="55"/>
      <c r="B2330" s="267" t="s">
        <v>1076</v>
      </c>
      <c r="C2330" s="18" t="s">
        <v>1077</v>
      </c>
      <c r="D2330" s="418"/>
    </row>
    <row r="2331" spans="1:4" s="2" customFormat="1">
      <c r="A2331" s="30" t="s">
        <v>3007</v>
      </c>
      <c r="B2331" s="31" t="s">
        <v>2984</v>
      </c>
      <c r="C2331" s="18"/>
      <c r="D2331" s="418"/>
    </row>
    <row r="2332" spans="1:4" s="2" customFormat="1">
      <c r="A2332" s="55"/>
      <c r="B2332" s="267" t="s">
        <v>1076</v>
      </c>
      <c r="C2332" s="18" t="s">
        <v>1077</v>
      </c>
      <c r="D2332" s="418"/>
    </row>
    <row r="2333" spans="1:4" s="2" customFormat="1">
      <c r="A2333" s="30" t="s">
        <v>3008</v>
      </c>
      <c r="B2333" s="31" t="s">
        <v>2986</v>
      </c>
      <c r="C2333" s="18"/>
      <c r="D2333" s="418"/>
    </row>
    <row r="2334" spans="1:4" s="2" customFormat="1">
      <c r="A2334" s="55"/>
      <c r="B2334" s="267" t="s">
        <v>1076</v>
      </c>
      <c r="C2334" s="18" t="s">
        <v>1077</v>
      </c>
      <c r="D2334" s="418"/>
    </row>
    <row r="2335" spans="1:4" s="2" customFormat="1">
      <c r="A2335" s="30" t="s">
        <v>3009</v>
      </c>
      <c r="B2335" s="31" t="s">
        <v>2988</v>
      </c>
      <c r="C2335" s="18"/>
      <c r="D2335" s="418"/>
    </row>
    <row r="2336" spans="1:4" s="2" customFormat="1">
      <c r="A2336" s="55"/>
      <c r="B2336" s="267" t="s">
        <v>1076</v>
      </c>
      <c r="C2336" s="18" t="s">
        <v>1077</v>
      </c>
      <c r="D2336" s="418"/>
    </row>
    <row r="2337" spans="1:4" s="2" customFormat="1">
      <c r="A2337" s="30" t="s">
        <v>3010</v>
      </c>
      <c r="B2337" s="31" t="s">
        <v>2990</v>
      </c>
      <c r="C2337" s="18"/>
      <c r="D2337" s="418"/>
    </row>
    <row r="2338" spans="1:4" s="2" customFormat="1">
      <c r="A2338" s="55"/>
      <c r="B2338" s="267" t="s">
        <v>1076</v>
      </c>
      <c r="C2338" s="18" t="s">
        <v>1077</v>
      </c>
      <c r="D2338" s="418"/>
    </row>
    <row r="2339" spans="1:4" s="3" customFormat="1">
      <c r="A2339" s="30" t="s">
        <v>3011</v>
      </c>
      <c r="B2339" s="31" t="s">
        <v>2992</v>
      </c>
      <c r="C2339" s="18"/>
      <c r="D2339" s="418"/>
    </row>
    <row r="2340" spans="1:4" s="2" customFormat="1">
      <c r="A2340" s="55"/>
      <c r="B2340" s="267" t="s">
        <v>1076</v>
      </c>
      <c r="C2340" s="18" t="s">
        <v>1077</v>
      </c>
      <c r="D2340" s="418"/>
    </row>
    <row r="2341" spans="1:4" s="2" customFormat="1">
      <c r="A2341" s="30" t="s">
        <v>3012</v>
      </c>
      <c r="B2341" s="31" t="s">
        <v>2994</v>
      </c>
      <c r="C2341" s="18"/>
      <c r="D2341" s="418"/>
    </row>
    <row r="2342" spans="1:4" s="3" customFormat="1">
      <c r="A2342" s="55"/>
      <c r="B2342" s="267" t="s">
        <v>1076</v>
      </c>
      <c r="C2342" s="18" t="s">
        <v>1077</v>
      </c>
      <c r="D2342" s="418"/>
    </row>
    <row r="2343" spans="1:4" s="2" customFormat="1">
      <c r="A2343" s="30" t="s">
        <v>3013</v>
      </c>
      <c r="B2343" s="31" t="s">
        <v>2996</v>
      </c>
      <c r="C2343" s="18"/>
      <c r="D2343" s="418"/>
    </row>
    <row r="2344" spans="1:4" s="2" customFormat="1">
      <c r="A2344" s="55"/>
      <c r="B2344" s="267" t="s">
        <v>1076</v>
      </c>
      <c r="C2344" s="18" t="s">
        <v>1077</v>
      </c>
      <c r="D2344" s="418"/>
    </row>
    <row r="2345" spans="1:4" s="3" customFormat="1">
      <c r="A2345" s="30" t="s">
        <v>3014</v>
      </c>
      <c r="B2345" s="31" t="s">
        <v>2998</v>
      </c>
      <c r="C2345" s="18"/>
      <c r="D2345" s="418"/>
    </row>
    <row r="2346" spans="1:4" s="2" customFormat="1">
      <c r="A2346" s="55"/>
      <c r="B2346" s="267" t="s">
        <v>1076</v>
      </c>
      <c r="C2346" s="18" t="s">
        <v>1077</v>
      </c>
      <c r="D2346" s="418"/>
    </row>
    <row r="2347" spans="1:4" s="2" customFormat="1">
      <c r="A2347" s="30" t="s">
        <v>3015</v>
      </c>
      <c r="B2347" s="31" t="s">
        <v>3000</v>
      </c>
      <c r="C2347" s="18"/>
      <c r="D2347" s="418"/>
    </row>
    <row r="2348" spans="1:4" s="2" customFormat="1">
      <c r="A2348" s="148"/>
      <c r="B2348" s="303" t="s">
        <v>1076</v>
      </c>
      <c r="C2348" s="109" t="s">
        <v>1077</v>
      </c>
      <c r="D2348" s="418"/>
    </row>
    <row r="2349" spans="1:4" s="2" customFormat="1" ht="26.45">
      <c r="A2349" s="22" t="s">
        <v>205</v>
      </c>
      <c r="B2349" s="50" t="s">
        <v>3016</v>
      </c>
      <c r="C2349" s="45" t="s">
        <v>959</v>
      </c>
      <c r="D2349" s="439"/>
    </row>
    <row r="2350" spans="1:4" s="2" customFormat="1" ht="26.45">
      <c r="A2350" s="111"/>
      <c r="B2350" s="267" t="s">
        <v>3017</v>
      </c>
      <c r="C2350" s="18" t="s">
        <v>959</v>
      </c>
      <c r="D2350" s="418"/>
    </row>
    <row r="2351" spans="1:4" s="2" customFormat="1">
      <c r="A2351" s="111" t="s">
        <v>959</v>
      </c>
      <c r="B2351" s="267" t="s">
        <v>961</v>
      </c>
      <c r="C2351" s="18" t="s">
        <v>959</v>
      </c>
      <c r="D2351" s="418"/>
    </row>
    <row r="2352" spans="1:4" s="2" customFormat="1">
      <c r="A2352" s="111" t="s">
        <v>959</v>
      </c>
      <c r="B2352" s="267" t="s">
        <v>1542</v>
      </c>
      <c r="C2352" s="18" t="s">
        <v>959</v>
      </c>
      <c r="D2352" s="418"/>
    </row>
    <row r="2353" spans="1:4" s="3" customFormat="1" ht="26.45">
      <c r="A2353" s="111" t="s">
        <v>959</v>
      </c>
      <c r="B2353" s="267" t="s">
        <v>2978</v>
      </c>
      <c r="C2353" s="18" t="s">
        <v>959</v>
      </c>
      <c r="D2353" s="418"/>
    </row>
    <row r="2354" spans="1:4" s="2" customFormat="1" ht="26.45">
      <c r="A2354" s="111" t="s">
        <v>959</v>
      </c>
      <c r="B2354" s="267" t="s">
        <v>2979</v>
      </c>
      <c r="C2354" s="18" t="s">
        <v>959</v>
      </c>
      <c r="D2354" s="418"/>
    </row>
    <row r="2355" spans="1:4" s="2" customFormat="1">
      <c r="A2355" s="111"/>
      <c r="B2355" s="267" t="s">
        <v>2980</v>
      </c>
      <c r="C2355" s="18"/>
      <c r="D2355" s="418"/>
    </row>
    <row r="2356" spans="1:4" s="2" customFormat="1">
      <c r="A2356" s="111" t="s">
        <v>959</v>
      </c>
      <c r="B2356" s="267" t="s">
        <v>2981</v>
      </c>
      <c r="C2356" s="18" t="s">
        <v>959</v>
      </c>
      <c r="D2356" s="418"/>
    </row>
    <row r="2357" spans="1:4" s="2" customFormat="1">
      <c r="A2357" s="111" t="s">
        <v>959</v>
      </c>
      <c r="B2357" s="267" t="s">
        <v>3018</v>
      </c>
      <c r="C2357" s="18" t="s">
        <v>959</v>
      </c>
      <c r="D2357" s="418"/>
    </row>
    <row r="2358" spans="1:4" s="2" customFormat="1">
      <c r="A2358" s="111" t="s">
        <v>959</v>
      </c>
      <c r="B2358" s="267" t="s">
        <v>3019</v>
      </c>
      <c r="C2358" s="18" t="s">
        <v>959</v>
      </c>
      <c r="D2358" s="418"/>
    </row>
    <row r="2359" spans="1:4" s="2" customFormat="1">
      <c r="A2359" s="115" t="s">
        <v>3020</v>
      </c>
      <c r="B2359" s="31" t="s">
        <v>3021</v>
      </c>
      <c r="C2359" s="18"/>
      <c r="D2359" s="418"/>
    </row>
    <row r="2360" spans="1:4" s="2" customFormat="1">
      <c r="A2360" s="286"/>
      <c r="B2360" s="267" t="s">
        <v>1076</v>
      </c>
      <c r="C2360" s="18" t="s">
        <v>1077</v>
      </c>
      <c r="D2360" s="418"/>
    </row>
    <row r="2361" spans="1:4" s="2" customFormat="1">
      <c r="A2361" s="115" t="s">
        <v>3022</v>
      </c>
      <c r="B2361" s="31" t="s">
        <v>2986</v>
      </c>
      <c r="C2361" s="18"/>
      <c r="D2361" s="418"/>
    </row>
    <row r="2362" spans="1:4" s="2" customFormat="1">
      <c r="A2362" s="286"/>
      <c r="B2362" s="267" t="s">
        <v>1076</v>
      </c>
      <c r="C2362" s="18" t="s">
        <v>1077</v>
      </c>
      <c r="D2362" s="418"/>
    </row>
    <row r="2363" spans="1:4" s="2" customFormat="1">
      <c r="A2363" s="115" t="s">
        <v>3023</v>
      </c>
      <c r="B2363" s="31" t="s">
        <v>2988</v>
      </c>
      <c r="C2363" s="18"/>
      <c r="D2363" s="418"/>
    </row>
    <row r="2364" spans="1:4" s="2" customFormat="1">
      <c r="A2364" s="286"/>
      <c r="B2364" s="267" t="s">
        <v>1076</v>
      </c>
      <c r="C2364" s="18" t="s">
        <v>1077</v>
      </c>
      <c r="D2364" s="418"/>
    </row>
    <row r="2365" spans="1:4" s="2" customFormat="1">
      <c r="A2365" s="115" t="s">
        <v>3024</v>
      </c>
      <c r="B2365" s="31" t="s">
        <v>3025</v>
      </c>
      <c r="C2365" s="18"/>
      <c r="D2365" s="418"/>
    </row>
    <row r="2366" spans="1:4" s="3" customFormat="1">
      <c r="A2366" s="286"/>
      <c r="B2366" s="267" t="s">
        <v>1076</v>
      </c>
      <c r="C2366" s="18" t="s">
        <v>1077</v>
      </c>
      <c r="D2366" s="418"/>
    </row>
    <row r="2367" spans="1:4" s="2" customFormat="1" ht="26.45">
      <c r="A2367" s="22" t="s">
        <v>206</v>
      </c>
      <c r="B2367" s="50" t="s">
        <v>3026</v>
      </c>
      <c r="C2367" s="45" t="s">
        <v>959</v>
      </c>
      <c r="D2367" s="439"/>
    </row>
    <row r="2368" spans="1:4" s="2" customFormat="1" ht="26.45">
      <c r="A2368" s="111" t="s">
        <v>959</v>
      </c>
      <c r="B2368" s="267" t="s">
        <v>3027</v>
      </c>
      <c r="C2368" s="18" t="s">
        <v>959</v>
      </c>
      <c r="D2368" s="418"/>
    </row>
    <row r="2369" spans="1:4" s="2" customFormat="1">
      <c r="A2369" s="111" t="s">
        <v>959</v>
      </c>
      <c r="B2369" s="267" t="s">
        <v>961</v>
      </c>
      <c r="C2369" s="18" t="s">
        <v>959</v>
      </c>
      <c r="D2369" s="418"/>
    </row>
    <row r="2370" spans="1:4" s="2" customFormat="1">
      <c r="A2370" s="111" t="s">
        <v>959</v>
      </c>
      <c r="B2370" s="267" t="s">
        <v>1542</v>
      </c>
      <c r="C2370" s="18" t="s">
        <v>959</v>
      </c>
      <c r="D2370" s="418"/>
    </row>
    <row r="2371" spans="1:4" s="2" customFormat="1" ht="26.45">
      <c r="A2371" s="111" t="s">
        <v>959</v>
      </c>
      <c r="B2371" s="267" t="s">
        <v>2978</v>
      </c>
      <c r="C2371" s="18" t="s">
        <v>959</v>
      </c>
      <c r="D2371" s="418"/>
    </row>
    <row r="2372" spans="1:4" s="2" customFormat="1" ht="26.45">
      <c r="A2372" s="111" t="s">
        <v>959</v>
      </c>
      <c r="B2372" s="267" t="s">
        <v>2979</v>
      </c>
      <c r="C2372" s="18" t="s">
        <v>959</v>
      </c>
      <c r="D2372" s="418"/>
    </row>
    <row r="2373" spans="1:4" s="3" customFormat="1">
      <c r="A2373" s="111"/>
      <c r="B2373" s="267" t="s">
        <v>2980</v>
      </c>
      <c r="C2373" s="18"/>
      <c r="D2373" s="418"/>
    </row>
    <row r="2374" spans="1:4" s="2" customFormat="1">
      <c r="A2374" s="111"/>
      <c r="B2374" s="267" t="s">
        <v>2981</v>
      </c>
      <c r="C2374" s="18"/>
      <c r="D2374" s="418"/>
    </row>
    <row r="2375" spans="1:4" s="2" customFormat="1">
      <c r="A2375" s="111"/>
      <c r="B2375" s="267" t="s">
        <v>3018</v>
      </c>
      <c r="C2375" s="18"/>
      <c r="D2375" s="418"/>
    </row>
    <row r="2376" spans="1:4" s="2" customFormat="1">
      <c r="A2376" s="30" t="s">
        <v>3028</v>
      </c>
      <c r="B2376" s="31" t="s">
        <v>3029</v>
      </c>
      <c r="C2376" s="18"/>
      <c r="D2376" s="418"/>
    </row>
    <row r="2377" spans="1:4" s="2" customFormat="1">
      <c r="A2377" s="55"/>
      <c r="B2377" s="267" t="s">
        <v>1076</v>
      </c>
      <c r="C2377" s="18" t="s">
        <v>1077</v>
      </c>
      <c r="D2377" s="418"/>
    </row>
    <row r="2378" spans="1:4" s="2" customFormat="1">
      <c r="A2378" s="30" t="s">
        <v>3030</v>
      </c>
      <c r="B2378" s="31" t="s">
        <v>2992</v>
      </c>
      <c r="C2378" s="18"/>
      <c r="D2378" s="418"/>
    </row>
    <row r="2379" spans="1:4" s="2" customFormat="1">
      <c r="A2379" s="55"/>
      <c r="B2379" s="267" t="s">
        <v>1076</v>
      </c>
      <c r="C2379" s="18" t="s">
        <v>1077</v>
      </c>
      <c r="D2379" s="418"/>
    </row>
    <row r="2380" spans="1:4" s="2" customFormat="1">
      <c r="A2380" s="30" t="s">
        <v>3031</v>
      </c>
      <c r="B2380" s="31" t="s">
        <v>3032</v>
      </c>
      <c r="C2380" s="18"/>
      <c r="D2380" s="418"/>
    </row>
    <row r="2381" spans="1:4" s="2" customFormat="1">
      <c r="A2381" s="55"/>
      <c r="B2381" s="267" t="s">
        <v>1076</v>
      </c>
      <c r="C2381" s="18" t="s">
        <v>1077</v>
      </c>
      <c r="D2381" s="418"/>
    </row>
    <row r="2382" spans="1:4" s="2" customFormat="1">
      <c r="A2382" s="30" t="s">
        <v>3033</v>
      </c>
      <c r="B2382" s="31" t="s">
        <v>2994</v>
      </c>
      <c r="C2382" s="18"/>
      <c r="D2382" s="418"/>
    </row>
    <row r="2383" spans="1:4" s="2" customFormat="1">
      <c r="A2383" s="55"/>
      <c r="B2383" s="267" t="s">
        <v>1076</v>
      </c>
      <c r="C2383" s="18" t="s">
        <v>1077</v>
      </c>
      <c r="D2383" s="418"/>
    </row>
    <row r="2384" spans="1:4" s="3" customFormat="1">
      <c r="A2384" s="30" t="s">
        <v>3034</v>
      </c>
      <c r="B2384" s="31" t="s">
        <v>3035</v>
      </c>
      <c r="C2384" s="18"/>
      <c r="D2384" s="418"/>
    </row>
    <row r="2385" spans="1:4" s="3" customFormat="1">
      <c r="A2385" s="55"/>
      <c r="B2385" s="267" t="s">
        <v>1076</v>
      </c>
      <c r="C2385" s="18" t="s">
        <v>1077</v>
      </c>
      <c r="D2385" s="418"/>
    </row>
    <row r="2386" spans="1:4" s="3" customFormat="1">
      <c r="A2386" s="30" t="s">
        <v>3036</v>
      </c>
      <c r="B2386" s="31" t="s">
        <v>3037</v>
      </c>
      <c r="C2386" s="18"/>
      <c r="D2386" s="418"/>
    </row>
    <row r="2387" spans="1:4" s="3" customFormat="1">
      <c r="A2387" s="55"/>
      <c r="B2387" s="267" t="s">
        <v>1076</v>
      </c>
      <c r="C2387" s="18" t="s">
        <v>1077</v>
      </c>
      <c r="D2387" s="418"/>
    </row>
    <row r="2388" spans="1:4" s="3" customFormat="1">
      <c r="A2388" s="30" t="s">
        <v>3038</v>
      </c>
      <c r="B2388" s="31" t="s">
        <v>3000</v>
      </c>
      <c r="C2388" s="18"/>
      <c r="D2388" s="418"/>
    </row>
    <row r="2389" spans="1:4" s="3" customFormat="1">
      <c r="A2389" s="55"/>
      <c r="B2389" s="267" t="s">
        <v>1076</v>
      </c>
      <c r="C2389" s="18" t="s">
        <v>1077</v>
      </c>
      <c r="D2389" s="418"/>
    </row>
    <row r="2390" spans="1:4" s="3" customFormat="1">
      <c r="A2390" s="30" t="s">
        <v>3039</v>
      </c>
      <c r="B2390" s="31" t="s">
        <v>3040</v>
      </c>
      <c r="C2390" s="18"/>
      <c r="D2390" s="418"/>
    </row>
    <row r="2391" spans="1:4" s="3" customFormat="1">
      <c r="A2391" s="55"/>
      <c r="B2391" s="267" t="s">
        <v>1076</v>
      </c>
      <c r="C2391" s="18" t="s">
        <v>1077</v>
      </c>
      <c r="D2391" s="418"/>
    </row>
    <row r="2392" spans="1:4" s="4" customFormat="1">
      <c r="A2392" s="30" t="s">
        <v>3041</v>
      </c>
      <c r="B2392" s="31" t="s">
        <v>3042</v>
      </c>
      <c r="C2392" s="18"/>
      <c r="D2392" s="418"/>
    </row>
    <row r="2393" spans="1:4" s="9" customFormat="1">
      <c r="A2393" s="55"/>
      <c r="B2393" s="267" t="s">
        <v>1076</v>
      </c>
      <c r="C2393" s="18" t="s">
        <v>1077</v>
      </c>
      <c r="D2393" s="418"/>
    </row>
    <row r="2394" spans="1:4" s="9" customFormat="1">
      <c r="A2394" s="30" t="s">
        <v>3043</v>
      </c>
      <c r="B2394" s="31" t="s">
        <v>3044</v>
      </c>
      <c r="C2394" s="18"/>
      <c r="D2394" s="418"/>
    </row>
    <row r="2395" spans="1:4" s="9" customFormat="1">
      <c r="A2395" s="148"/>
      <c r="B2395" s="303" t="s">
        <v>1076</v>
      </c>
      <c r="C2395" s="109" t="s">
        <v>1077</v>
      </c>
      <c r="D2395" s="418"/>
    </row>
    <row r="2396" spans="1:4" s="9" customFormat="1" ht="26.45">
      <c r="A2396" s="22" t="s">
        <v>3045</v>
      </c>
      <c r="B2396" s="50" t="s">
        <v>3046</v>
      </c>
      <c r="C2396" s="45" t="s">
        <v>959</v>
      </c>
      <c r="D2396" s="439"/>
    </row>
    <row r="2397" spans="1:4" s="9" customFormat="1" ht="26.45">
      <c r="A2397" s="111" t="s">
        <v>959</v>
      </c>
      <c r="B2397" s="267" t="s">
        <v>3047</v>
      </c>
      <c r="C2397" s="18" t="s">
        <v>959</v>
      </c>
      <c r="D2397" s="418"/>
    </row>
    <row r="2398" spans="1:4" s="9" customFormat="1">
      <c r="A2398" s="111" t="s">
        <v>959</v>
      </c>
      <c r="B2398" s="267" t="s">
        <v>961</v>
      </c>
      <c r="C2398" s="18" t="s">
        <v>959</v>
      </c>
      <c r="D2398" s="418"/>
    </row>
    <row r="2399" spans="1:4" s="9" customFormat="1">
      <c r="A2399" s="111" t="s">
        <v>959</v>
      </c>
      <c r="B2399" s="267" t="s">
        <v>1542</v>
      </c>
      <c r="C2399" s="18" t="s">
        <v>959</v>
      </c>
      <c r="D2399" s="418"/>
    </row>
    <row r="2400" spans="1:4" s="9" customFormat="1" ht="26.45">
      <c r="A2400" s="111" t="s">
        <v>959</v>
      </c>
      <c r="B2400" s="267" t="s">
        <v>2978</v>
      </c>
      <c r="C2400" s="18" t="s">
        <v>959</v>
      </c>
      <c r="D2400" s="418"/>
    </row>
    <row r="2401" spans="1:4" s="9" customFormat="1" ht="26.45">
      <c r="A2401" s="111" t="s">
        <v>959</v>
      </c>
      <c r="B2401" s="267" t="s">
        <v>2979</v>
      </c>
      <c r="C2401" s="18" t="s">
        <v>959</v>
      </c>
      <c r="D2401" s="418"/>
    </row>
    <row r="2402" spans="1:4" s="9" customFormat="1">
      <c r="A2402" s="111"/>
      <c r="B2402" s="267" t="s">
        <v>2980</v>
      </c>
      <c r="C2402" s="18"/>
      <c r="D2402" s="418"/>
    </row>
    <row r="2403" spans="1:4" s="9" customFormat="1">
      <c r="A2403" s="111"/>
      <c r="B2403" s="267" t="s">
        <v>2981</v>
      </c>
      <c r="C2403" s="18"/>
      <c r="D2403" s="418"/>
    </row>
    <row r="2404" spans="1:4" s="9" customFormat="1">
      <c r="A2404" s="111"/>
      <c r="B2404" s="267" t="s">
        <v>3018</v>
      </c>
      <c r="C2404" s="18"/>
      <c r="D2404" s="418"/>
    </row>
    <row r="2405" spans="1:4" s="2" customFormat="1">
      <c r="A2405" s="30" t="s">
        <v>207</v>
      </c>
      <c r="B2405" s="31" t="s">
        <v>3021</v>
      </c>
      <c r="C2405" s="18"/>
      <c r="D2405" s="418"/>
    </row>
    <row r="2406" spans="1:4" s="4" customFormat="1">
      <c r="A2406" s="55"/>
      <c r="B2406" s="267" t="s">
        <v>1076</v>
      </c>
      <c r="C2406" s="18" t="s">
        <v>1077</v>
      </c>
      <c r="D2406" s="418"/>
    </row>
    <row r="2407" spans="1:4" s="9" customFormat="1">
      <c r="A2407" s="30" t="s">
        <v>208</v>
      </c>
      <c r="B2407" s="31" t="s">
        <v>2986</v>
      </c>
      <c r="C2407" s="18"/>
      <c r="D2407" s="418"/>
    </row>
    <row r="2408" spans="1:4" s="9" customFormat="1">
      <c r="A2408" s="55"/>
      <c r="B2408" s="267" t="s">
        <v>1076</v>
      </c>
      <c r="C2408" s="18" t="s">
        <v>1077</v>
      </c>
      <c r="D2408" s="418"/>
    </row>
    <row r="2409" spans="1:4" s="9" customFormat="1">
      <c r="A2409" s="30" t="s">
        <v>209</v>
      </c>
      <c r="B2409" s="31" t="s">
        <v>2988</v>
      </c>
      <c r="C2409" s="18"/>
      <c r="D2409" s="418"/>
    </row>
    <row r="2410" spans="1:4" s="9" customFormat="1">
      <c r="A2410" s="55"/>
      <c r="B2410" s="267" t="s">
        <v>1076</v>
      </c>
      <c r="C2410" s="18" t="s">
        <v>1077</v>
      </c>
      <c r="D2410" s="418"/>
    </row>
    <row r="2411" spans="1:4" s="9" customFormat="1">
      <c r="A2411" s="30" t="s">
        <v>3048</v>
      </c>
      <c r="B2411" s="31" t="s">
        <v>3025</v>
      </c>
      <c r="C2411" s="18"/>
      <c r="D2411" s="418"/>
    </row>
    <row r="2412" spans="1:4" s="9" customFormat="1">
      <c r="A2412" s="55"/>
      <c r="B2412" s="267" t="s">
        <v>1076</v>
      </c>
      <c r="C2412" s="18" t="s">
        <v>1077</v>
      </c>
      <c r="D2412" s="418"/>
    </row>
    <row r="2413" spans="1:4" s="4" customFormat="1">
      <c r="A2413" s="30" t="s">
        <v>3049</v>
      </c>
      <c r="B2413" s="31" t="s">
        <v>3029</v>
      </c>
      <c r="C2413" s="18"/>
      <c r="D2413" s="418"/>
    </row>
    <row r="2414" spans="1:4" s="2" customFormat="1">
      <c r="A2414" s="55"/>
      <c r="B2414" s="267" t="s">
        <v>1076</v>
      </c>
      <c r="C2414" s="18" t="s">
        <v>1077</v>
      </c>
      <c r="D2414" s="418"/>
    </row>
    <row r="2415" spans="1:4" s="2" customFormat="1">
      <c r="A2415" s="30" t="s">
        <v>3050</v>
      </c>
      <c r="B2415" s="31" t="s">
        <v>2992</v>
      </c>
      <c r="C2415" s="18"/>
      <c r="D2415" s="418"/>
    </row>
    <row r="2416" spans="1:4" s="2" customFormat="1">
      <c r="A2416" s="55"/>
      <c r="B2416" s="267" t="s">
        <v>1076</v>
      </c>
      <c r="C2416" s="18" t="s">
        <v>1077</v>
      </c>
      <c r="D2416" s="418"/>
    </row>
    <row r="2417" spans="1:4" s="2" customFormat="1">
      <c r="A2417" s="30" t="s">
        <v>3051</v>
      </c>
      <c r="B2417" s="31" t="s">
        <v>3032</v>
      </c>
      <c r="C2417" s="18"/>
      <c r="D2417" s="418"/>
    </row>
    <row r="2418" spans="1:4" s="4" customFormat="1">
      <c r="A2418" s="55"/>
      <c r="B2418" s="267" t="s">
        <v>1076</v>
      </c>
      <c r="C2418" s="18" t="s">
        <v>1077</v>
      </c>
      <c r="D2418" s="418"/>
    </row>
    <row r="2419" spans="1:4" s="4" customFormat="1">
      <c r="A2419" s="30" t="s">
        <v>3052</v>
      </c>
      <c r="B2419" s="31" t="s">
        <v>2994</v>
      </c>
      <c r="C2419" s="18"/>
      <c r="D2419" s="418"/>
    </row>
    <row r="2420" spans="1:4" s="4" customFormat="1">
      <c r="A2420" s="55"/>
      <c r="B2420" s="267" t="s">
        <v>1076</v>
      </c>
      <c r="C2420" s="18" t="s">
        <v>1077</v>
      </c>
      <c r="D2420" s="418"/>
    </row>
    <row r="2421" spans="1:4" s="4" customFormat="1">
      <c r="A2421" s="30" t="s">
        <v>3053</v>
      </c>
      <c r="B2421" s="31" t="s">
        <v>3035</v>
      </c>
      <c r="C2421" s="18"/>
      <c r="D2421" s="418"/>
    </row>
    <row r="2422" spans="1:4" s="4" customFormat="1">
      <c r="A2422" s="55"/>
      <c r="B2422" s="267" t="s">
        <v>1076</v>
      </c>
      <c r="C2422" s="18" t="s">
        <v>1077</v>
      </c>
      <c r="D2422" s="418"/>
    </row>
    <row r="2423" spans="1:4" s="4" customFormat="1">
      <c r="A2423" s="30" t="s">
        <v>3054</v>
      </c>
      <c r="B2423" s="31" t="s">
        <v>3037</v>
      </c>
      <c r="C2423" s="18"/>
      <c r="D2423" s="418"/>
    </row>
    <row r="2424" spans="1:4" s="4" customFormat="1">
      <c r="A2424" s="55"/>
      <c r="B2424" s="267" t="s">
        <v>1076</v>
      </c>
      <c r="C2424" s="18" t="s">
        <v>1077</v>
      </c>
      <c r="D2424" s="418"/>
    </row>
    <row r="2425" spans="1:4" s="4" customFormat="1">
      <c r="A2425" s="30" t="s">
        <v>3055</v>
      </c>
      <c r="B2425" s="31" t="s">
        <v>3000</v>
      </c>
      <c r="C2425" s="18"/>
      <c r="D2425" s="418"/>
    </row>
    <row r="2426" spans="1:4" s="4" customFormat="1">
      <c r="A2426" s="55"/>
      <c r="B2426" s="267" t="s">
        <v>1076</v>
      </c>
      <c r="C2426" s="18" t="s">
        <v>1077</v>
      </c>
      <c r="D2426" s="418"/>
    </row>
    <row r="2427" spans="1:4" s="4" customFormat="1" ht="26.45">
      <c r="A2427" s="22" t="s">
        <v>3056</v>
      </c>
      <c r="B2427" s="50" t="s">
        <v>3057</v>
      </c>
      <c r="C2427" s="45" t="s">
        <v>959</v>
      </c>
      <c r="D2427" s="439"/>
    </row>
    <row r="2428" spans="1:4" s="4" customFormat="1" ht="26.45">
      <c r="A2428" s="111" t="s">
        <v>959</v>
      </c>
      <c r="B2428" s="267" t="s">
        <v>3058</v>
      </c>
      <c r="C2428" s="18" t="s">
        <v>959</v>
      </c>
      <c r="D2428" s="418"/>
    </row>
    <row r="2429" spans="1:4" s="4" customFormat="1">
      <c r="A2429" s="111" t="s">
        <v>959</v>
      </c>
      <c r="B2429" s="267" t="s">
        <v>961</v>
      </c>
      <c r="C2429" s="18" t="s">
        <v>959</v>
      </c>
      <c r="D2429" s="418"/>
    </row>
    <row r="2430" spans="1:4" s="4" customFormat="1">
      <c r="A2430" s="111" t="s">
        <v>959</v>
      </c>
      <c r="B2430" s="267" t="s">
        <v>1542</v>
      </c>
      <c r="C2430" s="18" t="s">
        <v>959</v>
      </c>
      <c r="D2430" s="418"/>
    </row>
    <row r="2431" spans="1:4" s="4" customFormat="1" ht="26.45">
      <c r="A2431" s="111" t="s">
        <v>959</v>
      </c>
      <c r="B2431" s="267" t="s">
        <v>2978</v>
      </c>
      <c r="C2431" s="18" t="s">
        <v>959</v>
      </c>
      <c r="D2431" s="418"/>
    </row>
    <row r="2432" spans="1:4" s="4" customFormat="1" ht="26.45">
      <c r="A2432" s="111" t="s">
        <v>959</v>
      </c>
      <c r="B2432" s="267" t="s">
        <v>2979</v>
      </c>
      <c r="C2432" s="18" t="s">
        <v>959</v>
      </c>
      <c r="D2432" s="418"/>
    </row>
    <row r="2433" spans="1:4" s="9" customFormat="1">
      <c r="A2433" s="111"/>
      <c r="B2433" s="267" t="s">
        <v>2980</v>
      </c>
      <c r="C2433" s="18"/>
      <c r="D2433" s="418"/>
    </row>
    <row r="2434" spans="1:4" s="9" customFormat="1">
      <c r="A2434" s="111"/>
      <c r="B2434" s="267" t="s">
        <v>2981</v>
      </c>
      <c r="C2434" s="18"/>
      <c r="D2434" s="418"/>
    </row>
    <row r="2435" spans="1:4" s="2" customFormat="1">
      <c r="A2435" s="111"/>
      <c r="B2435" s="267" t="s">
        <v>3018</v>
      </c>
      <c r="C2435" s="18"/>
      <c r="D2435" s="418"/>
    </row>
    <row r="2436" spans="1:4" s="4" customFormat="1">
      <c r="A2436" s="30" t="s">
        <v>210</v>
      </c>
      <c r="B2436" s="31" t="s">
        <v>3059</v>
      </c>
      <c r="C2436" s="18"/>
      <c r="D2436" s="418"/>
    </row>
    <row r="2437" spans="1:4" s="2" customFormat="1">
      <c r="A2437" s="55"/>
      <c r="B2437" s="267" t="s">
        <v>1076</v>
      </c>
      <c r="C2437" s="18" t="s">
        <v>1077</v>
      </c>
      <c r="D2437" s="418"/>
    </row>
    <row r="2438" spans="1:4" s="2" customFormat="1">
      <c r="A2438" s="30" t="s">
        <v>211</v>
      </c>
      <c r="B2438" s="31" t="s">
        <v>2992</v>
      </c>
      <c r="C2438" s="18"/>
      <c r="D2438" s="418"/>
    </row>
    <row r="2439" spans="1:4" s="2" customFormat="1">
      <c r="A2439" s="55"/>
      <c r="B2439" s="267" t="s">
        <v>1076</v>
      </c>
      <c r="C2439" s="18" t="s">
        <v>1077</v>
      </c>
      <c r="D2439" s="418"/>
    </row>
    <row r="2440" spans="1:4" s="2" customFormat="1">
      <c r="A2440" s="30" t="s">
        <v>212</v>
      </c>
      <c r="B2440" s="31" t="s">
        <v>2994</v>
      </c>
      <c r="C2440" s="18"/>
      <c r="D2440" s="418"/>
    </row>
    <row r="2441" spans="1:4" s="2" customFormat="1">
      <c r="A2441" s="55"/>
      <c r="B2441" s="267" t="s">
        <v>1076</v>
      </c>
      <c r="C2441" s="18" t="s">
        <v>1077</v>
      </c>
      <c r="D2441" s="418"/>
    </row>
    <row r="2442" spans="1:4" s="4" customFormat="1">
      <c r="A2442" s="30" t="s">
        <v>3060</v>
      </c>
      <c r="B2442" s="31" t="s">
        <v>3035</v>
      </c>
      <c r="C2442" s="18"/>
      <c r="D2442" s="418"/>
    </row>
    <row r="2443" spans="1:4" s="2" customFormat="1">
      <c r="A2443" s="55"/>
      <c r="B2443" s="267" t="s">
        <v>1076</v>
      </c>
      <c r="C2443" s="18" t="s">
        <v>1077</v>
      </c>
      <c r="D2443" s="418"/>
    </row>
    <row r="2444" spans="1:4" s="2" customFormat="1">
      <c r="A2444" s="30" t="s">
        <v>3061</v>
      </c>
      <c r="B2444" s="31" t="s">
        <v>3037</v>
      </c>
      <c r="C2444" s="18"/>
      <c r="D2444" s="418"/>
    </row>
    <row r="2445" spans="1:4" s="4" customFormat="1">
      <c r="A2445" s="55"/>
      <c r="B2445" s="267" t="s">
        <v>1076</v>
      </c>
      <c r="C2445" s="18" t="s">
        <v>1077</v>
      </c>
      <c r="D2445" s="418"/>
    </row>
    <row r="2446" spans="1:4" s="2" customFormat="1">
      <c r="A2446" s="30" t="s">
        <v>3062</v>
      </c>
      <c r="B2446" s="31" t="s">
        <v>3000</v>
      </c>
      <c r="C2446" s="18"/>
      <c r="D2446" s="418"/>
    </row>
    <row r="2447" spans="1:4" s="2" customFormat="1">
      <c r="A2447" s="55"/>
      <c r="B2447" s="267" t="s">
        <v>1076</v>
      </c>
      <c r="C2447" s="18" t="s">
        <v>1077</v>
      </c>
      <c r="D2447" s="418"/>
    </row>
    <row r="2448" spans="1:4" s="2" customFormat="1">
      <c r="A2448" s="30" t="s">
        <v>3063</v>
      </c>
      <c r="B2448" s="31" t="s">
        <v>3040</v>
      </c>
      <c r="C2448" s="18"/>
      <c r="D2448" s="418"/>
    </row>
    <row r="2449" spans="1:4" s="2" customFormat="1">
      <c r="A2449" s="55"/>
      <c r="B2449" s="267" t="s">
        <v>1076</v>
      </c>
      <c r="C2449" s="18" t="s">
        <v>1077</v>
      </c>
      <c r="D2449" s="418"/>
    </row>
    <row r="2450" spans="1:4" s="2" customFormat="1">
      <c r="A2450" s="30" t="s">
        <v>3064</v>
      </c>
      <c r="B2450" s="31" t="s">
        <v>3042</v>
      </c>
      <c r="C2450" s="18"/>
      <c r="D2450" s="418"/>
    </row>
    <row r="2451" spans="1:4" s="4" customFormat="1">
      <c r="A2451" s="55"/>
      <c r="B2451" s="267" t="s">
        <v>1076</v>
      </c>
      <c r="C2451" s="18" t="s">
        <v>1077</v>
      </c>
      <c r="D2451" s="418"/>
    </row>
    <row r="2452" spans="1:4" s="2" customFormat="1">
      <c r="A2452" s="30" t="s">
        <v>3065</v>
      </c>
      <c r="B2452" s="31" t="s">
        <v>3066</v>
      </c>
      <c r="C2452" s="18"/>
      <c r="D2452" s="418"/>
    </row>
    <row r="2453" spans="1:4" s="2" customFormat="1">
      <c r="A2453" s="55"/>
      <c r="B2453" s="267" t="s">
        <v>1076</v>
      </c>
      <c r="C2453" s="18" t="s">
        <v>1077</v>
      </c>
      <c r="D2453" s="418"/>
    </row>
    <row r="2454" spans="1:4" s="3" customFormat="1">
      <c r="A2454" s="30" t="s">
        <v>3067</v>
      </c>
      <c r="B2454" s="31" t="s">
        <v>3044</v>
      </c>
      <c r="C2454" s="18"/>
      <c r="D2454" s="418"/>
    </row>
    <row r="2455" spans="1:4" s="2" customFormat="1">
      <c r="A2455" s="55"/>
      <c r="B2455" s="267" t="s">
        <v>1076</v>
      </c>
      <c r="C2455" s="18" t="s">
        <v>1077</v>
      </c>
      <c r="D2455" s="418"/>
    </row>
    <row r="2456" spans="1:4" s="2" customFormat="1">
      <c r="A2456" s="30" t="s">
        <v>3068</v>
      </c>
      <c r="B2456" s="31" t="s">
        <v>3069</v>
      </c>
      <c r="C2456" s="18"/>
      <c r="D2456" s="418"/>
    </row>
    <row r="2457" spans="1:4" s="2" customFormat="1">
      <c r="A2457" s="55"/>
      <c r="B2457" s="267" t="s">
        <v>1076</v>
      </c>
      <c r="C2457" s="18" t="s">
        <v>1077</v>
      </c>
      <c r="D2457" s="418"/>
    </row>
    <row r="2458" spans="1:4" s="2" customFormat="1">
      <c r="A2458" s="30" t="s">
        <v>3070</v>
      </c>
      <c r="B2458" s="31" t="s">
        <v>3071</v>
      </c>
      <c r="C2458" s="18"/>
      <c r="D2458" s="418"/>
    </row>
    <row r="2459" spans="1:4" s="2" customFormat="1">
      <c r="A2459" s="55"/>
      <c r="B2459" s="267" t="s">
        <v>1076</v>
      </c>
      <c r="C2459" s="18" t="s">
        <v>1077</v>
      </c>
      <c r="D2459" s="418"/>
    </row>
    <row r="2460" spans="1:4" s="2" customFormat="1">
      <c r="A2460" s="30" t="s">
        <v>3072</v>
      </c>
      <c r="B2460" s="31" t="s">
        <v>3073</v>
      </c>
      <c r="C2460" s="18"/>
      <c r="D2460" s="418"/>
    </row>
    <row r="2461" spans="1:4" s="2" customFormat="1">
      <c r="A2461" s="55"/>
      <c r="B2461" s="267" t="s">
        <v>1076</v>
      </c>
      <c r="C2461" s="18" t="s">
        <v>1077</v>
      </c>
      <c r="D2461" s="418"/>
    </row>
    <row r="2462" spans="1:4" s="3" customFormat="1">
      <c r="A2462" s="30" t="s">
        <v>3074</v>
      </c>
      <c r="B2462" s="31" t="s">
        <v>3075</v>
      </c>
      <c r="C2462" s="18"/>
      <c r="D2462" s="418"/>
    </row>
    <row r="2463" spans="1:4" s="2" customFormat="1">
      <c r="A2463" s="55"/>
      <c r="B2463" s="267" t="s">
        <v>1076</v>
      </c>
      <c r="C2463" s="18" t="s">
        <v>1077</v>
      </c>
      <c r="D2463" s="418"/>
    </row>
    <row r="2464" spans="1:4" s="2" customFormat="1">
      <c r="A2464" s="30" t="s">
        <v>3076</v>
      </c>
      <c r="B2464" s="31" t="s">
        <v>3077</v>
      </c>
      <c r="C2464" s="18"/>
      <c r="D2464" s="418"/>
    </row>
    <row r="2465" spans="1:4" s="2" customFormat="1">
      <c r="A2465" s="55"/>
      <c r="B2465" s="267" t="s">
        <v>1076</v>
      </c>
      <c r="C2465" s="18" t="s">
        <v>1077</v>
      </c>
      <c r="D2465" s="418"/>
    </row>
    <row r="2466" spans="1:4" s="2" customFormat="1">
      <c r="A2466" s="30" t="s">
        <v>3078</v>
      </c>
      <c r="B2466" s="31" t="s">
        <v>3079</v>
      </c>
      <c r="C2466" s="18"/>
      <c r="D2466" s="418"/>
    </row>
    <row r="2467" spans="1:4" s="2" customFormat="1">
      <c r="A2467" s="55"/>
      <c r="B2467" s="267" t="s">
        <v>1076</v>
      </c>
      <c r="C2467" s="18" t="s">
        <v>1077</v>
      </c>
      <c r="D2467" s="418"/>
    </row>
    <row r="2468" spans="1:4" s="2" customFormat="1">
      <c r="A2468" s="30" t="s">
        <v>3080</v>
      </c>
      <c r="B2468" s="31" t="s">
        <v>3081</v>
      </c>
      <c r="C2468" s="18"/>
      <c r="D2468" s="418"/>
    </row>
    <row r="2469" spans="1:4" s="2" customFormat="1">
      <c r="A2469" s="55"/>
      <c r="B2469" s="267" t="s">
        <v>1076</v>
      </c>
      <c r="C2469" s="18" t="s">
        <v>1077</v>
      </c>
      <c r="D2469" s="418"/>
    </row>
    <row r="2470" spans="1:4" s="2" customFormat="1">
      <c r="A2470" s="30" t="s">
        <v>3082</v>
      </c>
      <c r="B2470" s="31" t="s">
        <v>3083</v>
      </c>
      <c r="C2470" s="18"/>
      <c r="D2470" s="418"/>
    </row>
    <row r="2471" spans="1:4" s="2" customFormat="1">
      <c r="A2471" s="148"/>
      <c r="B2471" s="303" t="s">
        <v>1076</v>
      </c>
      <c r="C2471" s="109" t="s">
        <v>1077</v>
      </c>
      <c r="D2471" s="418"/>
    </row>
    <row r="2472" spans="1:4" s="2" customFormat="1" ht="39.6">
      <c r="A2472" s="22" t="s">
        <v>3084</v>
      </c>
      <c r="B2472" s="50" t="s">
        <v>3085</v>
      </c>
      <c r="C2472" s="45" t="s">
        <v>959</v>
      </c>
      <c r="D2472" s="439"/>
    </row>
    <row r="2473" spans="1:4" s="2" customFormat="1" ht="39.6">
      <c r="A2473" s="111" t="s">
        <v>959</v>
      </c>
      <c r="B2473" s="267" t="s">
        <v>3086</v>
      </c>
      <c r="C2473" s="18" t="s">
        <v>959</v>
      </c>
      <c r="D2473" s="418"/>
    </row>
    <row r="2474" spans="1:4" s="2" customFormat="1">
      <c r="A2474" s="111" t="s">
        <v>959</v>
      </c>
      <c r="B2474" s="267" t="s">
        <v>961</v>
      </c>
      <c r="C2474" s="18" t="s">
        <v>959</v>
      </c>
      <c r="D2474" s="418"/>
    </row>
    <row r="2475" spans="1:4" s="3" customFormat="1">
      <c r="A2475" s="111" t="s">
        <v>959</v>
      </c>
      <c r="B2475" s="267" t="s">
        <v>1542</v>
      </c>
      <c r="C2475" s="18" t="s">
        <v>959</v>
      </c>
      <c r="D2475" s="418"/>
    </row>
    <row r="2476" spans="1:4" s="2" customFormat="1" ht="26.45">
      <c r="A2476" s="111" t="s">
        <v>959</v>
      </c>
      <c r="B2476" s="267" t="s">
        <v>2978</v>
      </c>
      <c r="C2476" s="18" t="s">
        <v>959</v>
      </c>
      <c r="D2476" s="418"/>
    </row>
    <row r="2477" spans="1:4" s="2" customFormat="1" ht="26.45">
      <c r="A2477" s="111" t="s">
        <v>959</v>
      </c>
      <c r="B2477" s="267" t="s">
        <v>3087</v>
      </c>
      <c r="C2477" s="18" t="s">
        <v>959</v>
      </c>
      <c r="D2477" s="418"/>
    </row>
    <row r="2478" spans="1:4" s="2" customFormat="1">
      <c r="A2478" s="111" t="s">
        <v>959</v>
      </c>
      <c r="B2478" s="267" t="s">
        <v>2981</v>
      </c>
      <c r="C2478" s="18" t="s">
        <v>959</v>
      </c>
      <c r="D2478" s="418"/>
    </row>
    <row r="2479" spans="1:4" s="2" customFormat="1">
      <c r="A2479" s="111" t="s">
        <v>959</v>
      </c>
      <c r="B2479" s="267" t="s">
        <v>2982</v>
      </c>
      <c r="C2479" s="18" t="s">
        <v>959</v>
      </c>
      <c r="D2479" s="418"/>
    </row>
    <row r="2480" spans="1:4" s="2" customFormat="1">
      <c r="A2480" s="111" t="s">
        <v>959</v>
      </c>
      <c r="B2480" s="267" t="s">
        <v>3019</v>
      </c>
      <c r="C2480" s="18" t="s">
        <v>959</v>
      </c>
      <c r="D2480" s="418"/>
    </row>
    <row r="2481" spans="1:4" s="2" customFormat="1">
      <c r="A2481" s="30" t="s">
        <v>213</v>
      </c>
      <c r="B2481" s="31" t="s">
        <v>3088</v>
      </c>
      <c r="C2481" s="18"/>
      <c r="D2481" s="418"/>
    </row>
    <row r="2482" spans="1:4" s="4" customFormat="1">
      <c r="A2482" s="55"/>
      <c r="B2482" s="267" t="s">
        <v>1076</v>
      </c>
      <c r="C2482" s="18" t="s">
        <v>1077</v>
      </c>
      <c r="D2482" s="418"/>
    </row>
    <row r="2483" spans="1:4" s="9" customFormat="1">
      <c r="A2483" s="30" t="s">
        <v>214</v>
      </c>
      <c r="B2483" s="31" t="s">
        <v>3089</v>
      </c>
      <c r="C2483" s="18"/>
      <c r="D2483" s="418"/>
    </row>
    <row r="2484" spans="1:4" s="9" customFormat="1">
      <c r="A2484" s="55"/>
      <c r="B2484" s="267" t="s">
        <v>1076</v>
      </c>
      <c r="C2484" s="18" t="s">
        <v>1077</v>
      </c>
      <c r="D2484" s="418"/>
    </row>
    <row r="2485" spans="1:4" s="9" customFormat="1">
      <c r="A2485" s="30" t="s">
        <v>215</v>
      </c>
      <c r="B2485" s="31" t="s">
        <v>3090</v>
      </c>
      <c r="C2485" s="18"/>
      <c r="D2485" s="418"/>
    </row>
    <row r="2486" spans="1:4" s="4" customFormat="1">
      <c r="A2486" s="55"/>
      <c r="B2486" s="267" t="s">
        <v>1076</v>
      </c>
      <c r="C2486" s="18" t="s">
        <v>1077</v>
      </c>
      <c r="D2486" s="418"/>
    </row>
    <row r="2487" spans="1:4" s="4" customFormat="1">
      <c r="A2487" s="30" t="s">
        <v>3091</v>
      </c>
      <c r="B2487" s="31" t="s">
        <v>3092</v>
      </c>
      <c r="C2487" s="18"/>
      <c r="D2487" s="418"/>
    </row>
    <row r="2488" spans="1:4" s="4" customFormat="1">
      <c r="A2488" s="55"/>
      <c r="B2488" s="267" t="s">
        <v>1076</v>
      </c>
      <c r="C2488" s="18" t="s">
        <v>1077</v>
      </c>
      <c r="D2488" s="418"/>
    </row>
    <row r="2489" spans="1:4" s="4" customFormat="1">
      <c r="A2489" s="30" t="s">
        <v>3093</v>
      </c>
      <c r="B2489" s="31" t="s">
        <v>3094</v>
      </c>
      <c r="C2489" s="18"/>
      <c r="D2489" s="418"/>
    </row>
    <row r="2490" spans="1:4" s="4" customFormat="1">
      <c r="A2490" s="55"/>
      <c r="B2490" s="267" t="s">
        <v>1076</v>
      </c>
      <c r="C2490" s="18" t="s">
        <v>1077</v>
      </c>
      <c r="D2490" s="418"/>
    </row>
    <row r="2491" spans="1:4" s="4" customFormat="1">
      <c r="A2491" s="30" t="s">
        <v>3095</v>
      </c>
      <c r="B2491" s="31" t="s">
        <v>3096</v>
      </c>
      <c r="C2491" s="18"/>
      <c r="D2491" s="418"/>
    </row>
    <row r="2492" spans="1:4" s="4" customFormat="1">
      <c r="A2492" s="55"/>
      <c r="B2492" s="267" t="s">
        <v>1076</v>
      </c>
      <c r="C2492" s="18" t="s">
        <v>1077</v>
      </c>
      <c r="D2492" s="418"/>
    </row>
    <row r="2493" spans="1:4" s="4" customFormat="1" ht="39.6">
      <c r="A2493" s="22" t="s">
        <v>3097</v>
      </c>
      <c r="B2493" s="50" t="s">
        <v>3098</v>
      </c>
      <c r="C2493" s="45" t="s">
        <v>959</v>
      </c>
      <c r="D2493" s="439"/>
    </row>
    <row r="2494" spans="1:4" s="4" customFormat="1" ht="39.6">
      <c r="A2494" s="111" t="s">
        <v>959</v>
      </c>
      <c r="B2494" s="267" t="s">
        <v>3099</v>
      </c>
      <c r="C2494" s="18" t="s">
        <v>959</v>
      </c>
      <c r="D2494" s="418"/>
    </row>
    <row r="2495" spans="1:4" s="4" customFormat="1">
      <c r="A2495" s="111" t="s">
        <v>959</v>
      </c>
      <c r="B2495" s="267" t="s">
        <v>961</v>
      </c>
      <c r="C2495" s="18" t="s">
        <v>959</v>
      </c>
      <c r="D2495" s="418"/>
    </row>
    <row r="2496" spans="1:4" s="4" customFormat="1">
      <c r="A2496" s="111" t="s">
        <v>959</v>
      </c>
      <c r="B2496" s="267" t="s">
        <v>1542</v>
      </c>
      <c r="C2496" s="18" t="s">
        <v>959</v>
      </c>
      <c r="D2496" s="418"/>
    </row>
    <row r="2497" spans="1:4" s="9" customFormat="1" ht="26.45">
      <c r="A2497" s="111" t="s">
        <v>959</v>
      </c>
      <c r="B2497" s="267" t="s">
        <v>2978</v>
      </c>
      <c r="C2497" s="18" t="s">
        <v>959</v>
      </c>
      <c r="D2497" s="418"/>
    </row>
    <row r="2498" spans="1:4" s="9" customFormat="1" ht="26.45">
      <c r="A2498" s="111" t="s">
        <v>959</v>
      </c>
      <c r="B2498" s="267" t="s">
        <v>3087</v>
      </c>
      <c r="C2498" s="18" t="s">
        <v>959</v>
      </c>
      <c r="D2498" s="418"/>
    </row>
    <row r="2499" spans="1:4" s="4" customFormat="1">
      <c r="A2499" s="111" t="s">
        <v>959</v>
      </c>
      <c r="B2499" s="267" t="s">
        <v>2981</v>
      </c>
      <c r="C2499" s="18" t="s">
        <v>959</v>
      </c>
      <c r="D2499" s="418"/>
    </row>
    <row r="2500" spans="1:4" s="9" customFormat="1">
      <c r="A2500" s="111" t="s">
        <v>959</v>
      </c>
      <c r="B2500" s="267" t="s">
        <v>2982</v>
      </c>
      <c r="C2500" s="18" t="s">
        <v>959</v>
      </c>
      <c r="D2500" s="418"/>
    </row>
    <row r="2501" spans="1:4" s="9" customFormat="1">
      <c r="A2501" s="30" t="s">
        <v>216</v>
      </c>
      <c r="B2501" s="31" t="s">
        <v>3100</v>
      </c>
      <c r="C2501" s="18"/>
      <c r="D2501" s="418"/>
    </row>
    <row r="2502" spans="1:4" s="9" customFormat="1">
      <c r="A2502" s="55"/>
      <c r="B2502" s="267" t="s">
        <v>1076</v>
      </c>
      <c r="C2502" s="18" t="s">
        <v>1077</v>
      </c>
      <c r="D2502" s="418"/>
    </row>
    <row r="2503" spans="1:4" s="9" customFormat="1">
      <c r="A2503" s="30" t="s">
        <v>217</v>
      </c>
      <c r="B2503" s="31" t="s">
        <v>3101</v>
      </c>
      <c r="C2503" s="18"/>
      <c r="D2503" s="418"/>
    </row>
    <row r="2504" spans="1:4" s="9" customFormat="1">
      <c r="A2504" s="55"/>
      <c r="B2504" s="267" t="s">
        <v>1076</v>
      </c>
      <c r="C2504" s="18" t="s">
        <v>1077</v>
      </c>
      <c r="D2504" s="418"/>
    </row>
    <row r="2505" spans="1:4" s="9" customFormat="1">
      <c r="A2505" s="30" t="s">
        <v>218</v>
      </c>
      <c r="B2505" s="31" t="s">
        <v>3102</v>
      </c>
      <c r="C2505" s="18"/>
      <c r="D2505" s="418"/>
    </row>
    <row r="2506" spans="1:4" s="3" customFormat="1">
      <c r="A2506" s="55"/>
      <c r="B2506" s="267" t="s">
        <v>1076</v>
      </c>
      <c r="C2506" s="18" t="s">
        <v>1077</v>
      </c>
      <c r="D2506" s="418"/>
    </row>
    <row r="2507" spans="1:4" s="3" customFormat="1">
      <c r="A2507" s="30" t="s">
        <v>3103</v>
      </c>
      <c r="B2507" s="31" t="s">
        <v>3104</v>
      </c>
      <c r="C2507" s="18"/>
      <c r="D2507" s="418"/>
    </row>
    <row r="2508" spans="1:4" s="3" customFormat="1">
      <c r="A2508" s="55"/>
      <c r="B2508" s="267" t="s">
        <v>1076</v>
      </c>
      <c r="C2508" s="18" t="s">
        <v>1077</v>
      </c>
      <c r="D2508" s="418"/>
    </row>
    <row r="2509" spans="1:4" s="3" customFormat="1">
      <c r="A2509" s="30" t="s">
        <v>3105</v>
      </c>
      <c r="B2509" s="31" t="s">
        <v>3106</v>
      </c>
      <c r="C2509" s="18"/>
      <c r="D2509" s="418"/>
    </row>
    <row r="2510" spans="1:4" s="3" customFormat="1">
      <c r="A2510" s="55"/>
      <c r="B2510" s="267" t="s">
        <v>1076</v>
      </c>
      <c r="C2510" s="18" t="s">
        <v>1077</v>
      </c>
      <c r="D2510" s="418"/>
    </row>
    <row r="2511" spans="1:4" s="3" customFormat="1">
      <c r="A2511" s="30" t="s">
        <v>3107</v>
      </c>
      <c r="B2511" s="31" t="s">
        <v>3108</v>
      </c>
      <c r="C2511" s="18"/>
      <c r="D2511" s="418"/>
    </row>
    <row r="2512" spans="1:4" s="2" customFormat="1">
      <c r="A2512" s="148"/>
      <c r="B2512" s="303" t="s">
        <v>1076</v>
      </c>
      <c r="C2512" s="109" t="s">
        <v>1077</v>
      </c>
      <c r="D2512" s="418"/>
    </row>
    <row r="2513" spans="1:4" s="2" customFormat="1" ht="26.45">
      <c r="A2513" s="149" t="s">
        <v>3109</v>
      </c>
      <c r="B2513" s="150" t="s">
        <v>3110</v>
      </c>
      <c r="C2513" s="151" t="s">
        <v>959</v>
      </c>
      <c r="D2513" s="441"/>
    </row>
    <row r="2514" spans="1:4" s="2" customFormat="1" ht="26.45">
      <c r="A2514" s="111" t="s">
        <v>959</v>
      </c>
      <c r="B2514" s="267" t="s">
        <v>3111</v>
      </c>
      <c r="C2514" s="18" t="s">
        <v>959</v>
      </c>
      <c r="D2514" s="418"/>
    </row>
    <row r="2515" spans="1:4" s="2" customFormat="1">
      <c r="A2515" s="111" t="s">
        <v>959</v>
      </c>
      <c r="B2515" s="267" t="s">
        <v>961</v>
      </c>
      <c r="C2515" s="18" t="s">
        <v>959</v>
      </c>
      <c r="D2515" s="418"/>
    </row>
    <row r="2516" spans="1:4" s="2" customFormat="1">
      <c r="A2516" s="111" t="s">
        <v>959</v>
      </c>
      <c r="B2516" s="267" t="s">
        <v>1542</v>
      </c>
      <c r="C2516" s="18" t="s">
        <v>959</v>
      </c>
      <c r="D2516" s="418"/>
    </row>
    <row r="2517" spans="1:4" s="2" customFormat="1" ht="26.45">
      <c r="A2517" s="111" t="s">
        <v>959</v>
      </c>
      <c r="B2517" s="267" t="s">
        <v>2978</v>
      </c>
      <c r="C2517" s="18" t="s">
        <v>959</v>
      </c>
      <c r="D2517" s="418"/>
    </row>
    <row r="2518" spans="1:4" s="2" customFormat="1" ht="26.45">
      <c r="A2518" s="111" t="s">
        <v>959</v>
      </c>
      <c r="B2518" s="267" t="s">
        <v>3087</v>
      </c>
      <c r="C2518" s="18" t="s">
        <v>959</v>
      </c>
      <c r="D2518" s="418"/>
    </row>
    <row r="2519" spans="1:4" s="2" customFormat="1">
      <c r="A2519" s="111" t="s">
        <v>959</v>
      </c>
      <c r="B2519" s="267" t="s">
        <v>2981</v>
      </c>
      <c r="C2519" s="18" t="s">
        <v>959</v>
      </c>
      <c r="D2519" s="418"/>
    </row>
    <row r="2520" spans="1:4" s="2" customFormat="1">
      <c r="A2520" s="111" t="s">
        <v>959</v>
      </c>
      <c r="B2520" s="267" t="s">
        <v>2982</v>
      </c>
      <c r="C2520" s="18" t="s">
        <v>959</v>
      </c>
      <c r="D2520" s="418"/>
    </row>
    <row r="2521" spans="1:4" s="3" customFormat="1">
      <c r="A2521" s="30" t="s">
        <v>219</v>
      </c>
      <c r="B2521" s="31" t="s">
        <v>3112</v>
      </c>
      <c r="C2521" s="18"/>
      <c r="D2521" s="418"/>
    </row>
    <row r="2522" spans="1:4" s="3" customFormat="1">
      <c r="A2522" s="55"/>
      <c r="B2522" s="267" t="s">
        <v>1076</v>
      </c>
      <c r="C2522" s="18" t="s">
        <v>1077</v>
      </c>
      <c r="D2522" s="418"/>
    </row>
    <row r="2523" spans="1:4" s="3" customFormat="1">
      <c r="A2523" s="30" t="s">
        <v>220</v>
      </c>
      <c r="B2523" s="31" t="s">
        <v>3113</v>
      </c>
      <c r="C2523" s="18"/>
      <c r="D2523" s="418"/>
    </row>
    <row r="2524" spans="1:4" s="3" customFormat="1">
      <c r="A2524" s="55"/>
      <c r="B2524" s="267" t="s">
        <v>1076</v>
      </c>
      <c r="C2524" s="18" t="s">
        <v>1077</v>
      </c>
      <c r="D2524" s="418"/>
    </row>
    <row r="2525" spans="1:4" s="3" customFormat="1">
      <c r="A2525" s="30" t="s">
        <v>221</v>
      </c>
      <c r="B2525" s="31" t="s">
        <v>3114</v>
      </c>
      <c r="C2525" s="18"/>
      <c r="D2525" s="418"/>
    </row>
    <row r="2526" spans="1:4" s="3" customFormat="1">
      <c r="A2526" s="55"/>
      <c r="B2526" s="267" t="s">
        <v>1076</v>
      </c>
      <c r="C2526" s="18" t="s">
        <v>1077</v>
      </c>
      <c r="D2526" s="418"/>
    </row>
    <row r="2527" spans="1:4" s="3" customFormat="1">
      <c r="A2527" s="30" t="s">
        <v>3115</v>
      </c>
      <c r="B2527" s="31" t="s">
        <v>3116</v>
      </c>
      <c r="C2527" s="18"/>
      <c r="D2527" s="418"/>
    </row>
    <row r="2528" spans="1:4" s="3" customFormat="1">
      <c r="A2528" s="55"/>
      <c r="B2528" s="267" t="s">
        <v>1076</v>
      </c>
      <c r="C2528" s="18" t="s">
        <v>1077</v>
      </c>
      <c r="D2528" s="418"/>
    </row>
    <row r="2529" spans="1:4" s="2" customFormat="1" ht="26.45">
      <c r="A2529" s="22" t="s">
        <v>3117</v>
      </c>
      <c r="B2529" s="50" t="s">
        <v>3118</v>
      </c>
      <c r="C2529" s="45" t="s">
        <v>959</v>
      </c>
      <c r="D2529" s="439"/>
    </row>
    <row r="2530" spans="1:4" s="2" customFormat="1" ht="26.45">
      <c r="A2530" s="111" t="s">
        <v>959</v>
      </c>
      <c r="B2530" s="267" t="s">
        <v>3119</v>
      </c>
      <c r="C2530" s="18" t="s">
        <v>959</v>
      </c>
      <c r="D2530" s="418"/>
    </row>
    <row r="2531" spans="1:4" s="3" customFormat="1">
      <c r="A2531" s="111" t="s">
        <v>959</v>
      </c>
      <c r="B2531" s="267" t="s">
        <v>961</v>
      </c>
      <c r="C2531" s="18" t="s">
        <v>959</v>
      </c>
      <c r="D2531" s="418"/>
    </row>
    <row r="2532" spans="1:4" s="3" customFormat="1">
      <c r="A2532" s="111" t="s">
        <v>959</v>
      </c>
      <c r="B2532" s="267" t="s">
        <v>1542</v>
      </c>
      <c r="C2532" s="18" t="s">
        <v>959</v>
      </c>
      <c r="D2532" s="418"/>
    </row>
    <row r="2533" spans="1:4" s="3" customFormat="1" ht="26.45">
      <c r="A2533" s="111" t="s">
        <v>959</v>
      </c>
      <c r="B2533" s="267" t="s">
        <v>2978</v>
      </c>
      <c r="C2533" s="18" t="s">
        <v>959</v>
      </c>
      <c r="D2533" s="418"/>
    </row>
    <row r="2534" spans="1:4" s="3" customFormat="1" ht="26.45">
      <c r="A2534" s="111" t="s">
        <v>959</v>
      </c>
      <c r="B2534" s="267" t="s">
        <v>3087</v>
      </c>
      <c r="C2534" s="18" t="s">
        <v>959</v>
      </c>
      <c r="D2534" s="418"/>
    </row>
    <row r="2535" spans="1:4" s="3" customFormat="1">
      <c r="A2535" s="111" t="s">
        <v>959</v>
      </c>
      <c r="B2535" s="267" t="s">
        <v>2981</v>
      </c>
      <c r="C2535" s="18" t="s">
        <v>959</v>
      </c>
      <c r="D2535" s="418"/>
    </row>
    <row r="2536" spans="1:4" s="3" customFormat="1">
      <c r="A2536" s="111" t="s">
        <v>959</v>
      </c>
      <c r="B2536" s="267" t="s">
        <v>2982</v>
      </c>
      <c r="C2536" s="18" t="s">
        <v>959</v>
      </c>
      <c r="D2536" s="418"/>
    </row>
    <row r="2537" spans="1:4" s="3" customFormat="1">
      <c r="A2537" s="30" t="s">
        <v>222</v>
      </c>
      <c r="B2537" s="31" t="s">
        <v>3120</v>
      </c>
      <c r="C2537" s="18"/>
      <c r="D2537" s="418"/>
    </row>
    <row r="2538" spans="1:4" s="3" customFormat="1">
      <c r="A2538" s="55"/>
      <c r="B2538" s="267" t="s">
        <v>1076</v>
      </c>
      <c r="C2538" s="18" t="s">
        <v>1077</v>
      </c>
      <c r="D2538" s="418"/>
    </row>
    <row r="2539" spans="1:4" s="2" customFormat="1">
      <c r="A2539" s="30" t="s">
        <v>223</v>
      </c>
      <c r="B2539" s="31" t="s">
        <v>3121</v>
      </c>
      <c r="C2539" s="18"/>
      <c r="D2539" s="418"/>
    </row>
    <row r="2540" spans="1:4" s="2" customFormat="1">
      <c r="A2540" s="55"/>
      <c r="B2540" s="267" t="s">
        <v>1076</v>
      </c>
      <c r="C2540" s="18" t="s">
        <v>1077</v>
      </c>
      <c r="D2540" s="418"/>
    </row>
    <row r="2541" spans="1:4" s="3" customFormat="1">
      <c r="A2541" s="30" t="s">
        <v>224</v>
      </c>
      <c r="B2541" s="31" t="s">
        <v>3122</v>
      </c>
      <c r="C2541" s="18"/>
      <c r="D2541" s="418"/>
    </row>
    <row r="2542" spans="1:4" s="3" customFormat="1">
      <c r="A2542" s="55"/>
      <c r="B2542" s="267" t="s">
        <v>1076</v>
      </c>
      <c r="C2542" s="18" t="s">
        <v>1077</v>
      </c>
      <c r="D2542" s="418"/>
    </row>
    <row r="2543" spans="1:4" s="3" customFormat="1">
      <c r="A2543" s="30" t="s">
        <v>3123</v>
      </c>
      <c r="B2543" s="31" t="s">
        <v>3124</v>
      </c>
      <c r="C2543" s="18"/>
      <c r="D2543" s="418"/>
    </row>
    <row r="2544" spans="1:4" s="3" customFormat="1">
      <c r="A2544" s="55"/>
      <c r="B2544" s="267" t="s">
        <v>1076</v>
      </c>
      <c r="C2544" s="18" t="s">
        <v>1077</v>
      </c>
      <c r="D2544" s="418"/>
    </row>
    <row r="2545" spans="1:4" s="3" customFormat="1">
      <c r="A2545" s="30" t="s">
        <v>3125</v>
      </c>
      <c r="B2545" s="31" t="s">
        <v>3126</v>
      </c>
      <c r="C2545" s="18"/>
      <c r="D2545" s="418"/>
    </row>
    <row r="2546" spans="1:4" s="3" customFormat="1">
      <c r="A2546" s="55"/>
      <c r="B2546" s="267" t="s">
        <v>1076</v>
      </c>
      <c r="C2546" s="18" t="s">
        <v>1077</v>
      </c>
      <c r="D2546" s="418"/>
    </row>
    <row r="2547" spans="1:4" s="3" customFormat="1">
      <c r="A2547" s="30" t="s">
        <v>3127</v>
      </c>
      <c r="B2547" s="31" t="s">
        <v>3128</v>
      </c>
      <c r="C2547" s="18"/>
      <c r="D2547" s="418"/>
    </row>
    <row r="2548" spans="1:4" s="3" customFormat="1">
      <c r="A2548" s="55"/>
      <c r="B2548" s="267" t="s">
        <v>1076</v>
      </c>
      <c r="C2548" s="18" t="s">
        <v>1077</v>
      </c>
      <c r="D2548" s="418"/>
    </row>
    <row r="2549" spans="1:4" s="2" customFormat="1">
      <c r="A2549" s="22" t="s">
        <v>225</v>
      </c>
      <c r="B2549" s="50" t="s">
        <v>3129</v>
      </c>
      <c r="C2549" s="45" t="s">
        <v>959</v>
      </c>
      <c r="D2549" s="439"/>
    </row>
    <row r="2550" spans="1:4" s="2" customFormat="1">
      <c r="A2550" s="111" t="s">
        <v>959</v>
      </c>
      <c r="B2550" s="267" t="s">
        <v>3130</v>
      </c>
      <c r="C2550" s="18" t="s">
        <v>959</v>
      </c>
      <c r="D2550" s="418"/>
    </row>
    <row r="2551" spans="1:4" s="3" customFormat="1">
      <c r="A2551" s="111" t="s">
        <v>959</v>
      </c>
      <c r="B2551" s="267" t="s">
        <v>1150</v>
      </c>
      <c r="C2551" s="18" t="s">
        <v>959</v>
      </c>
      <c r="D2551" s="418"/>
    </row>
    <row r="2552" spans="1:4" s="3" customFormat="1">
      <c r="A2552" s="111" t="s">
        <v>959</v>
      </c>
      <c r="B2552" s="267" t="s">
        <v>1542</v>
      </c>
      <c r="C2552" s="18" t="s">
        <v>959</v>
      </c>
      <c r="D2552" s="418"/>
    </row>
    <row r="2553" spans="1:4" s="3" customFormat="1">
      <c r="A2553" s="111" t="s">
        <v>959</v>
      </c>
      <c r="B2553" s="267" t="s">
        <v>3131</v>
      </c>
      <c r="C2553" s="18" t="s">
        <v>959</v>
      </c>
      <c r="D2553" s="418"/>
    </row>
    <row r="2554" spans="1:4" s="3" customFormat="1">
      <c r="A2554" s="111" t="s">
        <v>959</v>
      </c>
      <c r="B2554" s="267" t="s">
        <v>3132</v>
      </c>
      <c r="C2554" s="18" t="s">
        <v>959</v>
      </c>
      <c r="D2554" s="418"/>
    </row>
    <row r="2555" spans="1:4" s="3" customFormat="1" ht="26.45">
      <c r="A2555" s="111" t="s">
        <v>959</v>
      </c>
      <c r="B2555" s="267" t="s">
        <v>3133</v>
      </c>
      <c r="C2555" s="18" t="s">
        <v>959</v>
      </c>
      <c r="D2555" s="418"/>
    </row>
    <row r="2556" spans="1:4" s="3" customFormat="1" ht="13.9">
      <c r="A2556" s="30" t="s">
        <v>3134</v>
      </c>
      <c r="B2556" s="31" t="s">
        <v>3135</v>
      </c>
      <c r="C2556" s="18"/>
      <c r="D2556" s="418"/>
    </row>
    <row r="2557" spans="1:4" s="3" customFormat="1">
      <c r="A2557" s="55"/>
      <c r="B2557" s="267" t="s">
        <v>1028</v>
      </c>
      <c r="C2557" s="18" t="s">
        <v>1029</v>
      </c>
      <c r="D2557" s="418"/>
    </row>
    <row r="2558" spans="1:4" s="3" customFormat="1">
      <c r="A2558" s="30" t="s">
        <v>3136</v>
      </c>
      <c r="B2558" s="31" t="s">
        <v>3137</v>
      </c>
      <c r="C2558" s="18"/>
      <c r="D2558" s="418"/>
    </row>
    <row r="2559" spans="1:4" s="3" customFormat="1">
      <c r="A2559" s="55"/>
      <c r="B2559" s="267" t="s">
        <v>1028</v>
      </c>
      <c r="C2559" s="18" t="s">
        <v>1029</v>
      </c>
      <c r="D2559" s="418"/>
    </row>
    <row r="2560" spans="1:4" s="3" customFormat="1">
      <c r="A2560" s="30" t="s">
        <v>3138</v>
      </c>
      <c r="B2560" s="31" t="s">
        <v>3139</v>
      </c>
      <c r="C2560" s="18"/>
      <c r="D2560" s="418"/>
    </row>
    <row r="2561" spans="1:4" s="3" customFormat="1">
      <c r="A2561" s="55"/>
      <c r="B2561" s="267" t="s">
        <v>1028</v>
      </c>
      <c r="C2561" s="18" t="s">
        <v>1029</v>
      </c>
      <c r="D2561" s="418"/>
    </row>
    <row r="2562" spans="1:4" s="3" customFormat="1">
      <c r="A2562" s="30" t="s">
        <v>3140</v>
      </c>
      <c r="B2562" s="31" t="s">
        <v>3141</v>
      </c>
      <c r="C2562" s="18"/>
      <c r="D2562" s="418"/>
    </row>
    <row r="2563" spans="1:4" s="3" customFormat="1">
      <c r="A2563" s="55"/>
      <c r="B2563" s="267" t="s">
        <v>1028</v>
      </c>
      <c r="C2563" s="18" t="s">
        <v>1029</v>
      </c>
      <c r="D2563" s="418"/>
    </row>
    <row r="2564" spans="1:4" s="3" customFormat="1">
      <c r="A2564" s="30" t="s">
        <v>3142</v>
      </c>
      <c r="B2564" s="31" t="s">
        <v>3143</v>
      </c>
      <c r="C2564" s="18"/>
      <c r="D2564" s="418"/>
    </row>
    <row r="2565" spans="1:4" s="3" customFormat="1">
      <c r="A2565" s="55"/>
      <c r="B2565" s="267" t="s">
        <v>1028</v>
      </c>
      <c r="C2565" s="18" t="s">
        <v>1029</v>
      </c>
      <c r="D2565" s="418"/>
    </row>
    <row r="2566" spans="1:4" s="3" customFormat="1">
      <c r="A2566" s="30" t="s">
        <v>3144</v>
      </c>
      <c r="B2566" s="31" t="s">
        <v>3145</v>
      </c>
      <c r="C2566" s="18"/>
      <c r="D2566" s="418"/>
    </row>
    <row r="2567" spans="1:4" s="2" customFormat="1">
      <c r="A2567" s="55"/>
      <c r="B2567" s="267" t="s">
        <v>1028</v>
      </c>
      <c r="C2567" s="18" t="s">
        <v>1029</v>
      </c>
      <c r="D2567" s="418"/>
    </row>
    <row r="2568" spans="1:4" s="2" customFormat="1">
      <c r="A2568" s="30" t="s">
        <v>3146</v>
      </c>
      <c r="B2568" s="31" t="s">
        <v>3147</v>
      </c>
      <c r="C2568" s="18"/>
      <c r="D2568" s="418"/>
    </row>
    <row r="2569" spans="1:4" s="3" customFormat="1">
      <c r="A2569" s="148"/>
      <c r="B2569" s="303" t="s">
        <v>1028</v>
      </c>
      <c r="C2569" s="109" t="s">
        <v>1029</v>
      </c>
      <c r="D2569" s="418"/>
    </row>
    <row r="2570" spans="1:4" s="3" customFormat="1">
      <c r="A2570" s="22" t="s">
        <v>3148</v>
      </c>
      <c r="B2570" s="50" t="s">
        <v>3149</v>
      </c>
      <c r="C2570" s="45"/>
      <c r="D2570" s="439"/>
    </row>
    <row r="2571" spans="1:4" s="3" customFormat="1" ht="26.45">
      <c r="A2571" s="30"/>
      <c r="B2571" s="267" t="s">
        <v>3150</v>
      </c>
      <c r="C2571" s="18"/>
      <c r="D2571" s="418"/>
    </row>
    <row r="2572" spans="1:4" s="3" customFormat="1">
      <c r="A2572" s="30"/>
      <c r="B2572" s="267" t="s">
        <v>2679</v>
      </c>
      <c r="C2572" s="18"/>
      <c r="D2572" s="418"/>
    </row>
    <row r="2573" spans="1:4" s="3" customFormat="1" ht="26.45">
      <c r="A2573" s="30"/>
      <c r="B2573" s="267" t="s">
        <v>3151</v>
      </c>
      <c r="C2573" s="18"/>
      <c r="D2573" s="418"/>
    </row>
    <row r="2574" spans="1:4" s="3" customFormat="1" ht="26.45">
      <c r="A2574" s="30"/>
      <c r="B2574" s="267" t="s">
        <v>3152</v>
      </c>
      <c r="C2574" s="18"/>
      <c r="D2574" s="418"/>
    </row>
    <row r="2575" spans="1:4" s="3" customFormat="1" ht="39.6">
      <c r="A2575" s="30"/>
      <c r="B2575" s="267" t="s">
        <v>3153</v>
      </c>
      <c r="C2575" s="18"/>
      <c r="D2575" s="418"/>
    </row>
    <row r="2576" spans="1:4" s="3" customFormat="1" ht="26.45">
      <c r="A2576" s="30"/>
      <c r="B2576" s="267" t="s">
        <v>3154</v>
      </c>
      <c r="C2576" s="18"/>
      <c r="D2576" s="418"/>
    </row>
    <row r="2577" spans="1:4" s="3" customFormat="1">
      <c r="A2577" s="30"/>
      <c r="B2577" s="267" t="s">
        <v>3155</v>
      </c>
      <c r="C2577" s="18"/>
      <c r="D2577" s="418"/>
    </row>
    <row r="2578" spans="1:4" s="3" customFormat="1">
      <c r="A2578" s="115" t="s">
        <v>226</v>
      </c>
      <c r="B2578" s="31" t="s">
        <v>3156</v>
      </c>
      <c r="C2578" s="18"/>
      <c r="D2578" s="418"/>
    </row>
    <row r="2579" spans="1:4" s="3" customFormat="1">
      <c r="A2579" s="132"/>
      <c r="B2579" s="267" t="s">
        <v>1076</v>
      </c>
      <c r="C2579" s="18" t="s">
        <v>1077</v>
      </c>
      <c r="D2579" s="418"/>
    </row>
    <row r="2580" spans="1:4" s="3" customFormat="1">
      <c r="A2580" s="286"/>
      <c r="B2580" s="267" t="s">
        <v>3155</v>
      </c>
      <c r="C2580" s="18"/>
      <c r="D2580" s="418"/>
    </row>
    <row r="2581" spans="1:4" s="3" customFormat="1">
      <c r="A2581" s="115" t="s">
        <v>227</v>
      </c>
      <c r="B2581" s="31" t="s">
        <v>3157</v>
      </c>
      <c r="C2581" s="18"/>
      <c r="D2581" s="418"/>
    </row>
    <row r="2582" spans="1:4" s="3" customFormat="1">
      <c r="A2582" s="132"/>
      <c r="B2582" s="267" t="s">
        <v>1076</v>
      </c>
      <c r="C2582" s="18" t="s">
        <v>1077</v>
      </c>
      <c r="D2582" s="418"/>
    </row>
    <row r="2583" spans="1:4" s="3" customFormat="1">
      <c r="A2583" s="22" t="s">
        <v>228</v>
      </c>
      <c r="B2583" s="50" t="s">
        <v>3158</v>
      </c>
      <c r="C2583" s="45"/>
      <c r="D2583" s="439"/>
    </row>
    <row r="2584" spans="1:4" s="3" customFormat="1" ht="26.45">
      <c r="A2584" s="111"/>
      <c r="B2584" s="267" t="s">
        <v>3159</v>
      </c>
      <c r="C2584" s="18"/>
      <c r="D2584" s="418"/>
    </row>
    <row r="2585" spans="1:4" s="3" customFormat="1">
      <c r="A2585" s="111"/>
      <c r="B2585" s="267" t="s">
        <v>2679</v>
      </c>
      <c r="C2585" s="18"/>
      <c r="D2585" s="418"/>
    </row>
    <row r="2586" spans="1:4" s="3" customFormat="1" ht="26.45">
      <c r="A2586" s="111"/>
      <c r="B2586" s="147" t="s">
        <v>3160</v>
      </c>
      <c r="C2586" s="18"/>
      <c r="D2586" s="418"/>
    </row>
    <row r="2587" spans="1:4" s="3" customFormat="1" ht="26.45">
      <c r="A2587" s="111"/>
      <c r="B2587" s="147" t="s">
        <v>3161</v>
      </c>
      <c r="C2587" s="18"/>
      <c r="D2587" s="418"/>
    </row>
    <row r="2588" spans="1:4" s="3" customFormat="1" ht="26.45">
      <c r="A2588" s="111"/>
      <c r="B2588" s="147" t="s">
        <v>3162</v>
      </c>
      <c r="C2588" s="18"/>
      <c r="D2588" s="418"/>
    </row>
    <row r="2589" spans="1:4" s="3" customFormat="1">
      <c r="A2589" s="111"/>
      <c r="B2589" s="267" t="s">
        <v>3163</v>
      </c>
      <c r="C2589" s="18"/>
      <c r="D2589" s="418"/>
    </row>
    <row r="2590" spans="1:4" s="3" customFormat="1">
      <c r="A2590" s="30" t="s">
        <v>3164</v>
      </c>
      <c r="B2590" s="31" t="s">
        <v>3165</v>
      </c>
      <c r="C2590" s="18"/>
      <c r="D2590" s="418"/>
    </row>
    <row r="2591" spans="1:4" s="4" customFormat="1">
      <c r="A2591" s="55"/>
      <c r="B2591" s="267" t="s">
        <v>1028</v>
      </c>
      <c r="C2591" s="18" t="s">
        <v>1029</v>
      </c>
      <c r="D2591" s="418"/>
    </row>
    <row r="2592" spans="1:4" s="9" customFormat="1">
      <c r="A2592" s="30" t="s">
        <v>3166</v>
      </c>
      <c r="B2592" s="31" t="s">
        <v>3167</v>
      </c>
      <c r="C2592" s="18"/>
      <c r="D2592" s="418"/>
    </row>
    <row r="2593" spans="1:4" s="9" customFormat="1">
      <c r="A2593" s="55"/>
      <c r="B2593" s="267" t="s">
        <v>1028</v>
      </c>
      <c r="C2593" s="18" t="s">
        <v>1029</v>
      </c>
      <c r="D2593" s="418"/>
    </row>
    <row r="2594" spans="1:4" s="2" customFormat="1">
      <c r="A2594" s="30" t="s">
        <v>3168</v>
      </c>
      <c r="B2594" s="31" t="s">
        <v>3169</v>
      </c>
      <c r="C2594" s="18"/>
      <c r="D2594" s="418"/>
    </row>
    <row r="2595" spans="1:4" s="2" customFormat="1">
      <c r="A2595" s="55"/>
      <c r="B2595" s="267" t="s">
        <v>1028</v>
      </c>
      <c r="C2595" s="18" t="s">
        <v>1029</v>
      </c>
      <c r="D2595" s="418"/>
    </row>
    <row r="2596" spans="1:4" s="2" customFormat="1">
      <c r="A2596" s="30" t="s">
        <v>3170</v>
      </c>
      <c r="B2596" s="31" t="s">
        <v>3171</v>
      </c>
      <c r="C2596" s="18"/>
      <c r="D2596" s="418"/>
    </row>
    <row r="2597" spans="1:4" s="2" customFormat="1">
      <c r="A2597" s="55"/>
      <c r="B2597" s="267" t="s">
        <v>1028</v>
      </c>
      <c r="C2597" s="18" t="s">
        <v>1029</v>
      </c>
      <c r="D2597" s="418"/>
    </row>
    <row r="2598" spans="1:4" s="2" customFormat="1">
      <c r="A2598" s="22" t="s">
        <v>229</v>
      </c>
      <c r="B2598" s="50" t="s">
        <v>3172</v>
      </c>
      <c r="C2598" s="45"/>
      <c r="D2598" s="439"/>
    </row>
    <row r="2599" spans="1:4" s="2" customFormat="1" ht="92.45">
      <c r="A2599" s="55"/>
      <c r="B2599" s="267" t="s">
        <v>3173</v>
      </c>
      <c r="C2599" s="18"/>
      <c r="D2599" s="418"/>
    </row>
    <row r="2600" spans="1:4" s="2" customFormat="1">
      <c r="A2600" s="30" t="s">
        <v>3174</v>
      </c>
      <c r="B2600" s="31" t="s">
        <v>3165</v>
      </c>
      <c r="C2600" s="18"/>
      <c r="D2600" s="418"/>
    </row>
    <row r="2601" spans="1:4" s="2" customFormat="1">
      <c r="A2601" s="30"/>
      <c r="B2601" s="267" t="s">
        <v>1028</v>
      </c>
      <c r="C2601" s="18" t="s">
        <v>1029</v>
      </c>
      <c r="D2601" s="418"/>
    </row>
    <row r="2602" spans="1:4" s="2" customFormat="1">
      <c r="A2602" s="30" t="s">
        <v>3175</v>
      </c>
      <c r="B2602" s="31" t="s">
        <v>3167</v>
      </c>
      <c r="C2602" s="18"/>
      <c r="D2602" s="418"/>
    </row>
    <row r="2603" spans="1:4" s="2" customFormat="1">
      <c r="A2603" s="30"/>
      <c r="B2603" s="267" t="s">
        <v>1028</v>
      </c>
      <c r="C2603" s="18" t="s">
        <v>1029</v>
      </c>
      <c r="D2603" s="418"/>
    </row>
    <row r="2604" spans="1:4" s="2" customFormat="1">
      <c r="A2604" s="30" t="s">
        <v>3176</v>
      </c>
      <c r="B2604" s="31" t="s">
        <v>3169</v>
      </c>
      <c r="C2604" s="18"/>
      <c r="D2604" s="418"/>
    </row>
    <row r="2605" spans="1:4" s="2" customFormat="1">
      <c r="A2605" s="30"/>
      <c r="B2605" s="267" t="s">
        <v>1231</v>
      </c>
      <c r="C2605" s="18" t="s">
        <v>1262</v>
      </c>
      <c r="D2605" s="418"/>
    </row>
    <row r="2606" spans="1:4" s="2" customFormat="1" ht="26.45">
      <c r="A2606" s="22" t="s">
        <v>230</v>
      </c>
      <c r="B2606" s="50" t="s">
        <v>3177</v>
      </c>
      <c r="C2606" s="45" t="s">
        <v>959</v>
      </c>
      <c r="D2606" s="439"/>
    </row>
    <row r="2607" spans="1:4" s="2" customFormat="1" ht="26.45">
      <c r="A2607" s="111" t="s">
        <v>959</v>
      </c>
      <c r="B2607" s="267" t="s">
        <v>3178</v>
      </c>
      <c r="C2607" s="18" t="s">
        <v>959</v>
      </c>
      <c r="D2607" s="418"/>
    </row>
    <row r="2608" spans="1:4" s="2" customFormat="1">
      <c r="A2608" s="111" t="s">
        <v>959</v>
      </c>
      <c r="B2608" s="267" t="s">
        <v>1150</v>
      </c>
      <c r="C2608" s="18" t="s">
        <v>959</v>
      </c>
      <c r="D2608" s="418"/>
    </row>
    <row r="2609" spans="1:4" s="2" customFormat="1">
      <c r="A2609" s="111" t="s">
        <v>959</v>
      </c>
      <c r="B2609" s="267" t="s">
        <v>1542</v>
      </c>
      <c r="C2609" s="18" t="s">
        <v>959</v>
      </c>
      <c r="D2609" s="418"/>
    </row>
    <row r="2610" spans="1:4" s="2" customFormat="1">
      <c r="A2610" s="111" t="s">
        <v>959</v>
      </c>
      <c r="B2610" s="267" t="s">
        <v>3179</v>
      </c>
      <c r="C2610" s="18" t="s">
        <v>959</v>
      </c>
      <c r="D2610" s="418"/>
    </row>
    <row r="2611" spans="1:4" s="2" customFormat="1" ht="26.45">
      <c r="A2611" s="111" t="s">
        <v>959</v>
      </c>
      <c r="B2611" s="267" t="s">
        <v>3180</v>
      </c>
      <c r="C2611" s="18" t="s">
        <v>959</v>
      </c>
      <c r="D2611" s="418"/>
    </row>
    <row r="2612" spans="1:4" s="2" customFormat="1" ht="26.45">
      <c r="A2612" s="111" t="s">
        <v>959</v>
      </c>
      <c r="B2612" s="267" t="s">
        <v>3181</v>
      </c>
      <c r="C2612" s="18" t="s">
        <v>959</v>
      </c>
      <c r="D2612" s="418"/>
    </row>
    <row r="2613" spans="1:4" s="3" customFormat="1">
      <c r="A2613" s="111"/>
      <c r="B2613" s="267" t="s">
        <v>2980</v>
      </c>
      <c r="C2613" s="18"/>
      <c r="D2613" s="418"/>
    </row>
    <row r="2614" spans="1:4" s="3" customFormat="1">
      <c r="A2614" s="111"/>
      <c r="B2614" s="267" t="s">
        <v>3182</v>
      </c>
      <c r="C2614" s="18"/>
      <c r="D2614" s="418"/>
    </row>
    <row r="2615" spans="1:4" s="3" customFormat="1">
      <c r="A2615" s="30" t="s">
        <v>3183</v>
      </c>
      <c r="B2615" s="31" t="s">
        <v>3184</v>
      </c>
      <c r="C2615" s="18"/>
      <c r="D2615" s="418"/>
    </row>
    <row r="2616" spans="1:4" s="3" customFormat="1">
      <c r="A2616" s="55"/>
      <c r="B2616" s="267" t="s">
        <v>1076</v>
      </c>
      <c r="C2616" s="18" t="s">
        <v>1077</v>
      </c>
      <c r="D2616" s="418"/>
    </row>
    <row r="2617" spans="1:4" s="3" customFormat="1">
      <c r="A2617" s="30" t="s">
        <v>3185</v>
      </c>
      <c r="B2617" s="31" t="s">
        <v>3186</v>
      </c>
      <c r="C2617" s="18"/>
      <c r="D2617" s="418"/>
    </row>
    <row r="2618" spans="1:4" s="3" customFormat="1">
      <c r="A2618" s="55"/>
      <c r="B2618" s="267" t="s">
        <v>1076</v>
      </c>
      <c r="C2618" s="18" t="s">
        <v>1077</v>
      </c>
      <c r="D2618" s="418"/>
    </row>
    <row r="2619" spans="1:4" s="3" customFormat="1" ht="13.5" customHeight="1">
      <c r="A2619" s="30" t="s">
        <v>3187</v>
      </c>
      <c r="B2619" s="31" t="s">
        <v>3188</v>
      </c>
      <c r="C2619" s="18"/>
      <c r="D2619" s="418"/>
    </row>
    <row r="2620" spans="1:4" s="3" customFormat="1">
      <c r="A2620" s="55"/>
      <c r="B2620" s="267" t="s">
        <v>1076</v>
      </c>
      <c r="C2620" s="18" t="s">
        <v>1077</v>
      </c>
      <c r="D2620" s="418"/>
    </row>
    <row r="2621" spans="1:4" s="3" customFormat="1">
      <c r="A2621" s="30" t="s">
        <v>3189</v>
      </c>
      <c r="B2621" s="31" t="s">
        <v>3190</v>
      </c>
      <c r="C2621" s="18"/>
      <c r="D2621" s="418"/>
    </row>
    <row r="2622" spans="1:4" s="3" customFormat="1">
      <c r="A2622" s="55"/>
      <c r="B2622" s="267" t="s">
        <v>1076</v>
      </c>
      <c r="C2622" s="18" t="s">
        <v>1077</v>
      </c>
      <c r="D2622" s="418"/>
    </row>
    <row r="2623" spans="1:4" s="3" customFormat="1" ht="26.45">
      <c r="A2623" s="22" t="s">
        <v>231</v>
      </c>
      <c r="B2623" s="50" t="s">
        <v>3191</v>
      </c>
      <c r="C2623" s="45" t="s">
        <v>959</v>
      </c>
      <c r="D2623" s="439"/>
    </row>
    <row r="2624" spans="1:4" s="3" customFormat="1" ht="26.45">
      <c r="A2624" s="111" t="s">
        <v>959</v>
      </c>
      <c r="B2624" s="267" t="s">
        <v>3192</v>
      </c>
      <c r="C2624" s="18" t="s">
        <v>959</v>
      </c>
      <c r="D2624" s="418"/>
    </row>
    <row r="2625" spans="1:4" s="3" customFormat="1">
      <c r="A2625" s="111" t="s">
        <v>959</v>
      </c>
      <c r="B2625" s="267" t="s">
        <v>1150</v>
      </c>
      <c r="C2625" s="18" t="s">
        <v>959</v>
      </c>
      <c r="D2625" s="418"/>
    </row>
    <row r="2626" spans="1:4" s="3" customFormat="1">
      <c r="A2626" s="111" t="s">
        <v>959</v>
      </c>
      <c r="B2626" s="267" t="s">
        <v>1542</v>
      </c>
      <c r="C2626" s="18" t="s">
        <v>959</v>
      </c>
      <c r="D2626" s="418"/>
    </row>
    <row r="2627" spans="1:4" s="3" customFormat="1">
      <c r="A2627" s="111" t="s">
        <v>959</v>
      </c>
      <c r="B2627" s="267" t="s">
        <v>3179</v>
      </c>
      <c r="C2627" s="18" t="s">
        <v>959</v>
      </c>
      <c r="D2627" s="418"/>
    </row>
    <row r="2628" spans="1:4" s="3" customFormat="1" ht="26.45">
      <c r="A2628" s="111" t="s">
        <v>959</v>
      </c>
      <c r="B2628" s="267" t="s">
        <v>3180</v>
      </c>
      <c r="C2628" s="18" t="s">
        <v>959</v>
      </c>
      <c r="D2628" s="418"/>
    </row>
    <row r="2629" spans="1:4" s="3" customFormat="1" ht="26.45">
      <c r="A2629" s="111" t="s">
        <v>959</v>
      </c>
      <c r="B2629" s="267" t="s">
        <v>3181</v>
      </c>
      <c r="C2629" s="18" t="s">
        <v>959</v>
      </c>
      <c r="D2629" s="418"/>
    </row>
    <row r="2630" spans="1:4" s="3" customFormat="1">
      <c r="A2630" s="111"/>
      <c r="B2630" s="267" t="s">
        <v>2980</v>
      </c>
      <c r="C2630" s="18"/>
      <c r="D2630" s="418"/>
    </row>
    <row r="2631" spans="1:4" s="3" customFormat="1">
      <c r="A2631" s="111"/>
      <c r="B2631" s="267" t="s">
        <v>3182</v>
      </c>
      <c r="C2631" s="18"/>
      <c r="D2631" s="418"/>
    </row>
    <row r="2632" spans="1:4" s="3" customFormat="1">
      <c r="A2632" s="30" t="s">
        <v>3193</v>
      </c>
      <c r="B2632" s="31" t="s">
        <v>3194</v>
      </c>
      <c r="C2632" s="18"/>
      <c r="D2632" s="418"/>
    </row>
    <row r="2633" spans="1:4" s="3" customFormat="1">
      <c r="A2633" s="55"/>
      <c r="B2633" s="267" t="s">
        <v>1076</v>
      </c>
      <c r="C2633" s="18" t="s">
        <v>1077</v>
      </c>
      <c r="D2633" s="418"/>
    </row>
    <row r="2634" spans="1:4" s="3" customFormat="1">
      <c r="A2634" s="30" t="s">
        <v>3195</v>
      </c>
      <c r="B2634" s="31" t="s">
        <v>3196</v>
      </c>
      <c r="C2634" s="18"/>
      <c r="D2634" s="418"/>
    </row>
    <row r="2635" spans="1:4" s="3" customFormat="1">
      <c r="A2635" s="55"/>
      <c r="B2635" s="267" t="s">
        <v>1076</v>
      </c>
      <c r="C2635" s="18" t="s">
        <v>1077</v>
      </c>
      <c r="D2635" s="418"/>
    </row>
    <row r="2636" spans="1:4" s="3" customFormat="1">
      <c r="A2636" s="30" t="s">
        <v>3197</v>
      </c>
      <c r="B2636" s="31" t="s">
        <v>3188</v>
      </c>
      <c r="C2636" s="18"/>
      <c r="D2636" s="418"/>
    </row>
    <row r="2637" spans="1:4" s="3" customFormat="1" ht="13.5" customHeight="1">
      <c r="A2637" s="55"/>
      <c r="B2637" s="267" t="s">
        <v>1076</v>
      </c>
      <c r="C2637" s="18" t="s">
        <v>1077</v>
      </c>
      <c r="D2637" s="418"/>
    </row>
    <row r="2638" spans="1:4" s="3" customFormat="1">
      <c r="A2638" s="30" t="s">
        <v>3198</v>
      </c>
      <c r="B2638" s="31" t="s">
        <v>3190</v>
      </c>
      <c r="C2638" s="18"/>
      <c r="D2638" s="418"/>
    </row>
    <row r="2639" spans="1:4" s="3" customFormat="1">
      <c r="A2639" s="55"/>
      <c r="B2639" s="267" t="s">
        <v>1076</v>
      </c>
      <c r="C2639" s="18" t="s">
        <v>1077</v>
      </c>
      <c r="D2639" s="418"/>
    </row>
    <row r="2640" spans="1:4" s="3" customFormat="1">
      <c r="A2640" s="30" t="s">
        <v>3199</v>
      </c>
      <c r="B2640" s="31" t="s">
        <v>3200</v>
      </c>
      <c r="C2640" s="18"/>
      <c r="D2640" s="418"/>
    </row>
    <row r="2641" spans="1:4" s="3" customFormat="1">
      <c r="A2641" s="55"/>
      <c r="B2641" s="267" t="s">
        <v>1076</v>
      </c>
      <c r="C2641" s="18" t="s">
        <v>1077</v>
      </c>
      <c r="D2641" s="418"/>
    </row>
    <row r="2642" spans="1:4" s="3" customFormat="1">
      <c r="A2642" s="30" t="s">
        <v>3201</v>
      </c>
      <c r="B2642" s="31" t="s">
        <v>3202</v>
      </c>
      <c r="C2642" s="18"/>
      <c r="D2642" s="418"/>
    </row>
    <row r="2643" spans="1:4" s="3" customFormat="1">
      <c r="A2643" s="148"/>
      <c r="B2643" s="303" t="s">
        <v>1076</v>
      </c>
      <c r="C2643" s="109" t="s">
        <v>1077</v>
      </c>
      <c r="D2643" s="418"/>
    </row>
    <row r="2644" spans="1:4" s="3" customFormat="1" ht="13.9">
      <c r="A2644" s="13" t="s">
        <v>3203</v>
      </c>
      <c r="B2644" s="83" t="s">
        <v>3204</v>
      </c>
      <c r="C2644" s="7" t="s">
        <v>959</v>
      </c>
      <c r="D2644" s="440"/>
    </row>
    <row r="2645" spans="1:4" s="3" customFormat="1">
      <c r="A2645" s="22" t="s">
        <v>3205</v>
      </c>
      <c r="B2645" s="50" t="s">
        <v>3206</v>
      </c>
      <c r="C2645" s="45" t="s">
        <v>959</v>
      </c>
      <c r="D2645" s="439"/>
    </row>
    <row r="2646" spans="1:4" s="3" customFormat="1" ht="26.45">
      <c r="A2646" s="286"/>
      <c r="B2646" s="267" t="s">
        <v>3207</v>
      </c>
      <c r="C2646" s="18"/>
      <c r="D2646" s="418"/>
    </row>
    <row r="2647" spans="1:4" s="3" customFormat="1">
      <c r="A2647" s="286"/>
      <c r="B2647" s="267" t="s">
        <v>2954</v>
      </c>
      <c r="C2647" s="18"/>
      <c r="D2647" s="418"/>
    </row>
    <row r="2648" spans="1:4" s="3" customFormat="1">
      <c r="A2648" s="286"/>
      <c r="B2648" s="147" t="s">
        <v>3208</v>
      </c>
      <c r="C2648" s="18"/>
      <c r="D2648" s="418"/>
    </row>
    <row r="2649" spans="1:4" s="3" customFormat="1">
      <c r="A2649" s="286"/>
      <c r="B2649" s="147" t="s">
        <v>3209</v>
      </c>
      <c r="C2649" s="18"/>
      <c r="D2649" s="418"/>
    </row>
    <row r="2650" spans="1:4" s="3" customFormat="1" ht="26.45">
      <c r="A2650" s="286"/>
      <c r="B2650" s="147" t="s">
        <v>3210</v>
      </c>
      <c r="C2650" s="18"/>
      <c r="D2650" s="418"/>
    </row>
    <row r="2651" spans="1:4" s="3" customFormat="1" ht="13.9">
      <c r="A2651" s="30" t="s">
        <v>237</v>
      </c>
      <c r="B2651" s="31" t="s">
        <v>3211</v>
      </c>
      <c r="C2651" s="18"/>
      <c r="D2651" s="418"/>
    </row>
    <row r="2652" spans="1:4" s="3" customFormat="1">
      <c r="A2652" s="286"/>
      <c r="B2652" s="267" t="s">
        <v>1076</v>
      </c>
      <c r="C2652" s="18" t="s">
        <v>1077</v>
      </c>
      <c r="D2652" s="418"/>
    </row>
    <row r="2653" spans="1:4" s="3" customFormat="1">
      <c r="A2653" s="30" t="s">
        <v>238</v>
      </c>
      <c r="B2653" s="31" t="s">
        <v>3212</v>
      </c>
      <c r="C2653" s="18"/>
      <c r="D2653" s="418"/>
    </row>
    <row r="2654" spans="1:4" s="3" customFormat="1">
      <c r="A2654" s="286"/>
      <c r="B2654" s="267" t="s">
        <v>1076</v>
      </c>
      <c r="C2654" s="18" t="s">
        <v>1077</v>
      </c>
      <c r="D2654" s="418"/>
    </row>
    <row r="2655" spans="1:4" s="3" customFormat="1" ht="23.25" customHeight="1">
      <c r="A2655" s="22" t="s">
        <v>3213</v>
      </c>
      <c r="B2655" s="50" t="s">
        <v>3214</v>
      </c>
      <c r="C2655" s="45" t="s">
        <v>959</v>
      </c>
      <c r="D2655" s="439"/>
    </row>
    <row r="2656" spans="1:4" s="3" customFormat="1" ht="39.6">
      <c r="A2656" s="111" t="s">
        <v>959</v>
      </c>
      <c r="B2656" s="267" t="s">
        <v>3215</v>
      </c>
      <c r="C2656" s="18" t="s">
        <v>959</v>
      </c>
      <c r="D2656" s="418"/>
    </row>
    <row r="2657" spans="1:4" s="3" customFormat="1">
      <c r="A2657" s="111" t="s">
        <v>959</v>
      </c>
      <c r="B2657" s="267" t="s">
        <v>1150</v>
      </c>
      <c r="C2657" s="18" t="s">
        <v>959</v>
      </c>
      <c r="D2657" s="418"/>
    </row>
    <row r="2658" spans="1:4" s="3" customFormat="1">
      <c r="A2658" s="111" t="s">
        <v>959</v>
      </c>
      <c r="B2658" s="267" t="s">
        <v>1542</v>
      </c>
      <c r="C2658" s="18" t="s">
        <v>959</v>
      </c>
      <c r="D2658" s="418"/>
    </row>
    <row r="2659" spans="1:4" s="3" customFormat="1" ht="26.45">
      <c r="A2659" s="111" t="s">
        <v>959</v>
      </c>
      <c r="B2659" s="267" t="s">
        <v>3216</v>
      </c>
      <c r="C2659" s="18" t="s">
        <v>959</v>
      </c>
      <c r="D2659" s="418"/>
    </row>
    <row r="2660" spans="1:4" s="3" customFormat="1" ht="26.45">
      <c r="A2660" s="111" t="s">
        <v>959</v>
      </c>
      <c r="B2660" s="267" t="s">
        <v>3217</v>
      </c>
      <c r="C2660" s="18" t="s">
        <v>959</v>
      </c>
      <c r="D2660" s="418"/>
    </row>
    <row r="2661" spans="1:4" s="3" customFormat="1" ht="26.45">
      <c r="A2661" s="111" t="s">
        <v>959</v>
      </c>
      <c r="B2661" s="267" t="s">
        <v>3181</v>
      </c>
      <c r="C2661" s="18" t="s">
        <v>959</v>
      </c>
      <c r="D2661" s="418"/>
    </row>
    <row r="2662" spans="1:4" s="3" customFormat="1">
      <c r="A2662" s="111"/>
      <c r="B2662" s="267" t="s">
        <v>3218</v>
      </c>
      <c r="C2662" s="18"/>
      <c r="D2662" s="418"/>
    </row>
    <row r="2663" spans="1:4" s="3" customFormat="1">
      <c r="A2663" s="30" t="s">
        <v>244</v>
      </c>
      <c r="B2663" s="31" t="s">
        <v>3219</v>
      </c>
      <c r="C2663" s="18"/>
      <c r="D2663" s="418"/>
    </row>
    <row r="2664" spans="1:4" s="3" customFormat="1">
      <c r="A2664" s="55"/>
      <c r="B2664" s="267" t="s">
        <v>1076</v>
      </c>
      <c r="C2664" s="18" t="s">
        <v>1077</v>
      </c>
      <c r="D2664" s="418"/>
    </row>
    <row r="2665" spans="1:4" s="3" customFormat="1">
      <c r="A2665" s="30" t="s">
        <v>245</v>
      </c>
      <c r="B2665" s="31" t="s">
        <v>3220</v>
      </c>
      <c r="C2665" s="18"/>
      <c r="D2665" s="418"/>
    </row>
    <row r="2666" spans="1:4" s="3" customFormat="1">
      <c r="A2666" s="55"/>
      <c r="B2666" s="267" t="s">
        <v>1076</v>
      </c>
      <c r="C2666" s="18" t="s">
        <v>1077</v>
      </c>
      <c r="D2666" s="418"/>
    </row>
    <row r="2667" spans="1:4" s="3" customFormat="1">
      <c r="A2667" s="30" t="s">
        <v>246</v>
      </c>
      <c r="B2667" s="31" t="s">
        <v>3221</v>
      </c>
      <c r="C2667" s="18"/>
      <c r="D2667" s="418"/>
    </row>
    <row r="2668" spans="1:4" s="3" customFormat="1">
      <c r="A2668" s="55"/>
      <c r="B2668" s="267" t="s">
        <v>1076</v>
      </c>
      <c r="C2668" s="18" t="s">
        <v>1077</v>
      </c>
      <c r="D2668" s="418"/>
    </row>
    <row r="2669" spans="1:4" s="3" customFormat="1">
      <c r="A2669" s="30" t="s">
        <v>3222</v>
      </c>
      <c r="B2669" s="31" t="s">
        <v>3223</v>
      </c>
      <c r="C2669" s="18"/>
      <c r="D2669" s="418"/>
    </row>
    <row r="2670" spans="1:4" s="3" customFormat="1">
      <c r="A2670" s="55"/>
      <c r="B2670" s="267" t="s">
        <v>1076</v>
      </c>
      <c r="C2670" s="18" t="s">
        <v>1077</v>
      </c>
      <c r="D2670" s="418"/>
    </row>
    <row r="2671" spans="1:4" s="2" customFormat="1">
      <c r="A2671" s="30" t="s">
        <v>3224</v>
      </c>
      <c r="B2671" s="31" t="s">
        <v>3225</v>
      </c>
      <c r="C2671" s="18"/>
      <c r="D2671" s="418"/>
    </row>
    <row r="2672" spans="1:4" s="2" customFormat="1">
      <c r="A2672" s="55"/>
      <c r="B2672" s="267" t="s">
        <v>1076</v>
      </c>
      <c r="C2672" s="18" t="s">
        <v>1077</v>
      </c>
      <c r="D2672" s="418"/>
    </row>
    <row r="2673" spans="1:4" s="2" customFormat="1">
      <c r="A2673" s="30" t="s">
        <v>3226</v>
      </c>
      <c r="B2673" s="31" t="s">
        <v>3227</v>
      </c>
      <c r="C2673" s="18"/>
      <c r="D2673" s="418"/>
    </row>
    <row r="2674" spans="1:4" s="2" customFormat="1">
      <c r="A2674" s="55"/>
      <c r="B2674" s="267" t="s">
        <v>1076</v>
      </c>
      <c r="C2674" s="18" t="s">
        <v>1077</v>
      </c>
      <c r="D2674" s="418"/>
    </row>
    <row r="2675" spans="1:4" s="2" customFormat="1" ht="26.45">
      <c r="A2675" s="22" t="s">
        <v>3228</v>
      </c>
      <c r="B2675" s="50" t="s">
        <v>3229</v>
      </c>
      <c r="C2675" s="45"/>
      <c r="D2675" s="439"/>
    </row>
    <row r="2676" spans="1:4" s="2" customFormat="1" ht="26.45">
      <c r="A2676" s="111" t="s">
        <v>959</v>
      </c>
      <c r="B2676" s="267" t="s">
        <v>3230</v>
      </c>
      <c r="C2676" s="18" t="s">
        <v>959</v>
      </c>
      <c r="D2676" s="418"/>
    </row>
    <row r="2677" spans="1:4" s="2" customFormat="1">
      <c r="A2677" s="111" t="s">
        <v>959</v>
      </c>
      <c r="B2677" s="267" t="s">
        <v>1150</v>
      </c>
      <c r="C2677" s="18" t="s">
        <v>959</v>
      </c>
      <c r="D2677" s="418"/>
    </row>
    <row r="2678" spans="1:4" s="2" customFormat="1">
      <c r="A2678" s="111" t="s">
        <v>959</v>
      </c>
      <c r="B2678" s="267" t="s">
        <v>1542</v>
      </c>
      <c r="C2678" s="18" t="s">
        <v>959</v>
      </c>
      <c r="D2678" s="418"/>
    </row>
    <row r="2679" spans="1:4" s="2" customFormat="1">
      <c r="A2679" s="111" t="s">
        <v>959</v>
      </c>
      <c r="B2679" s="267" t="s">
        <v>3231</v>
      </c>
      <c r="C2679" s="18" t="s">
        <v>959</v>
      </c>
      <c r="D2679" s="418"/>
    </row>
    <row r="2680" spans="1:4" s="2" customFormat="1">
      <c r="A2680" s="111"/>
      <c r="B2680" s="267" t="s">
        <v>3232</v>
      </c>
      <c r="C2680" s="18"/>
      <c r="D2680" s="418"/>
    </row>
    <row r="2681" spans="1:4" s="2" customFormat="1" ht="26.45">
      <c r="A2681" s="111" t="s">
        <v>959</v>
      </c>
      <c r="B2681" s="267" t="s">
        <v>3233</v>
      </c>
      <c r="C2681" s="18" t="s">
        <v>959</v>
      </c>
      <c r="D2681" s="418"/>
    </row>
    <row r="2682" spans="1:4" s="3" customFormat="1" ht="26.45">
      <c r="A2682" s="111" t="s">
        <v>959</v>
      </c>
      <c r="B2682" s="267" t="s">
        <v>3133</v>
      </c>
      <c r="C2682" s="18" t="s">
        <v>959</v>
      </c>
      <c r="D2682" s="418"/>
    </row>
    <row r="2683" spans="1:4" s="3" customFormat="1">
      <c r="A2683" s="30" t="s">
        <v>3234</v>
      </c>
      <c r="B2683" s="31" t="s">
        <v>3235</v>
      </c>
      <c r="C2683" s="18"/>
      <c r="D2683" s="418"/>
    </row>
    <row r="2684" spans="1:4" s="3" customFormat="1">
      <c r="A2684" s="55"/>
      <c r="B2684" s="267" t="s">
        <v>1076</v>
      </c>
      <c r="C2684" s="18" t="s">
        <v>1077</v>
      </c>
      <c r="D2684" s="418"/>
    </row>
    <row r="2685" spans="1:4" s="3" customFormat="1">
      <c r="A2685" s="30" t="s">
        <v>3236</v>
      </c>
      <c r="B2685" s="31" t="s">
        <v>3237</v>
      </c>
      <c r="C2685" s="18"/>
      <c r="D2685" s="418"/>
    </row>
    <row r="2686" spans="1:4" s="3" customFormat="1">
      <c r="A2686" s="55"/>
      <c r="B2686" s="267" t="s">
        <v>1076</v>
      </c>
      <c r="C2686" s="18" t="s">
        <v>1077</v>
      </c>
      <c r="D2686" s="418"/>
    </row>
    <row r="2687" spans="1:4" s="3" customFormat="1">
      <c r="A2687" s="30" t="s">
        <v>3238</v>
      </c>
      <c r="B2687" s="31" t="s">
        <v>3239</v>
      </c>
      <c r="C2687" s="18"/>
      <c r="D2687" s="418"/>
    </row>
    <row r="2688" spans="1:4" s="3" customFormat="1">
      <c r="A2688" s="55"/>
      <c r="B2688" s="267" t="s">
        <v>1076</v>
      </c>
      <c r="C2688" s="18" t="s">
        <v>1077</v>
      </c>
      <c r="D2688" s="418"/>
    </row>
    <row r="2689" spans="1:4" s="3" customFormat="1">
      <c r="A2689" s="30" t="s">
        <v>3240</v>
      </c>
      <c r="B2689" s="31" t="s">
        <v>3241</v>
      </c>
      <c r="C2689" s="18"/>
      <c r="D2689" s="418"/>
    </row>
    <row r="2690" spans="1:4" s="3" customFormat="1">
      <c r="A2690" s="55"/>
      <c r="B2690" s="267" t="s">
        <v>1076</v>
      </c>
      <c r="C2690" s="18" t="s">
        <v>1077</v>
      </c>
      <c r="D2690" s="418"/>
    </row>
    <row r="2691" spans="1:4" s="3" customFormat="1">
      <c r="A2691" s="30" t="s">
        <v>3242</v>
      </c>
      <c r="B2691" s="31" t="s">
        <v>3243</v>
      </c>
      <c r="C2691" s="18"/>
      <c r="D2691" s="418"/>
    </row>
    <row r="2692" spans="1:4" s="3" customFormat="1">
      <c r="A2692" s="55"/>
      <c r="B2692" s="267" t="s">
        <v>1076</v>
      </c>
      <c r="C2692" s="18" t="s">
        <v>1077</v>
      </c>
      <c r="D2692" s="418"/>
    </row>
    <row r="2693" spans="1:4" s="3" customFormat="1">
      <c r="A2693" s="22" t="s">
        <v>3244</v>
      </c>
      <c r="B2693" s="50" t="s">
        <v>3245</v>
      </c>
      <c r="C2693" s="45" t="s">
        <v>959</v>
      </c>
      <c r="D2693" s="439"/>
    </row>
    <row r="2694" spans="1:4" s="3" customFormat="1" ht="26.45">
      <c r="A2694" s="111" t="s">
        <v>959</v>
      </c>
      <c r="B2694" s="267" t="s">
        <v>3246</v>
      </c>
      <c r="C2694" s="18" t="s">
        <v>959</v>
      </c>
      <c r="D2694" s="418"/>
    </row>
    <row r="2695" spans="1:4" s="3" customFormat="1">
      <c r="A2695" s="111" t="s">
        <v>959</v>
      </c>
      <c r="B2695" s="267" t="s">
        <v>1150</v>
      </c>
      <c r="C2695" s="18" t="s">
        <v>959</v>
      </c>
      <c r="D2695" s="418"/>
    </row>
    <row r="2696" spans="1:4" s="3" customFormat="1">
      <c r="A2696" s="111" t="s">
        <v>959</v>
      </c>
      <c r="B2696" s="267" t="s">
        <v>1542</v>
      </c>
      <c r="C2696" s="18" t="s">
        <v>959</v>
      </c>
      <c r="D2696" s="418"/>
    </row>
    <row r="2697" spans="1:4" s="3" customFormat="1" ht="26.45">
      <c r="A2697" s="111" t="s">
        <v>959</v>
      </c>
      <c r="B2697" s="267" t="s">
        <v>3247</v>
      </c>
      <c r="C2697" s="18" t="s">
        <v>959</v>
      </c>
      <c r="D2697" s="418"/>
    </row>
    <row r="2698" spans="1:4" s="3" customFormat="1">
      <c r="A2698" s="111" t="s">
        <v>959</v>
      </c>
      <c r="B2698" s="267" t="s">
        <v>3248</v>
      </c>
      <c r="C2698" s="18" t="s">
        <v>959</v>
      </c>
      <c r="D2698" s="418"/>
    </row>
    <row r="2699" spans="1:4" s="3" customFormat="1" ht="26.45">
      <c r="A2699" s="111" t="s">
        <v>959</v>
      </c>
      <c r="B2699" s="267" t="s">
        <v>3181</v>
      </c>
      <c r="C2699" s="18" t="s">
        <v>959</v>
      </c>
      <c r="D2699" s="418"/>
    </row>
    <row r="2700" spans="1:4" s="3" customFormat="1">
      <c r="A2700" s="111"/>
      <c r="B2700" s="267" t="s">
        <v>3249</v>
      </c>
      <c r="C2700" s="18"/>
      <c r="D2700" s="418"/>
    </row>
    <row r="2701" spans="1:4" s="3" customFormat="1">
      <c r="A2701" s="55"/>
      <c r="B2701" s="267" t="s">
        <v>1076</v>
      </c>
      <c r="C2701" s="18" t="s">
        <v>1077</v>
      </c>
      <c r="D2701" s="418"/>
    </row>
    <row r="2702" spans="1:4" s="3" customFormat="1" ht="13.9">
      <c r="A2702" s="13" t="s">
        <v>3250</v>
      </c>
      <c r="B2702" s="52" t="s">
        <v>3251</v>
      </c>
      <c r="C2702" s="58"/>
      <c r="D2702" s="440"/>
    </row>
    <row r="2703" spans="1:4" s="3" customFormat="1">
      <c r="A2703" s="152" t="s">
        <v>247</v>
      </c>
      <c r="B2703" s="59" t="s">
        <v>3252</v>
      </c>
      <c r="C2703" s="153"/>
      <c r="D2703" s="439"/>
    </row>
    <row r="2704" spans="1:4" s="3" customFormat="1" ht="26.45">
      <c r="A2704" s="16" t="s">
        <v>3253</v>
      </c>
      <c r="B2704" s="115" t="s">
        <v>3254</v>
      </c>
      <c r="C2704" s="114"/>
      <c r="D2704" s="418"/>
    </row>
    <row r="2705" spans="1:4" s="3" customFormat="1">
      <c r="A2705" s="122"/>
      <c r="B2705" s="285" t="s">
        <v>3255</v>
      </c>
      <c r="C2705" s="114"/>
      <c r="D2705" s="418"/>
    </row>
    <row r="2706" spans="1:4" s="2" customFormat="1">
      <c r="A2706" s="122"/>
      <c r="B2706" s="285" t="s">
        <v>1541</v>
      </c>
      <c r="C2706" s="114"/>
      <c r="D2706" s="418"/>
    </row>
    <row r="2707" spans="1:4" s="3" customFormat="1">
      <c r="A2707" s="122"/>
      <c r="B2707" s="285" t="s">
        <v>3256</v>
      </c>
      <c r="C2707" s="114"/>
      <c r="D2707" s="418"/>
    </row>
    <row r="2708" spans="1:4" s="3" customFormat="1">
      <c r="A2708" s="122"/>
      <c r="B2708" s="285" t="s">
        <v>3257</v>
      </c>
      <c r="C2708" s="114"/>
      <c r="D2708" s="418"/>
    </row>
    <row r="2709" spans="1:4" s="3" customFormat="1">
      <c r="A2709" s="122"/>
      <c r="B2709" s="285" t="s">
        <v>3258</v>
      </c>
      <c r="C2709" s="114"/>
      <c r="D2709" s="418"/>
    </row>
    <row r="2710" spans="1:4" s="3" customFormat="1">
      <c r="A2710" s="112" t="s">
        <v>959</v>
      </c>
      <c r="B2710" s="285" t="s">
        <v>3259</v>
      </c>
      <c r="C2710" s="114" t="s">
        <v>959</v>
      </c>
      <c r="D2710" s="418"/>
    </row>
    <row r="2711" spans="1:4" s="3" customFormat="1">
      <c r="A2711" s="122" t="s">
        <v>3260</v>
      </c>
      <c r="B2711" s="132" t="s">
        <v>1142</v>
      </c>
      <c r="C2711" s="114"/>
      <c r="D2711" s="418"/>
    </row>
    <row r="2712" spans="1:4" s="3" customFormat="1">
      <c r="A2712" s="243"/>
      <c r="B2712" s="285" t="s">
        <v>998</v>
      </c>
      <c r="C2712" s="114" t="s">
        <v>999</v>
      </c>
      <c r="D2712" s="418"/>
    </row>
    <row r="2713" spans="1:4" s="3" customFormat="1">
      <c r="A2713" s="122" t="s">
        <v>3261</v>
      </c>
      <c r="B2713" s="132" t="s">
        <v>1144</v>
      </c>
      <c r="C2713" s="114"/>
      <c r="D2713" s="418"/>
    </row>
    <row r="2714" spans="1:4" s="3" customFormat="1">
      <c r="A2714" s="16"/>
      <c r="B2714" s="285" t="s">
        <v>998</v>
      </c>
      <c r="C2714" s="114" t="s">
        <v>999</v>
      </c>
      <c r="D2714" s="418"/>
    </row>
    <row r="2715" spans="1:4" s="3" customFormat="1">
      <c r="A2715" s="122" t="s">
        <v>3262</v>
      </c>
      <c r="B2715" s="132" t="s">
        <v>1146</v>
      </c>
      <c r="C2715" s="114"/>
      <c r="D2715" s="418"/>
    </row>
    <row r="2716" spans="1:4" s="3" customFormat="1">
      <c r="A2716" s="16"/>
      <c r="B2716" s="285" t="s">
        <v>998</v>
      </c>
      <c r="C2716" s="114" t="s">
        <v>999</v>
      </c>
      <c r="D2716" s="418"/>
    </row>
    <row r="2717" spans="1:4" s="3" customFormat="1">
      <c r="A2717" s="16" t="s">
        <v>3263</v>
      </c>
      <c r="B2717" s="42" t="s">
        <v>3264</v>
      </c>
      <c r="C2717" s="114"/>
      <c r="D2717" s="418"/>
    </row>
    <row r="2718" spans="1:4" s="3" customFormat="1">
      <c r="A2718" s="16"/>
      <c r="B2718" s="285" t="s">
        <v>3265</v>
      </c>
      <c r="C2718" s="114"/>
      <c r="D2718" s="418"/>
    </row>
    <row r="2719" spans="1:4" s="3" customFormat="1">
      <c r="A2719" s="16"/>
      <c r="B2719" s="285" t="s">
        <v>1541</v>
      </c>
      <c r="C2719" s="114"/>
      <c r="D2719" s="418"/>
    </row>
    <row r="2720" spans="1:4" s="3" customFormat="1">
      <c r="A2720" s="16"/>
      <c r="B2720" s="285" t="s">
        <v>3266</v>
      </c>
      <c r="C2720" s="114"/>
      <c r="D2720" s="418"/>
    </row>
    <row r="2721" spans="1:4" s="3" customFormat="1">
      <c r="A2721" s="16"/>
      <c r="B2721" s="285" t="s">
        <v>3267</v>
      </c>
      <c r="C2721" s="114"/>
      <c r="D2721" s="418"/>
    </row>
    <row r="2722" spans="1:4" s="3" customFormat="1">
      <c r="A2722" s="16"/>
      <c r="B2722" s="285" t="s">
        <v>3268</v>
      </c>
      <c r="C2722" s="114"/>
      <c r="D2722" s="418"/>
    </row>
    <row r="2723" spans="1:4" s="3" customFormat="1">
      <c r="A2723" s="16"/>
      <c r="B2723" s="285" t="s">
        <v>3269</v>
      </c>
      <c r="C2723" s="114"/>
      <c r="D2723" s="418"/>
    </row>
    <row r="2724" spans="1:4" s="3" customFormat="1">
      <c r="A2724" s="122" t="s">
        <v>3270</v>
      </c>
      <c r="B2724" s="132" t="s">
        <v>1142</v>
      </c>
      <c r="C2724" s="114"/>
      <c r="D2724" s="418"/>
    </row>
    <row r="2725" spans="1:4" s="3" customFormat="1">
      <c r="A2725" s="243"/>
      <c r="B2725" s="285" t="s">
        <v>998</v>
      </c>
      <c r="C2725" s="114" t="s">
        <v>999</v>
      </c>
      <c r="D2725" s="418"/>
    </row>
    <row r="2726" spans="1:4" s="3" customFormat="1">
      <c r="A2726" s="122" t="s">
        <v>3271</v>
      </c>
      <c r="B2726" s="132" t="s">
        <v>1144</v>
      </c>
      <c r="C2726" s="114"/>
      <c r="D2726" s="418"/>
    </row>
    <row r="2727" spans="1:4" s="3" customFormat="1">
      <c r="A2727" s="16"/>
      <c r="B2727" s="285" t="s">
        <v>998</v>
      </c>
      <c r="C2727" s="114" t="s">
        <v>999</v>
      </c>
      <c r="D2727" s="418"/>
    </row>
    <row r="2728" spans="1:4" s="3" customFormat="1">
      <c r="A2728" s="122" t="s">
        <v>3272</v>
      </c>
      <c r="B2728" s="132" t="s">
        <v>1146</v>
      </c>
      <c r="C2728" s="114"/>
      <c r="D2728" s="418"/>
    </row>
    <row r="2729" spans="1:4" s="3" customFormat="1">
      <c r="A2729" s="16"/>
      <c r="B2729" s="285" t="s">
        <v>998</v>
      </c>
      <c r="C2729" s="114" t="s">
        <v>999</v>
      </c>
      <c r="D2729" s="418"/>
    </row>
    <row r="2730" spans="1:4" s="3" customFormat="1">
      <c r="A2730" s="16" t="s">
        <v>3273</v>
      </c>
      <c r="B2730" s="115" t="s">
        <v>3274</v>
      </c>
      <c r="C2730" s="114"/>
      <c r="D2730" s="418"/>
    </row>
    <row r="2731" spans="1:4" s="2" customFormat="1">
      <c r="A2731" s="16"/>
      <c r="B2731" s="285" t="s">
        <v>3275</v>
      </c>
      <c r="C2731" s="114"/>
      <c r="D2731" s="418"/>
    </row>
    <row r="2732" spans="1:4" s="3" customFormat="1">
      <c r="A2732" s="16"/>
      <c r="B2732" s="285" t="s">
        <v>1541</v>
      </c>
      <c r="C2732" s="114"/>
      <c r="D2732" s="418"/>
    </row>
    <row r="2733" spans="1:4" s="3" customFormat="1">
      <c r="A2733" s="16"/>
      <c r="B2733" s="285" t="s">
        <v>3266</v>
      </c>
      <c r="C2733" s="114"/>
      <c r="D2733" s="418"/>
    </row>
    <row r="2734" spans="1:4" s="3" customFormat="1">
      <c r="A2734" s="16"/>
      <c r="B2734" s="285" t="s">
        <v>3276</v>
      </c>
      <c r="C2734" s="114"/>
      <c r="D2734" s="418"/>
    </row>
    <row r="2735" spans="1:4" s="3" customFormat="1">
      <c r="A2735" s="16"/>
      <c r="B2735" s="285" t="s">
        <v>3277</v>
      </c>
      <c r="C2735" s="114"/>
      <c r="D2735" s="418"/>
    </row>
    <row r="2736" spans="1:4" s="3" customFormat="1">
      <c r="A2736" s="16"/>
      <c r="B2736" s="285" t="s">
        <v>3278</v>
      </c>
      <c r="C2736" s="114"/>
      <c r="D2736" s="418"/>
    </row>
    <row r="2737" spans="1:4" s="3" customFormat="1">
      <c r="A2737" s="16"/>
      <c r="B2737" s="285" t="s">
        <v>998</v>
      </c>
      <c r="C2737" s="114" t="s">
        <v>999</v>
      </c>
      <c r="D2737" s="418"/>
    </row>
    <row r="2738" spans="1:4" s="3" customFormat="1" ht="26.45">
      <c r="A2738" s="152" t="s">
        <v>3279</v>
      </c>
      <c r="B2738" s="59" t="s">
        <v>3280</v>
      </c>
      <c r="C2738" s="153"/>
      <c r="D2738" s="439"/>
    </row>
    <row r="2739" spans="1:4" s="3" customFormat="1">
      <c r="A2739" s="16" t="s">
        <v>248</v>
      </c>
      <c r="B2739" s="154" t="s">
        <v>3281</v>
      </c>
      <c r="C2739" s="114"/>
      <c r="D2739" s="418"/>
    </row>
    <row r="2740" spans="1:4" s="3" customFormat="1" ht="26.45">
      <c r="A2740" s="112"/>
      <c r="B2740" s="285" t="s">
        <v>3282</v>
      </c>
      <c r="C2740" s="114"/>
      <c r="D2740" s="418"/>
    </row>
    <row r="2741" spans="1:4" s="3" customFormat="1">
      <c r="A2741" s="112"/>
      <c r="B2741" s="285" t="s">
        <v>2016</v>
      </c>
      <c r="C2741" s="114"/>
      <c r="D2741" s="418"/>
    </row>
    <row r="2742" spans="1:4" s="3" customFormat="1" ht="132">
      <c r="A2742" s="90"/>
      <c r="B2742" s="330" t="s">
        <v>3283</v>
      </c>
      <c r="C2742" s="155"/>
      <c r="D2742" s="418"/>
    </row>
    <row r="2743" spans="1:4" s="3" customFormat="1">
      <c r="A2743" s="90"/>
      <c r="B2743" s="285" t="s">
        <v>3284</v>
      </c>
      <c r="C2743" s="155"/>
      <c r="D2743" s="418"/>
    </row>
    <row r="2744" spans="1:4" s="3" customFormat="1">
      <c r="A2744" s="90"/>
      <c r="B2744" s="285" t="s">
        <v>3285</v>
      </c>
      <c r="C2744" s="155"/>
      <c r="D2744" s="418"/>
    </row>
    <row r="2745" spans="1:4" s="3" customFormat="1">
      <c r="A2745" s="112"/>
      <c r="B2745" s="285" t="s">
        <v>1028</v>
      </c>
      <c r="C2745" s="114" t="s">
        <v>1029</v>
      </c>
      <c r="D2745" s="418"/>
    </row>
    <row r="2746" spans="1:4" s="3" customFormat="1" ht="26.45">
      <c r="A2746" s="16" t="s">
        <v>249</v>
      </c>
      <c r="B2746" s="115" t="s">
        <v>3286</v>
      </c>
      <c r="C2746" s="155"/>
      <c r="D2746" s="418"/>
    </row>
    <row r="2747" spans="1:4" s="3" customFormat="1" ht="26.45">
      <c r="A2747" s="112"/>
      <c r="B2747" s="285" t="s">
        <v>3287</v>
      </c>
      <c r="C2747" s="114"/>
      <c r="D2747" s="418"/>
    </row>
    <row r="2748" spans="1:4" s="3" customFormat="1">
      <c r="A2748" s="112"/>
      <c r="B2748" s="285" t="s">
        <v>2016</v>
      </c>
      <c r="C2748" s="114"/>
      <c r="D2748" s="418"/>
    </row>
    <row r="2749" spans="1:4" s="3" customFormat="1" ht="145.15">
      <c r="A2749" s="90"/>
      <c r="B2749" s="330" t="s">
        <v>3288</v>
      </c>
      <c r="C2749" s="155"/>
      <c r="D2749" s="418"/>
    </row>
    <row r="2750" spans="1:4" s="3" customFormat="1">
      <c r="A2750" s="90"/>
      <c r="B2750" s="285" t="s">
        <v>3284</v>
      </c>
      <c r="C2750" s="155"/>
      <c r="D2750" s="418"/>
    </row>
    <row r="2751" spans="1:4" s="3" customFormat="1">
      <c r="A2751" s="90"/>
      <c r="B2751" s="285" t="s">
        <v>3289</v>
      </c>
      <c r="C2751" s="155"/>
      <c r="D2751" s="418"/>
    </row>
    <row r="2752" spans="1:4" s="3" customFormat="1">
      <c r="A2752" s="112"/>
      <c r="B2752" s="285" t="s">
        <v>1028</v>
      </c>
      <c r="C2752" s="114" t="s">
        <v>1029</v>
      </c>
      <c r="D2752" s="418"/>
    </row>
    <row r="2753" spans="1:4" s="3" customFormat="1">
      <c r="A2753" s="16" t="s">
        <v>250</v>
      </c>
      <c r="B2753" s="115" t="s">
        <v>3290</v>
      </c>
      <c r="C2753" s="155"/>
      <c r="D2753" s="418"/>
    </row>
    <row r="2754" spans="1:4" s="3" customFormat="1" ht="26.45">
      <c r="A2754" s="112"/>
      <c r="B2754" s="285" t="s">
        <v>3291</v>
      </c>
      <c r="C2754" s="114"/>
      <c r="D2754" s="418"/>
    </row>
    <row r="2755" spans="1:4" s="3" customFormat="1">
      <c r="A2755" s="112"/>
      <c r="B2755" s="285" t="s">
        <v>2016</v>
      </c>
      <c r="C2755" s="114"/>
      <c r="D2755" s="418"/>
    </row>
    <row r="2756" spans="1:4" s="79" customFormat="1" ht="145.15">
      <c r="A2756" s="90"/>
      <c r="B2756" s="330" t="s">
        <v>3292</v>
      </c>
      <c r="C2756" s="155"/>
      <c r="D2756" s="418"/>
    </row>
    <row r="2757" spans="1:4" s="79" customFormat="1" ht="14.45">
      <c r="A2757" s="90"/>
      <c r="B2757" s="285" t="s">
        <v>3293</v>
      </c>
      <c r="C2757" s="155"/>
      <c r="D2757" s="418"/>
    </row>
    <row r="2758" spans="1:4" s="79" customFormat="1" ht="30.75" customHeight="1">
      <c r="A2758" s="90"/>
      <c r="B2758" s="285" t="s">
        <v>3289</v>
      </c>
      <c r="C2758" s="155"/>
      <c r="D2758" s="418"/>
    </row>
    <row r="2759" spans="1:4" s="79" customFormat="1" ht="14.45">
      <c r="A2759" s="112"/>
      <c r="B2759" s="285" t="s">
        <v>1028</v>
      </c>
      <c r="C2759" s="114" t="s">
        <v>1029</v>
      </c>
      <c r="D2759" s="418"/>
    </row>
    <row r="2760" spans="1:4" s="79" customFormat="1" ht="14.45">
      <c r="A2760" s="16" t="s">
        <v>251</v>
      </c>
      <c r="B2760" s="156" t="s">
        <v>3294</v>
      </c>
      <c r="C2760" s="155"/>
      <c r="D2760" s="418"/>
    </row>
    <row r="2761" spans="1:4" s="79" customFormat="1" ht="14.45">
      <c r="A2761" s="90"/>
      <c r="B2761" s="285" t="s">
        <v>1076</v>
      </c>
      <c r="C2761" s="155" t="s">
        <v>1077</v>
      </c>
      <c r="D2761" s="418"/>
    </row>
    <row r="2762" spans="1:4" s="79" customFormat="1" ht="14.45">
      <c r="A2762" s="16" t="s">
        <v>252</v>
      </c>
      <c r="B2762" s="156" t="s">
        <v>3295</v>
      </c>
      <c r="C2762" s="155"/>
      <c r="D2762" s="418"/>
    </row>
    <row r="2763" spans="1:4" s="79" customFormat="1" ht="26.45">
      <c r="A2763" s="331"/>
      <c r="B2763" s="113" t="s">
        <v>3296</v>
      </c>
      <c r="C2763" s="114"/>
      <c r="D2763" s="418"/>
    </row>
    <row r="2764" spans="1:4" s="79" customFormat="1" ht="14.45">
      <c r="A2764" s="331"/>
      <c r="B2764" s="113" t="s">
        <v>2016</v>
      </c>
      <c r="C2764" s="114"/>
      <c r="D2764" s="418"/>
    </row>
    <row r="2765" spans="1:4" s="79" customFormat="1" ht="14.45">
      <c r="A2765" s="331"/>
      <c r="B2765" s="157" t="s">
        <v>3297</v>
      </c>
      <c r="C2765" s="114"/>
      <c r="D2765" s="418"/>
    </row>
    <row r="2766" spans="1:4" s="79" customFormat="1" ht="14.45">
      <c r="A2766" s="331"/>
      <c r="B2766" s="157" t="s">
        <v>3298</v>
      </c>
      <c r="C2766" s="114"/>
      <c r="D2766" s="418"/>
    </row>
    <row r="2767" spans="1:4" s="79" customFormat="1" ht="14.45">
      <c r="A2767" s="331"/>
      <c r="B2767" s="157" t="s">
        <v>3299</v>
      </c>
      <c r="C2767" s="114"/>
      <c r="D2767" s="418"/>
    </row>
    <row r="2768" spans="1:4" s="79" customFormat="1" ht="14.45">
      <c r="A2768" s="90"/>
      <c r="B2768" s="285" t="s">
        <v>3300</v>
      </c>
      <c r="C2768" s="155"/>
      <c r="D2768" s="418"/>
    </row>
    <row r="2769" spans="1:4" s="79" customFormat="1" ht="14.45">
      <c r="A2769" s="112"/>
      <c r="B2769" s="285" t="s">
        <v>1028</v>
      </c>
      <c r="C2769" s="114" t="s">
        <v>1029</v>
      </c>
      <c r="D2769" s="418"/>
    </row>
    <row r="2770" spans="1:4" s="79" customFormat="1" ht="14.45">
      <c r="A2770" s="152" t="s">
        <v>3301</v>
      </c>
      <c r="B2770" s="59" t="s">
        <v>3302</v>
      </c>
      <c r="C2770" s="153"/>
      <c r="D2770" s="439"/>
    </row>
    <row r="2771" spans="1:4" s="79" customFormat="1" ht="219" customHeight="1">
      <c r="A2771" s="331"/>
      <c r="B2771" s="158" t="s">
        <v>3303</v>
      </c>
      <c r="C2771" s="114"/>
      <c r="D2771" s="418"/>
    </row>
    <row r="2772" spans="1:4" s="79" customFormat="1" ht="14.45">
      <c r="A2772" s="16" t="s">
        <v>255</v>
      </c>
      <c r="B2772" s="156" t="s">
        <v>3304</v>
      </c>
      <c r="C2772" s="114"/>
      <c r="D2772" s="418"/>
    </row>
    <row r="2773" spans="1:4" s="79" customFormat="1" ht="14.45">
      <c r="A2773" s="90"/>
      <c r="B2773" s="285" t="s">
        <v>1076</v>
      </c>
      <c r="C2773" s="155" t="s">
        <v>1077</v>
      </c>
      <c r="D2773" s="418"/>
    </row>
    <row r="2774" spans="1:4" s="79" customFormat="1" ht="14.45">
      <c r="A2774" s="16" t="s">
        <v>256</v>
      </c>
      <c r="B2774" s="156" t="s">
        <v>3305</v>
      </c>
      <c r="C2774" s="114"/>
      <c r="D2774" s="418"/>
    </row>
    <row r="2775" spans="1:4" s="79" customFormat="1" ht="14.45">
      <c r="A2775" s="331"/>
      <c r="B2775" s="285" t="s">
        <v>1076</v>
      </c>
      <c r="C2775" s="155" t="s">
        <v>1077</v>
      </c>
      <c r="D2775" s="418"/>
    </row>
    <row r="2776" spans="1:4" s="79" customFormat="1" ht="14.45">
      <c r="A2776" s="16" t="s">
        <v>257</v>
      </c>
      <c r="B2776" s="156" t="s">
        <v>3306</v>
      </c>
      <c r="C2776" s="114"/>
      <c r="D2776" s="418"/>
    </row>
    <row r="2777" spans="1:4" s="79" customFormat="1" ht="14.45">
      <c r="A2777" s="90"/>
      <c r="B2777" s="285" t="s">
        <v>1076</v>
      </c>
      <c r="C2777" s="155" t="s">
        <v>1077</v>
      </c>
      <c r="D2777" s="418"/>
    </row>
    <row r="2778" spans="1:4" s="79" customFormat="1" ht="14.45">
      <c r="A2778" s="16" t="s">
        <v>258</v>
      </c>
      <c r="B2778" s="156" t="s">
        <v>3307</v>
      </c>
      <c r="C2778" s="114"/>
      <c r="D2778" s="418"/>
    </row>
    <row r="2779" spans="1:4" s="79" customFormat="1" ht="14.45">
      <c r="A2779" s="331"/>
      <c r="B2779" s="285" t="s">
        <v>1076</v>
      </c>
      <c r="C2779" s="155" t="s">
        <v>1077</v>
      </c>
      <c r="D2779" s="418"/>
    </row>
    <row r="2780" spans="1:4" s="79" customFormat="1" ht="14.45">
      <c r="A2780" s="16" t="s">
        <v>259</v>
      </c>
      <c r="B2780" s="156" t="s">
        <v>3308</v>
      </c>
      <c r="C2780" s="114"/>
      <c r="D2780" s="418"/>
    </row>
    <row r="2781" spans="1:4" s="79" customFormat="1" ht="14.45">
      <c r="A2781" s="90"/>
      <c r="B2781" s="285" t="s">
        <v>1076</v>
      </c>
      <c r="C2781" s="155" t="s">
        <v>1077</v>
      </c>
      <c r="D2781" s="418"/>
    </row>
    <row r="2782" spans="1:4" s="79" customFormat="1" ht="14.45">
      <c r="A2782" s="16" t="s">
        <v>260</v>
      </c>
      <c r="B2782" s="156" t="s">
        <v>3309</v>
      </c>
      <c r="C2782" s="114"/>
      <c r="D2782" s="418"/>
    </row>
    <row r="2783" spans="1:4" s="79" customFormat="1" ht="14.45">
      <c r="A2783" s="90"/>
      <c r="B2783" s="313" t="s">
        <v>1076</v>
      </c>
      <c r="C2783" s="155" t="s">
        <v>1077</v>
      </c>
      <c r="D2783" s="418"/>
    </row>
    <row r="2784" spans="1:4" s="79" customFormat="1" ht="14.45">
      <c r="A2784" s="152" t="s">
        <v>3310</v>
      </c>
      <c r="B2784" s="59" t="s">
        <v>3311</v>
      </c>
      <c r="C2784" s="153"/>
      <c r="D2784" s="439"/>
    </row>
    <row r="2785" spans="1:4" s="79" customFormat="1" ht="16.5" customHeight="1">
      <c r="A2785" s="16" t="s">
        <v>266</v>
      </c>
      <c r="B2785" s="115" t="s">
        <v>3312</v>
      </c>
      <c r="C2785" s="114"/>
      <c r="D2785" s="418"/>
    </row>
    <row r="2786" spans="1:4" s="79" customFormat="1" ht="12.75" customHeight="1">
      <c r="A2786" s="122"/>
      <c r="B2786" s="285" t="s">
        <v>3313</v>
      </c>
      <c r="C2786" s="114"/>
      <c r="D2786" s="418"/>
    </row>
    <row r="2787" spans="1:4" s="79" customFormat="1" ht="14.45">
      <c r="A2787" s="122"/>
      <c r="B2787" s="285" t="s">
        <v>1541</v>
      </c>
      <c r="C2787" s="114"/>
      <c r="D2787" s="418"/>
    </row>
    <row r="2788" spans="1:4" s="79" customFormat="1" ht="14.45">
      <c r="A2788" s="112" t="s">
        <v>959</v>
      </c>
      <c r="B2788" s="285" t="s">
        <v>1542</v>
      </c>
      <c r="C2788" s="114" t="s">
        <v>959</v>
      </c>
      <c r="D2788" s="418"/>
    </row>
    <row r="2789" spans="1:4" s="79" customFormat="1" ht="14.45">
      <c r="A2789" s="112"/>
      <c r="B2789" s="285" t="s">
        <v>3314</v>
      </c>
      <c r="C2789" s="114"/>
      <c r="D2789" s="418"/>
    </row>
    <row r="2790" spans="1:4" s="79" customFormat="1" ht="14.45">
      <c r="A2790" s="112"/>
      <c r="B2790" s="285" t="s">
        <v>3315</v>
      </c>
      <c r="C2790" s="114"/>
      <c r="D2790" s="418"/>
    </row>
    <row r="2791" spans="1:4" s="79" customFormat="1" ht="14.45">
      <c r="A2791" s="112"/>
      <c r="B2791" s="285" t="s">
        <v>3316</v>
      </c>
      <c r="C2791" s="114"/>
      <c r="D2791" s="418"/>
    </row>
    <row r="2792" spans="1:4" s="79" customFormat="1" ht="14.45">
      <c r="A2792" s="112"/>
      <c r="B2792" s="285" t="s">
        <v>3317</v>
      </c>
      <c r="C2792" s="114"/>
      <c r="D2792" s="418"/>
    </row>
    <row r="2793" spans="1:4" s="79" customFormat="1" ht="14.45">
      <c r="A2793" s="112" t="s">
        <v>959</v>
      </c>
      <c r="B2793" s="285" t="s">
        <v>3269</v>
      </c>
      <c r="C2793" s="114" t="s">
        <v>959</v>
      </c>
      <c r="D2793" s="418"/>
    </row>
    <row r="2794" spans="1:4" s="79" customFormat="1" ht="14.45">
      <c r="A2794" s="112"/>
      <c r="B2794" s="285" t="s">
        <v>1028</v>
      </c>
      <c r="C2794" s="114" t="s">
        <v>1029</v>
      </c>
      <c r="D2794" s="418"/>
    </row>
    <row r="2795" spans="1:4" s="79" customFormat="1" ht="14.45">
      <c r="A2795" s="16" t="s">
        <v>267</v>
      </c>
      <c r="B2795" s="115" t="s">
        <v>3318</v>
      </c>
      <c r="C2795" s="114"/>
      <c r="D2795" s="418"/>
    </row>
    <row r="2796" spans="1:4" s="79" customFormat="1" ht="14.45">
      <c r="A2796" s="122"/>
      <c r="B2796" s="285" t="s">
        <v>3319</v>
      </c>
      <c r="C2796" s="114"/>
      <c r="D2796" s="418"/>
    </row>
    <row r="2797" spans="1:4" s="79" customFormat="1" ht="14.45">
      <c r="A2797" s="122"/>
      <c r="B2797" s="285" t="s">
        <v>961</v>
      </c>
      <c r="C2797" s="114"/>
      <c r="D2797" s="418"/>
    </row>
    <row r="2798" spans="1:4" s="79" customFormat="1" ht="14.45">
      <c r="A2798" s="112" t="s">
        <v>959</v>
      </c>
      <c r="B2798" s="285" t="s">
        <v>1542</v>
      </c>
      <c r="C2798" s="114" t="s">
        <v>959</v>
      </c>
      <c r="D2798" s="418"/>
    </row>
    <row r="2799" spans="1:4" s="79" customFormat="1" ht="14.45">
      <c r="A2799" s="112"/>
      <c r="B2799" s="285" t="s">
        <v>3320</v>
      </c>
      <c r="C2799" s="114"/>
      <c r="D2799" s="418"/>
    </row>
    <row r="2800" spans="1:4" s="79" customFormat="1" ht="14.45">
      <c r="A2800" s="112"/>
      <c r="B2800" s="285" t="s">
        <v>3321</v>
      </c>
      <c r="C2800" s="114"/>
      <c r="D2800" s="418"/>
    </row>
    <row r="2801" spans="1:4" s="79" customFormat="1" ht="14.45">
      <c r="A2801" s="112"/>
      <c r="B2801" s="285" t="s">
        <v>3322</v>
      </c>
      <c r="C2801" s="114"/>
      <c r="D2801" s="418"/>
    </row>
    <row r="2802" spans="1:4" s="79" customFormat="1" ht="14.45">
      <c r="A2802" s="112" t="s">
        <v>959</v>
      </c>
      <c r="B2802" s="285" t="s">
        <v>3269</v>
      </c>
      <c r="C2802" s="114" t="s">
        <v>959</v>
      </c>
      <c r="D2802" s="418"/>
    </row>
    <row r="2803" spans="1:4" s="79" customFormat="1" ht="14.45">
      <c r="A2803" s="122" t="s">
        <v>3323</v>
      </c>
      <c r="B2803" s="132" t="s">
        <v>3324</v>
      </c>
      <c r="C2803" s="114"/>
      <c r="D2803" s="418"/>
    </row>
    <row r="2804" spans="1:4" s="79" customFormat="1" ht="14.45">
      <c r="A2804" s="122" t="s">
        <v>3325</v>
      </c>
      <c r="B2804" s="132" t="s">
        <v>3326</v>
      </c>
      <c r="C2804" s="114"/>
      <c r="D2804" s="418"/>
    </row>
    <row r="2805" spans="1:4" s="79" customFormat="1" ht="14.45">
      <c r="A2805" s="122"/>
      <c r="B2805" s="285" t="s">
        <v>1028</v>
      </c>
      <c r="C2805" s="114" t="s">
        <v>1029</v>
      </c>
      <c r="D2805" s="418"/>
    </row>
    <row r="2806" spans="1:4" s="79" customFormat="1" ht="14.45">
      <c r="A2806" s="122" t="s">
        <v>3327</v>
      </c>
      <c r="B2806" s="132" t="s">
        <v>3328</v>
      </c>
      <c r="C2806" s="114"/>
      <c r="D2806" s="418"/>
    </row>
    <row r="2807" spans="1:4" s="79" customFormat="1" ht="14.45">
      <c r="A2807" s="122"/>
      <c r="B2807" s="285" t="s">
        <v>1028</v>
      </c>
      <c r="C2807" s="114" t="s">
        <v>1029</v>
      </c>
      <c r="D2807" s="418"/>
    </row>
    <row r="2808" spans="1:4" s="79" customFormat="1" ht="14.45">
      <c r="A2808" s="122" t="s">
        <v>3329</v>
      </c>
      <c r="B2808" s="132" t="s">
        <v>3330</v>
      </c>
      <c r="C2808" s="114"/>
      <c r="D2808" s="418"/>
    </row>
    <row r="2809" spans="1:4" s="79" customFormat="1" ht="14.45">
      <c r="A2809" s="122"/>
      <c r="B2809" s="285" t="s">
        <v>1028</v>
      </c>
      <c r="C2809" s="114" t="s">
        <v>1029</v>
      </c>
      <c r="D2809" s="418"/>
    </row>
    <row r="2810" spans="1:4" s="79" customFormat="1" ht="14.45">
      <c r="A2810" s="122" t="s">
        <v>3331</v>
      </c>
      <c r="B2810" s="132" t="s">
        <v>3332</v>
      </c>
      <c r="C2810" s="114"/>
      <c r="D2810" s="418"/>
    </row>
    <row r="2811" spans="1:4" s="79" customFormat="1" ht="14.45">
      <c r="A2811" s="122"/>
      <c r="B2811" s="285" t="s">
        <v>1028</v>
      </c>
      <c r="C2811" s="114" t="s">
        <v>1029</v>
      </c>
      <c r="D2811" s="418"/>
    </row>
    <row r="2812" spans="1:4" s="79" customFormat="1" ht="14.45">
      <c r="A2812" s="122" t="s">
        <v>3333</v>
      </c>
      <c r="B2812" s="132" t="s">
        <v>3334</v>
      </c>
      <c r="C2812" s="114"/>
      <c r="D2812" s="418"/>
    </row>
    <row r="2813" spans="1:4" s="79" customFormat="1" ht="26.45">
      <c r="A2813" s="122" t="s">
        <v>3335</v>
      </c>
      <c r="B2813" s="132" t="s">
        <v>3336</v>
      </c>
      <c r="C2813" s="114"/>
      <c r="D2813" s="418"/>
    </row>
    <row r="2814" spans="1:4" s="79" customFormat="1" ht="14.45">
      <c r="A2814" s="122"/>
      <c r="B2814" s="285" t="s">
        <v>1028</v>
      </c>
      <c r="C2814" s="114" t="s">
        <v>1029</v>
      </c>
      <c r="D2814" s="418"/>
    </row>
    <row r="2815" spans="1:4" s="79" customFormat="1" ht="26.45">
      <c r="A2815" s="122" t="s">
        <v>3337</v>
      </c>
      <c r="B2815" s="132" t="s">
        <v>3338</v>
      </c>
      <c r="C2815" s="114"/>
      <c r="D2815" s="418"/>
    </row>
    <row r="2816" spans="1:4" s="79" customFormat="1" ht="14.45">
      <c r="A2816" s="122"/>
      <c r="B2816" s="285" t="s">
        <v>1028</v>
      </c>
      <c r="C2816" s="114" t="s">
        <v>1029</v>
      </c>
      <c r="D2816" s="418"/>
    </row>
    <row r="2817" spans="1:4" s="79" customFormat="1" ht="26.45">
      <c r="A2817" s="122" t="s">
        <v>3339</v>
      </c>
      <c r="B2817" s="132" t="s">
        <v>3340</v>
      </c>
      <c r="C2817" s="114"/>
      <c r="D2817" s="418"/>
    </row>
    <row r="2818" spans="1:4" s="79" customFormat="1" ht="14.45">
      <c r="A2818" s="122"/>
      <c r="B2818" s="285" t="s">
        <v>1028</v>
      </c>
      <c r="C2818" s="114" t="s">
        <v>1029</v>
      </c>
      <c r="D2818" s="418"/>
    </row>
    <row r="2819" spans="1:4" s="79" customFormat="1" ht="26.45">
      <c r="A2819" s="122" t="s">
        <v>3341</v>
      </c>
      <c r="B2819" s="132" t="s">
        <v>3342</v>
      </c>
      <c r="C2819" s="114"/>
      <c r="D2819" s="418"/>
    </row>
    <row r="2820" spans="1:4" s="79" customFormat="1" ht="14.45">
      <c r="A2820" s="122"/>
      <c r="B2820" s="285" t="s">
        <v>1028</v>
      </c>
      <c r="C2820" s="114" t="s">
        <v>1029</v>
      </c>
      <c r="D2820" s="418"/>
    </row>
    <row r="2821" spans="1:4" s="79" customFormat="1" ht="14.45">
      <c r="A2821" s="122" t="s">
        <v>3343</v>
      </c>
      <c r="B2821" s="132" t="s">
        <v>3344</v>
      </c>
      <c r="C2821" s="114"/>
      <c r="D2821" s="418"/>
    </row>
    <row r="2822" spans="1:4" s="79" customFormat="1" ht="14.45">
      <c r="A2822" s="122"/>
      <c r="B2822" s="285" t="s">
        <v>1076</v>
      </c>
      <c r="C2822" s="114" t="s">
        <v>1077</v>
      </c>
      <c r="D2822" s="418"/>
    </row>
    <row r="2823" spans="1:4" s="79" customFormat="1" ht="14.45">
      <c r="A2823" s="122" t="s">
        <v>3345</v>
      </c>
      <c r="B2823" s="132" t="s">
        <v>3346</v>
      </c>
      <c r="C2823" s="114"/>
      <c r="D2823" s="418"/>
    </row>
    <row r="2824" spans="1:4" s="79" customFormat="1" ht="14.45">
      <c r="A2824" s="122"/>
      <c r="B2824" s="285" t="s">
        <v>1076</v>
      </c>
      <c r="C2824" s="114" t="s">
        <v>1077</v>
      </c>
      <c r="D2824" s="418"/>
    </row>
    <row r="2825" spans="1:4" s="79" customFormat="1" ht="14.45">
      <c r="A2825" s="16" t="s">
        <v>268</v>
      </c>
      <c r="B2825" s="115" t="s">
        <v>3347</v>
      </c>
      <c r="C2825" s="261"/>
      <c r="D2825" s="418"/>
    </row>
    <row r="2826" spans="1:4" s="79" customFormat="1" ht="14.45">
      <c r="A2826" s="122"/>
      <c r="B2826" s="285" t="s">
        <v>2807</v>
      </c>
      <c r="C2826" s="114" t="s">
        <v>3348</v>
      </c>
      <c r="D2826" s="418"/>
    </row>
    <row r="2827" spans="1:4" s="79" customFormat="1" ht="26.45">
      <c r="A2827" s="16" t="s">
        <v>269</v>
      </c>
      <c r="B2827" s="115" t="s">
        <v>3349</v>
      </c>
      <c r="C2827" s="261"/>
      <c r="D2827" s="418"/>
    </row>
    <row r="2828" spans="1:4" s="79" customFormat="1" ht="14.45">
      <c r="A2828" s="122"/>
      <c r="B2828" s="285" t="s">
        <v>1076</v>
      </c>
      <c r="C2828" s="114" t="s">
        <v>1077</v>
      </c>
      <c r="D2828" s="418"/>
    </row>
    <row r="2829" spans="1:4" s="79" customFormat="1" ht="14.45">
      <c r="A2829" s="16" t="s">
        <v>270</v>
      </c>
      <c r="B2829" s="115" t="s">
        <v>3350</v>
      </c>
      <c r="C2829" s="114"/>
      <c r="D2829" s="418"/>
    </row>
    <row r="2830" spans="1:4" s="79" customFormat="1" ht="14.45">
      <c r="A2830" s="122"/>
      <c r="B2830" s="285" t="s">
        <v>1028</v>
      </c>
      <c r="C2830" s="114" t="s">
        <v>1029</v>
      </c>
      <c r="D2830" s="418"/>
    </row>
    <row r="2831" spans="1:4" s="79" customFormat="1" ht="14.45">
      <c r="A2831" s="16" t="s">
        <v>271</v>
      </c>
      <c r="B2831" s="115" t="s">
        <v>3351</v>
      </c>
      <c r="C2831" s="114"/>
      <c r="D2831" s="418"/>
    </row>
    <row r="2832" spans="1:4" s="79" customFormat="1" ht="14.45">
      <c r="A2832" s="122"/>
      <c r="B2832" s="285" t="s">
        <v>1028</v>
      </c>
      <c r="C2832" s="114" t="s">
        <v>1029</v>
      </c>
      <c r="D2832" s="418"/>
    </row>
    <row r="2833" spans="1:4" s="79" customFormat="1" ht="14.45">
      <c r="A2833" s="16" t="s">
        <v>272</v>
      </c>
      <c r="B2833" s="115" t="s">
        <v>3352</v>
      </c>
      <c r="C2833" s="114"/>
      <c r="D2833" s="418"/>
    </row>
    <row r="2834" spans="1:4" s="79" customFormat="1" ht="14.45">
      <c r="A2834" s="122"/>
      <c r="B2834" s="285" t="s">
        <v>1028</v>
      </c>
      <c r="C2834" s="114" t="s">
        <v>1029</v>
      </c>
      <c r="D2834" s="418"/>
    </row>
    <row r="2835" spans="1:4" s="79" customFormat="1" ht="26.45">
      <c r="A2835" s="16" t="s">
        <v>273</v>
      </c>
      <c r="B2835" s="115" t="s">
        <v>3353</v>
      </c>
      <c r="C2835" s="114"/>
      <c r="D2835" s="418"/>
    </row>
    <row r="2836" spans="1:4" s="79" customFormat="1" ht="26.45">
      <c r="A2836" s="122"/>
      <c r="B2836" s="285" t="s">
        <v>3354</v>
      </c>
      <c r="C2836" s="114"/>
      <c r="D2836" s="418"/>
    </row>
    <row r="2837" spans="1:4" s="79" customFormat="1" ht="14.45">
      <c r="A2837" s="122"/>
      <c r="B2837" s="285" t="s">
        <v>1541</v>
      </c>
      <c r="C2837" s="114"/>
      <c r="D2837" s="418"/>
    </row>
    <row r="2838" spans="1:4" s="79" customFormat="1" ht="14.45">
      <c r="A2838" s="112" t="s">
        <v>959</v>
      </c>
      <c r="B2838" s="285" t="s">
        <v>1542</v>
      </c>
      <c r="C2838" s="114" t="s">
        <v>959</v>
      </c>
      <c r="D2838" s="418"/>
    </row>
    <row r="2839" spans="1:4" s="79" customFormat="1" ht="14.45">
      <c r="A2839" s="112"/>
      <c r="B2839" s="285" t="s">
        <v>3355</v>
      </c>
      <c r="C2839" s="114"/>
      <c r="D2839" s="418"/>
    </row>
    <row r="2840" spans="1:4" s="79" customFormat="1" ht="26.45">
      <c r="A2840" s="112"/>
      <c r="B2840" s="285" t="s">
        <v>3356</v>
      </c>
      <c r="C2840" s="114"/>
      <c r="D2840" s="418"/>
    </row>
    <row r="2841" spans="1:4" s="79" customFormat="1" ht="14.45">
      <c r="A2841" s="112" t="s">
        <v>959</v>
      </c>
      <c r="B2841" s="285" t="s">
        <v>3357</v>
      </c>
      <c r="C2841" s="114" t="s">
        <v>959</v>
      </c>
      <c r="D2841" s="418"/>
    </row>
    <row r="2842" spans="1:4" s="79" customFormat="1" ht="14.45">
      <c r="A2842" s="112"/>
      <c r="B2842" s="285" t="s">
        <v>3358</v>
      </c>
      <c r="C2842" s="114"/>
      <c r="D2842" s="418"/>
    </row>
    <row r="2843" spans="1:4" s="79" customFormat="1" ht="14.45">
      <c r="A2843" s="112"/>
      <c r="B2843" s="285" t="s">
        <v>3359</v>
      </c>
      <c r="C2843" s="114"/>
      <c r="D2843" s="418"/>
    </row>
    <row r="2844" spans="1:4" s="79" customFormat="1" ht="14.45">
      <c r="A2844" s="112"/>
      <c r="B2844" s="285" t="s">
        <v>3269</v>
      </c>
      <c r="C2844" s="114"/>
      <c r="D2844" s="418"/>
    </row>
    <row r="2845" spans="1:4" s="79" customFormat="1" ht="14.45">
      <c r="A2845" s="122" t="s">
        <v>3360</v>
      </c>
      <c r="B2845" s="132" t="s">
        <v>3361</v>
      </c>
      <c r="C2845" s="114"/>
      <c r="D2845" s="418"/>
    </row>
    <row r="2846" spans="1:4" s="79" customFormat="1" ht="14.45">
      <c r="A2846" s="112"/>
      <c r="B2846" s="285" t="s">
        <v>1028</v>
      </c>
      <c r="C2846" s="114" t="s">
        <v>1029</v>
      </c>
      <c r="D2846" s="418"/>
    </row>
    <row r="2847" spans="1:4" s="79" customFormat="1" ht="14.45">
      <c r="A2847" s="122" t="s">
        <v>3362</v>
      </c>
      <c r="B2847" s="132" t="s">
        <v>3363</v>
      </c>
      <c r="C2847" s="114"/>
      <c r="D2847" s="418"/>
    </row>
    <row r="2848" spans="1:4" s="79" customFormat="1" ht="14.45">
      <c r="A2848" s="122"/>
      <c r="B2848" s="285" t="s">
        <v>1028</v>
      </c>
      <c r="C2848" s="114" t="s">
        <v>1029</v>
      </c>
      <c r="D2848" s="418"/>
    </row>
    <row r="2849" spans="1:4" s="2" customFormat="1">
      <c r="A2849" s="112" t="s">
        <v>274</v>
      </c>
      <c r="B2849" s="115" t="s">
        <v>3364</v>
      </c>
      <c r="C2849" s="114"/>
      <c r="D2849" s="418"/>
    </row>
    <row r="2850" spans="1:4" s="3" customFormat="1" ht="26.45">
      <c r="A2850" s="112"/>
      <c r="B2850" s="285" t="s">
        <v>3365</v>
      </c>
      <c r="C2850" s="114"/>
      <c r="D2850" s="418"/>
    </row>
    <row r="2851" spans="1:4" s="2" customFormat="1">
      <c r="A2851" s="112"/>
      <c r="B2851" s="285" t="s">
        <v>1541</v>
      </c>
      <c r="C2851" s="114"/>
      <c r="D2851" s="418"/>
    </row>
    <row r="2852" spans="1:4" s="2" customFormat="1">
      <c r="A2852" s="112"/>
      <c r="B2852" s="285" t="s">
        <v>1542</v>
      </c>
      <c r="C2852" s="114"/>
      <c r="D2852" s="418"/>
    </row>
    <row r="2853" spans="1:4" s="3" customFormat="1">
      <c r="A2853" s="112"/>
      <c r="B2853" s="285" t="s">
        <v>3366</v>
      </c>
      <c r="C2853" s="114"/>
      <c r="D2853" s="418"/>
    </row>
    <row r="2854" spans="1:4" s="2" customFormat="1" ht="26.45">
      <c r="A2854" s="112"/>
      <c r="B2854" s="285" t="s">
        <v>3367</v>
      </c>
      <c r="C2854" s="114"/>
      <c r="D2854" s="418"/>
    </row>
    <row r="2855" spans="1:4" s="2" customFormat="1">
      <c r="A2855" s="122"/>
      <c r="B2855" s="285" t="s">
        <v>3269</v>
      </c>
      <c r="C2855" s="114"/>
      <c r="D2855" s="418"/>
    </row>
    <row r="2856" spans="1:4" s="2" customFormat="1">
      <c r="A2856" s="122" t="s">
        <v>3368</v>
      </c>
      <c r="B2856" s="132" t="s">
        <v>3361</v>
      </c>
      <c r="C2856" s="114"/>
      <c r="D2856" s="418"/>
    </row>
    <row r="2857" spans="1:4" s="2" customFormat="1">
      <c r="A2857" s="122"/>
      <c r="B2857" s="285" t="s">
        <v>1028</v>
      </c>
      <c r="C2857" s="114" t="s">
        <v>1029</v>
      </c>
      <c r="D2857" s="418"/>
    </row>
    <row r="2858" spans="1:4" s="3" customFormat="1">
      <c r="A2858" s="122" t="s">
        <v>3369</v>
      </c>
      <c r="B2858" s="132" t="s">
        <v>3363</v>
      </c>
      <c r="C2858" s="114"/>
      <c r="D2858" s="418"/>
    </row>
    <row r="2859" spans="1:4" s="2" customFormat="1">
      <c r="A2859" s="122"/>
      <c r="B2859" s="285" t="s">
        <v>1028</v>
      </c>
      <c r="C2859" s="114" t="s">
        <v>1029</v>
      </c>
      <c r="D2859" s="418"/>
    </row>
    <row r="2860" spans="1:4" s="2" customFormat="1">
      <c r="A2860" s="112" t="s">
        <v>275</v>
      </c>
      <c r="B2860" s="115" t="s">
        <v>3370</v>
      </c>
      <c r="C2860" s="114"/>
      <c r="D2860" s="418"/>
    </row>
    <row r="2861" spans="1:4" s="2" customFormat="1" ht="26.45">
      <c r="A2861" s="112"/>
      <c r="B2861" s="285" t="s">
        <v>3371</v>
      </c>
      <c r="C2861" s="114"/>
      <c r="D2861" s="418"/>
    </row>
    <row r="2862" spans="1:4" s="2" customFormat="1">
      <c r="A2862" s="112"/>
      <c r="B2862" s="285" t="s">
        <v>1541</v>
      </c>
      <c r="C2862" s="114"/>
      <c r="D2862" s="418"/>
    </row>
    <row r="2863" spans="1:4" s="2" customFormat="1">
      <c r="A2863" s="112"/>
      <c r="B2863" s="285" t="s">
        <v>1542</v>
      </c>
      <c r="C2863" s="114"/>
      <c r="D2863" s="418"/>
    </row>
    <row r="2864" spans="1:4" s="2" customFormat="1">
      <c r="A2864" s="112"/>
      <c r="B2864" s="285" t="s">
        <v>3366</v>
      </c>
      <c r="C2864" s="114"/>
      <c r="D2864" s="418"/>
    </row>
    <row r="2865" spans="1:4" s="2" customFormat="1">
      <c r="A2865" s="112"/>
      <c r="B2865" s="285" t="s">
        <v>3372</v>
      </c>
      <c r="C2865" s="114"/>
      <c r="D2865" s="418"/>
    </row>
    <row r="2866" spans="1:4" s="2" customFormat="1">
      <c r="A2866" s="122"/>
      <c r="B2866" s="285" t="s">
        <v>3269</v>
      </c>
      <c r="C2866" s="114"/>
      <c r="D2866" s="418"/>
    </row>
    <row r="2867" spans="1:4" s="2" customFormat="1">
      <c r="A2867" s="122" t="s">
        <v>3373</v>
      </c>
      <c r="B2867" s="132" t="s">
        <v>3361</v>
      </c>
      <c r="C2867" s="114"/>
      <c r="D2867" s="418"/>
    </row>
    <row r="2868" spans="1:4" s="3" customFormat="1">
      <c r="A2868" s="122"/>
      <c r="B2868" s="285" t="s">
        <v>1028</v>
      </c>
      <c r="C2868" s="114" t="s">
        <v>1029</v>
      </c>
      <c r="D2868" s="418"/>
    </row>
    <row r="2869" spans="1:4" s="2" customFormat="1">
      <c r="A2869" s="122" t="s">
        <v>3374</v>
      </c>
      <c r="B2869" s="132" t="s">
        <v>3363</v>
      </c>
      <c r="C2869" s="114"/>
      <c r="D2869" s="418"/>
    </row>
    <row r="2870" spans="1:4" s="2" customFormat="1">
      <c r="A2870" s="159"/>
      <c r="B2870" s="285" t="s">
        <v>1028</v>
      </c>
      <c r="C2870" s="114" t="s">
        <v>1029</v>
      </c>
      <c r="D2870" s="418"/>
    </row>
    <row r="2871" spans="1:4" s="3" customFormat="1">
      <c r="A2871" s="112" t="s">
        <v>276</v>
      </c>
      <c r="B2871" s="115" t="s">
        <v>3375</v>
      </c>
      <c r="C2871" s="114"/>
      <c r="D2871" s="418"/>
    </row>
    <row r="2872" spans="1:4" s="2" customFormat="1" ht="26.45">
      <c r="A2872" s="122"/>
      <c r="B2872" s="285" t="s">
        <v>3376</v>
      </c>
      <c r="C2872" s="114"/>
      <c r="D2872" s="418"/>
    </row>
    <row r="2873" spans="1:4" s="2" customFormat="1">
      <c r="A2873" s="122"/>
      <c r="B2873" s="285" t="s">
        <v>1028</v>
      </c>
      <c r="C2873" s="114" t="s">
        <v>1029</v>
      </c>
      <c r="D2873" s="418"/>
    </row>
    <row r="2874" spans="1:4" s="3" customFormat="1">
      <c r="A2874" s="112" t="s">
        <v>3377</v>
      </c>
      <c r="B2874" s="115" t="s">
        <v>3378</v>
      </c>
      <c r="C2874" s="114"/>
      <c r="D2874" s="418"/>
    </row>
    <row r="2875" spans="1:4" s="3" customFormat="1" ht="26.45">
      <c r="A2875" s="122"/>
      <c r="B2875" s="285" t="s">
        <v>3379</v>
      </c>
      <c r="C2875" s="114"/>
      <c r="D2875" s="418"/>
    </row>
    <row r="2876" spans="1:4" s="3" customFormat="1">
      <c r="A2876" s="122"/>
      <c r="B2876" s="285" t="s">
        <v>2016</v>
      </c>
      <c r="C2876" s="114"/>
      <c r="D2876" s="418"/>
    </row>
    <row r="2877" spans="1:4" s="3" customFormat="1">
      <c r="A2877" s="122"/>
      <c r="B2877" s="285" t="s">
        <v>3380</v>
      </c>
      <c r="C2877" s="114"/>
      <c r="D2877" s="418"/>
    </row>
    <row r="2878" spans="1:4" s="2" customFormat="1" ht="39.6">
      <c r="A2878" s="122"/>
      <c r="B2878" s="285" t="s">
        <v>3381</v>
      </c>
      <c r="C2878" s="114"/>
      <c r="D2878" s="418"/>
    </row>
    <row r="2879" spans="1:4" s="2" customFormat="1" ht="39.6">
      <c r="A2879" s="122"/>
      <c r="B2879" s="330" t="s">
        <v>3382</v>
      </c>
      <c r="C2879" s="114"/>
      <c r="D2879" s="418"/>
    </row>
    <row r="2880" spans="1:4" s="2" customFormat="1">
      <c r="A2880" s="122"/>
      <c r="B2880" s="330" t="s">
        <v>3383</v>
      </c>
      <c r="C2880" s="114"/>
      <c r="D2880" s="418"/>
    </row>
    <row r="2881" spans="1:4" s="2" customFormat="1">
      <c r="A2881" s="122" t="s">
        <v>3384</v>
      </c>
      <c r="B2881" s="132" t="s">
        <v>3385</v>
      </c>
      <c r="C2881" s="114"/>
      <c r="D2881" s="418"/>
    </row>
    <row r="2882" spans="1:4" s="3" customFormat="1">
      <c r="A2882" s="122"/>
      <c r="B2882" s="285" t="s">
        <v>1028</v>
      </c>
      <c r="C2882" s="114" t="s">
        <v>1029</v>
      </c>
      <c r="D2882" s="418"/>
    </row>
    <row r="2883" spans="1:4" s="2" customFormat="1" ht="15" customHeight="1">
      <c r="A2883" s="122" t="s">
        <v>3386</v>
      </c>
      <c r="B2883" s="132" t="s">
        <v>3387</v>
      </c>
      <c r="C2883" s="114"/>
      <c r="D2883" s="418"/>
    </row>
    <row r="2884" spans="1:4" s="3" customFormat="1">
      <c r="A2884" s="122"/>
      <c r="B2884" s="285" t="s">
        <v>1028</v>
      </c>
      <c r="C2884" s="114" t="s">
        <v>1029</v>
      </c>
      <c r="D2884" s="418"/>
    </row>
    <row r="2885" spans="1:4" s="2" customFormat="1" ht="15" customHeight="1">
      <c r="A2885" s="122" t="s">
        <v>3388</v>
      </c>
      <c r="B2885" s="132" t="s">
        <v>3389</v>
      </c>
      <c r="C2885" s="114"/>
      <c r="D2885" s="418"/>
    </row>
    <row r="2886" spans="1:4" s="2" customFormat="1">
      <c r="A2886" s="122"/>
      <c r="B2886" s="285" t="s">
        <v>1028</v>
      </c>
      <c r="C2886" s="114" t="s">
        <v>1029</v>
      </c>
      <c r="D2886" s="418"/>
    </row>
    <row r="2887" spans="1:4" s="3" customFormat="1">
      <c r="A2887" s="122" t="s">
        <v>3390</v>
      </c>
      <c r="B2887" s="132" t="s">
        <v>3391</v>
      </c>
      <c r="C2887" s="114"/>
      <c r="D2887" s="418"/>
    </row>
    <row r="2888" spans="1:4" s="2" customFormat="1" ht="15" customHeight="1">
      <c r="A2888" s="122"/>
      <c r="B2888" s="285" t="s">
        <v>1028</v>
      </c>
      <c r="C2888" s="114" t="s">
        <v>1029</v>
      </c>
      <c r="D2888" s="418"/>
    </row>
    <row r="2889" spans="1:4" s="3" customFormat="1">
      <c r="A2889" s="122" t="s">
        <v>3392</v>
      </c>
      <c r="B2889" s="132" t="s">
        <v>3393</v>
      </c>
      <c r="C2889" s="114"/>
      <c r="D2889" s="418"/>
    </row>
    <row r="2890" spans="1:4" s="2" customFormat="1" ht="15" customHeight="1">
      <c r="A2890" s="122"/>
      <c r="B2890" s="285" t="s">
        <v>1028</v>
      </c>
      <c r="C2890" s="114" t="s">
        <v>1029</v>
      </c>
      <c r="D2890" s="418"/>
    </row>
    <row r="2891" spans="1:4" s="2" customFormat="1">
      <c r="A2891" s="122" t="s">
        <v>3394</v>
      </c>
      <c r="B2891" s="132" t="s">
        <v>3395</v>
      </c>
      <c r="C2891" s="114"/>
      <c r="D2891" s="418"/>
    </row>
    <row r="2892" spans="1:4" s="2" customFormat="1" ht="14.25" customHeight="1">
      <c r="A2892" s="122"/>
      <c r="B2892" s="285" t="s">
        <v>1028</v>
      </c>
      <c r="C2892" s="114" t="s">
        <v>1029</v>
      </c>
      <c r="D2892" s="418"/>
    </row>
    <row r="2893" spans="1:4" s="3" customFormat="1">
      <c r="A2893" s="122" t="s">
        <v>3396</v>
      </c>
      <c r="B2893" s="132" t="s">
        <v>3397</v>
      </c>
      <c r="C2893" s="114"/>
      <c r="D2893" s="418"/>
    </row>
    <row r="2894" spans="1:4" s="2" customFormat="1" ht="15" customHeight="1">
      <c r="A2894" s="122" t="s">
        <v>3398</v>
      </c>
      <c r="B2894" s="132" t="s">
        <v>3399</v>
      </c>
      <c r="C2894" s="114"/>
      <c r="D2894" s="418"/>
    </row>
    <row r="2895" spans="1:4" s="2" customFormat="1">
      <c r="A2895" s="122"/>
      <c r="B2895" s="285" t="s">
        <v>1028</v>
      </c>
      <c r="C2895" s="114" t="s">
        <v>1029</v>
      </c>
      <c r="D2895" s="418"/>
    </row>
    <row r="2896" spans="1:4" s="2" customFormat="1" ht="12.75" customHeight="1">
      <c r="A2896" s="122" t="s">
        <v>3400</v>
      </c>
      <c r="B2896" s="132" t="s">
        <v>3401</v>
      </c>
      <c r="C2896" s="114"/>
      <c r="D2896" s="418"/>
    </row>
    <row r="2897" spans="1:4" s="3" customFormat="1">
      <c r="A2897" s="122"/>
      <c r="B2897" s="285" t="s">
        <v>1028</v>
      </c>
      <c r="C2897" s="114" t="s">
        <v>1029</v>
      </c>
      <c r="D2897" s="418"/>
    </row>
    <row r="2898" spans="1:4" s="2" customFormat="1" ht="15" customHeight="1">
      <c r="A2898" s="122" t="s">
        <v>3402</v>
      </c>
      <c r="B2898" s="132" t="s">
        <v>3403</v>
      </c>
      <c r="C2898" s="114"/>
      <c r="D2898" s="418"/>
    </row>
    <row r="2899" spans="1:4" s="2" customFormat="1">
      <c r="A2899" s="122"/>
      <c r="B2899" s="285" t="s">
        <v>1028</v>
      </c>
      <c r="C2899" s="114" t="s">
        <v>1029</v>
      </c>
      <c r="D2899" s="418"/>
    </row>
    <row r="2900" spans="1:4" s="3" customFormat="1">
      <c r="A2900" s="112" t="s">
        <v>3404</v>
      </c>
      <c r="B2900" s="115" t="s">
        <v>3405</v>
      </c>
      <c r="C2900" s="114"/>
      <c r="D2900" s="418"/>
    </row>
    <row r="2901" spans="1:4" s="2" customFormat="1" ht="26.45">
      <c r="A2901" s="122"/>
      <c r="B2901" s="285" t="s">
        <v>3406</v>
      </c>
      <c r="C2901" s="114"/>
      <c r="D2901" s="418"/>
    </row>
    <row r="2902" spans="1:4" s="2" customFormat="1">
      <c r="A2902" s="122"/>
      <c r="B2902" s="285" t="s">
        <v>2016</v>
      </c>
      <c r="C2902" s="114"/>
      <c r="D2902" s="418"/>
    </row>
    <row r="2903" spans="1:4" s="2" customFormat="1">
      <c r="A2903" s="122"/>
      <c r="B2903" s="330" t="s">
        <v>3407</v>
      </c>
      <c r="C2903" s="114"/>
      <c r="D2903" s="418"/>
    </row>
    <row r="2904" spans="1:4" s="3" customFormat="1">
      <c r="A2904" s="122"/>
      <c r="B2904" s="285" t="s">
        <v>3408</v>
      </c>
      <c r="C2904" s="114"/>
      <c r="D2904" s="418"/>
    </row>
    <row r="2905" spans="1:4" s="3" customFormat="1">
      <c r="A2905" s="122"/>
      <c r="B2905" s="330" t="s">
        <v>3383</v>
      </c>
      <c r="C2905" s="114"/>
      <c r="D2905" s="418"/>
    </row>
    <row r="2906" spans="1:4" s="3" customFormat="1">
      <c r="A2906" s="122"/>
      <c r="B2906" s="285" t="s">
        <v>1028</v>
      </c>
      <c r="C2906" s="114" t="s">
        <v>1029</v>
      </c>
      <c r="D2906" s="418"/>
    </row>
    <row r="2907" spans="1:4" s="3" customFormat="1">
      <c r="A2907" s="112" t="s">
        <v>3409</v>
      </c>
      <c r="B2907" s="115" t="s">
        <v>3410</v>
      </c>
      <c r="C2907" s="114"/>
      <c r="D2907" s="418"/>
    </row>
    <row r="2908" spans="1:4" s="2" customFormat="1" ht="26.45">
      <c r="A2908" s="332"/>
      <c r="B2908" s="285" t="s">
        <v>3411</v>
      </c>
      <c r="C2908" s="469"/>
      <c r="D2908" s="418"/>
    </row>
    <row r="2909" spans="1:4" s="2" customFormat="1">
      <c r="A2909" s="122"/>
      <c r="B2909" s="285" t="s">
        <v>2016</v>
      </c>
      <c r="C2909" s="114"/>
      <c r="D2909" s="418"/>
    </row>
    <row r="2910" spans="1:4" s="3" customFormat="1">
      <c r="A2910" s="122"/>
      <c r="B2910" s="330" t="s">
        <v>3412</v>
      </c>
      <c r="C2910" s="114"/>
      <c r="D2910" s="418"/>
    </row>
    <row r="2911" spans="1:4" s="3" customFormat="1">
      <c r="A2911" s="122"/>
      <c r="B2911" s="285" t="s">
        <v>3408</v>
      </c>
      <c r="C2911" s="114"/>
      <c r="D2911" s="418"/>
    </row>
    <row r="2912" spans="1:4" s="3" customFormat="1">
      <c r="A2912" s="122"/>
      <c r="B2912" s="330" t="s">
        <v>3383</v>
      </c>
      <c r="C2912" s="114"/>
      <c r="D2912" s="418"/>
    </row>
    <row r="2913" spans="1:4" s="3" customFormat="1">
      <c r="A2913" s="122"/>
      <c r="B2913" s="285" t="s">
        <v>1028</v>
      </c>
      <c r="C2913" s="114" t="s">
        <v>1029</v>
      </c>
      <c r="D2913" s="418"/>
    </row>
    <row r="2914" spans="1:4" s="3" customFormat="1">
      <c r="A2914" s="112" t="s">
        <v>3413</v>
      </c>
      <c r="B2914" s="115" t="s">
        <v>3414</v>
      </c>
      <c r="C2914" s="114"/>
      <c r="D2914" s="418"/>
    </row>
    <row r="2915" spans="1:4" s="3" customFormat="1" ht="26.45">
      <c r="A2915" s="122"/>
      <c r="B2915" s="285" t="s">
        <v>3415</v>
      </c>
      <c r="C2915" s="114"/>
      <c r="D2915" s="418"/>
    </row>
    <row r="2916" spans="1:4" s="2" customFormat="1">
      <c r="A2916" s="122"/>
      <c r="B2916" s="285" t="s">
        <v>2016</v>
      </c>
      <c r="C2916" s="114"/>
      <c r="D2916" s="418"/>
    </row>
    <row r="2917" spans="1:4" s="2" customFormat="1" ht="27" customHeight="1">
      <c r="A2917" s="122"/>
      <c r="B2917" s="285" t="s">
        <v>3380</v>
      </c>
      <c r="C2917" s="114"/>
      <c r="D2917" s="418"/>
    </row>
    <row r="2918" spans="1:4" s="2" customFormat="1" ht="39" customHeight="1">
      <c r="A2918" s="122"/>
      <c r="B2918" s="285" t="s">
        <v>3416</v>
      </c>
      <c r="C2918" s="114"/>
      <c r="D2918" s="418"/>
    </row>
    <row r="2919" spans="1:4" s="2" customFormat="1" ht="26.25" customHeight="1">
      <c r="A2919" s="122"/>
      <c r="B2919" s="330" t="s">
        <v>3417</v>
      </c>
      <c r="C2919" s="114"/>
      <c r="D2919" s="418"/>
    </row>
    <row r="2920" spans="1:4" s="3" customFormat="1">
      <c r="A2920" s="122"/>
      <c r="B2920" s="330" t="s">
        <v>3383</v>
      </c>
      <c r="C2920" s="114"/>
      <c r="D2920" s="418"/>
    </row>
    <row r="2921" spans="1:4" s="3" customFormat="1">
      <c r="A2921" s="122"/>
      <c r="B2921" s="285" t="s">
        <v>1028</v>
      </c>
      <c r="C2921" s="114" t="s">
        <v>1029</v>
      </c>
      <c r="D2921" s="418"/>
    </row>
    <row r="2922" spans="1:4" s="3" customFormat="1">
      <c r="A2922" s="112" t="s">
        <v>3418</v>
      </c>
      <c r="B2922" s="115" t="s">
        <v>3419</v>
      </c>
      <c r="C2922" s="114"/>
      <c r="D2922" s="418"/>
    </row>
    <row r="2923" spans="1:4" s="3" customFormat="1" ht="26.45">
      <c r="A2923" s="122"/>
      <c r="B2923" s="285" t="s">
        <v>3420</v>
      </c>
      <c r="C2923" s="114"/>
      <c r="D2923" s="418"/>
    </row>
    <row r="2924" spans="1:4" s="2" customFormat="1">
      <c r="A2924" s="122"/>
      <c r="B2924" s="285" t="s">
        <v>2016</v>
      </c>
      <c r="C2924" s="114"/>
      <c r="D2924" s="418"/>
    </row>
    <row r="2925" spans="1:4" s="2" customFormat="1">
      <c r="A2925" s="122"/>
      <c r="B2925" s="285" t="s">
        <v>3380</v>
      </c>
      <c r="C2925" s="114"/>
      <c r="D2925" s="418"/>
    </row>
    <row r="2926" spans="1:4" s="3" customFormat="1" ht="39.6">
      <c r="A2926" s="122"/>
      <c r="B2926" s="285" t="s">
        <v>3421</v>
      </c>
      <c r="C2926" s="114"/>
      <c r="D2926" s="418"/>
    </row>
    <row r="2927" spans="1:4" s="2" customFormat="1" ht="39.6">
      <c r="A2927" s="122"/>
      <c r="B2927" s="330" t="s">
        <v>3417</v>
      </c>
      <c r="C2927" s="114"/>
      <c r="D2927" s="418"/>
    </row>
    <row r="2928" spans="1:4" s="2" customFormat="1">
      <c r="A2928" s="122"/>
      <c r="B2928" s="330" t="s">
        <v>3383</v>
      </c>
      <c r="C2928" s="114"/>
      <c r="D2928" s="418"/>
    </row>
    <row r="2929" spans="1:4" s="2" customFormat="1" ht="13.5" customHeight="1">
      <c r="A2929" s="122"/>
      <c r="B2929" s="285" t="s">
        <v>1028</v>
      </c>
      <c r="C2929" s="114" t="s">
        <v>1029</v>
      </c>
      <c r="D2929" s="418"/>
    </row>
    <row r="2930" spans="1:4" s="2" customFormat="1" ht="12" customHeight="1">
      <c r="A2930" s="112" t="s">
        <v>3422</v>
      </c>
      <c r="B2930" s="115" t="s">
        <v>3423</v>
      </c>
      <c r="C2930" s="114"/>
      <c r="D2930" s="418"/>
    </row>
    <row r="2931" spans="1:4" s="2" customFormat="1" ht="26.25" customHeight="1">
      <c r="A2931" s="122"/>
      <c r="B2931" s="285" t="s">
        <v>3424</v>
      </c>
      <c r="C2931" s="114"/>
      <c r="D2931" s="418"/>
    </row>
    <row r="2932" spans="1:4" s="2" customFormat="1">
      <c r="A2932" s="122"/>
      <c r="B2932" s="285" t="s">
        <v>2016</v>
      </c>
      <c r="C2932" s="114"/>
      <c r="D2932" s="418"/>
    </row>
    <row r="2933" spans="1:4" s="3" customFormat="1">
      <c r="A2933" s="122"/>
      <c r="B2933" s="330" t="s">
        <v>3425</v>
      </c>
      <c r="C2933" s="114"/>
      <c r="D2933" s="418"/>
    </row>
    <row r="2934" spans="1:4" s="2" customFormat="1" ht="39.6">
      <c r="A2934" s="122"/>
      <c r="B2934" s="285" t="s">
        <v>3426</v>
      </c>
      <c r="C2934" s="114"/>
      <c r="D2934" s="418"/>
    </row>
    <row r="2935" spans="1:4" s="2" customFormat="1" ht="13.5" customHeight="1">
      <c r="A2935" s="122"/>
      <c r="B2935" s="330" t="s">
        <v>3382</v>
      </c>
      <c r="C2935" s="114"/>
      <c r="D2935" s="418"/>
    </row>
    <row r="2936" spans="1:4" s="3" customFormat="1">
      <c r="A2936" s="122"/>
      <c r="B2936" s="330" t="s">
        <v>3383</v>
      </c>
      <c r="C2936" s="114"/>
      <c r="D2936" s="418"/>
    </row>
    <row r="2937" spans="1:4" s="2" customFormat="1">
      <c r="A2937" s="122"/>
      <c r="B2937" s="285" t="s">
        <v>1028</v>
      </c>
      <c r="C2937" s="114" t="s">
        <v>1029</v>
      </c>
      <c r="D2937" s="418"/>
    </row>
    <row r="2938" spans="1:4" s="2" customFormat="1" ht="13.5" customHeight="1">
      <c r="A2938" s="112" t="s">
        <v>3427</v>
      </c>
      <c r="B2938" s="115" t="s">
        <v>3428</v>
      </c>
      <c r="C2938" s="114"/>
      <c r="D2938" s="418"/>
    </row>
    <row r="2939" spans="1:4" s="2" customFormat="1" ht="13.5" customHeight="1">
      <c r="A2939" s="122"/>
      <c r="B2939" s="285" t="s">
        <v>3429</v>
      </c>
      <c r="C2939" s="114"/>
      <c r="D2939" s="418"/>
    </row>
    <row r="2940" spans="1:4" s="3" customFormat="1">
      <c r="A2940" s="122"/>
      <c r="B2940" s="285" t="s">
        <v>2016</v>
      </c>
      <c r="C2940" s="114"/>
      <c r="D2940" s="418"/>
    </row>
    <row r="2941" spans="1:4" s="2" customFormat="1">
      <c r="A2941" s="122"/>
      <c r="B2941" s="330" t="s">
        <v>3430</v>
      </c>
      <c r="C2941" s="114"/>
      <c r="D2941" s="418"/>
    </row>
    <row r="2942" spans="1:4" s="2" customFormat="1">
      <c r="A2942" s="122"/>
      <c r="B2942" s="311" t="s">
        <v>3431</v>
      </c>
      <c r="C2942" s="114"/>
      <c r="D2942" s="418"/>
    </row>
    <row r="2943" spans="1:4" s="2" customFormat="1">
      <c r="A2943" s="122"/>
      <c r="B2943" s="285" t="s">
        <v>3432</v>
      </c>
      <c r="C2943" s="114"/>
      <c r="D2943" s="418"/>
    </row>
    <row r="2944" spans="1:4" s="2" customFormat="1">
      <c r="A2944" s="122"/>
      <c r="B2944" s="330" t="s">
        <v>3383</v>
      </c>
      <c r="C2944" s="114"/>
      <c r="D2944" s="418"/>
    </row>
    <row r="2945" spans="1:4" s="3" customFormat="1">
      <c r="A2945" s="122"/>
      <c r="B2945" s="285" t="s">
        <v>1028</v>
      </c>
      <c r="C2945" s="114" t="s">
        <v>1029</v>
      </c>
      <c r="D2945" s="418"/>
    </row>
    <row r="2946" spans="1:4" s="3" customFormat="1">
      <c r="A2946" s="112" t="s">
        <v>3433</v>
      </c>
      <c r="B2946" s="115" t="s">
        <v>3434</v>
      </c>
      <c r="C2946" s="114"/>
      <c r="D2946" s="418"/>
    </row>
    <row r="2947" spans="1:4" s="3" customFormat="1" ht="26.45">
      <c r="A2947" s="332"/>
      <c r="B2947" s="285" t="s">
        <v>3435</v>
      </c>
      <c r="C2947" s="469"/>
      <c r="D2947" s="418"/>
    </row>
    <row r="2948" spans="1:4" s="3" customFormat="1">
      <c r="A2948" s="122"/>
      <c r="B2948" s="285" t="s">
        <v>2016</v>
      </c>
      <c r="C2948" s="114"/>
      <c r="D2948" s="418"/>
    </row>
    <row r="2949" spans="1:4" s="2" customFormat="1">
      <c r="A2949" s="122"/>
      <c r="B2949" s="330" t="s">
        <v>3436</v>
      </c>
      <c r="C2949" s="114"/>
      <c r="D2949" s="418"/>
    </row>
    <row r="2950" spans="1:4" s="2" customFormat="1">
      <c r="A2950" s="122"/>
      <c r="B2950" s="285" t="s">
        <v>3437</v>
      </c>
      <c r="C2950" s="114"/>
      <c r="D2950" s="418"/>
    </row>
    <row r="2951" spans="1:4" s="3" customFormat="1">
      <c r="A2951" s="122"/>
      <c r="B2951" s="330" t="s">
        <v>3383</v>
      </c>
      <c r="C2951" s="114"/>
      <c r="D2951" s="418"/>
    </row>
    <row r="2952" spans="1:4" s="3" customFormat="1">
      <c r="A2952" s="122" t="s">
        <v>3438</v>
      </c>
      <c r="B2952" s="132" t="s">
        <v>3439</v>
      </c>
      <c r="C2952" s="114"/>
      <c r="D2952" s="418"/>
    </row>
    <row r="2953" spans="1:4" s="3" customFormat="1">
      <c r="A2953" s="122"/>
      <c r="B2953" s="285" t="s">
        <v>1076</v>
      </c>
      <c r="C2953" s="114" t="s">
        <v>1077</v>
      </c>
      <c r="D2953" s="418"/>
    </row>
    <row r="2954" spans="1:4" s="3" customFormat="1">
      <c r="A2954" s="122" t="s">
        <v>3440</v>
      </c>
      <c r="B2954" s="132" t="s">
        <v>3441</v>
      </c>
      <c r="C2954" s="114"/>
      <c r="D2954" s="418"/>
    </row>
    <row r="2955" spans="1:4" s="2" customFormat="1">
      <c r="A2955" s="122"/>
      <c r="B2955" s="285" t="s">
        <v>1076</v>
      </c>
      <c r="C2955" s="114" t="s">
        <v>1077</v>
      </c>
      <c r="D2955" s="418"/>
    </row>
    <row r="2956" spans="1:4" s="2" customFormat="1">
      <c r="A2956" s="122" t="s">
        <v>3442</v>
      </c>
      <c r="B2956" s="132" t="s">
        <v>3443</v>
      </c>
      <c r="C2956" s="114"/>
      <c r="D2956" s="418"/>
    </row>
    <row r="2957" spans="1:4" s="2" customFormat="1">
      <c r="A2957" s="122"/>
      <c r="B2957" s="285" t="s">
        <v>1076</v>
      </c>
      <c r="C2957" s="114" t="s">
        <v>1077</v>
      </c>
      <c r="D2957" s="418"/>
    </row>
    <row r="2958" spans="1:4" s="2" customFormat="1">
      <c r="A2958" s="122" t="s">
        <v>3444</v>
      </c>
      <c r="B2958" s="132" t="s">
        <v>3445</v>
      </c>
      <c r="C2958" s="114"/>
      <c r="D2958" s="418"/>
    </row>
    <row r="2959" spans="1:4" s="2" customFormat="1">
      <c r="A2959" s="122"/>
      <c r="B2959" s="285" t="s">
        <v>1076</v>
      </c>
      <c r="C2959" s="114" t="s">
        <v>1077</v>
      </c>
      <c r="D2959" s="418"/>
    </row>
    <row r="2960" spans="1:4" s="2" customFormat="1">
      <c r="A2960" s="152" t="s">
        <v>3446</v>
      </c>
      <c r="B2960" s="59" t="s">
        <v>3447</v>
      </c>
      <c r="C2960" s="153"/>
      <c r="D2960" s="439"/>
    </row>
    <row r="2961" spans="1:4" s="2" customFormat="1" ht="27" customHeight="1">
      <c r="A2961" s="122"/>
      <c r="B2961" s="285" t="s">
        <v>3448</v>
      </c>
      <c r="C2961" s="114"/>
      <c r="D2961" s="418"/>
    </row>
    <row r="2962" spans="1:4" s="2" customFormat="1">
      <c r="A2962" s="122"/>
      <c r="B2962" s="286" t="s">
        <v>1150</v>
      </c>
      <c r="C2962" s="114"/>
      <c r="D2962" s="418"/>
    </row>
    <row r="2963" spans="1:4" s="2" customFormat="1" ht="13.5" customHeight="1">
      <c r="A2963" s="122"/>
      <c r="B2963" s="285" t="s">
        <v>1542</v>
      </c>
      <c r="C2963" s="114"/>
      <c r="D2963" s="418"/>
    </row>
    <row r="2964" spans="1:4" s="2" customFormat="1" ht="12" customHeight="1">
      <c r="A2964" s="122"/>
      <c r="B2964" s="285" t="s">
        <v>3449</v>
      </c>
      <c r="C2964" s="114"/>
      <c r="D2964" s="418"/>
    </row>
    <row r="2965" spans="1:4" s="3" customFormat="1">
      <c r="A2965" s="122"/>
      <c r="B2965" s="285" t="s">
        <v>3450</v>
      </c>
      <c r="C2965" s="114"/>
      <c r="D2965" s="418"/>
    </row>
    <row r="2966" spans="1:4" s="3" customFormat="1">
      <c r="A2966" s="122"/>
      <c r="B2966" s="285" t="s">
        <v>3451</v>
      </c>
      <c r="C2966" s="114"/>
      <c r="D2966" s="418"/>
    </row>
    <row r="2967" spans="1:4" s="3" customFormat="1" ht="26.45">
      <c r="A2967" s="122"/>
      <c r="B2967" s="285" t="s">
        <v>3452</v>
      </c>
      <c r="C2967" s="114"/>
      <c r="D2967" s="418"/>
    </row>
    <row r="2968" spans="1:4" s="3" customFormat="1">
      <c r="A2968" s="112" t="s">
        <v>277</v>
      </c>
      <c r="B2968" s="115" t="s">
        <v>3453</v>
      </c>
      <c r="C2968" s="114"/>
      <c r="D2968" s="418"/>
    </row>
    <row r="2969" spans="1:4" s="2" customFormat="1">
      <c r="A2969" s="122"/>
      <c r="B2969" s="285" t="s">
        <v>1076</v>
      </c>
      <c r="C2969" s="114" t="s">
        <v>1077</v>
      </c>
      <c r="D2969" s="418"/>
    </row>
    <row r="2970" spans="1:4" s="3" customFormat="1">
      <c r="A2970" s="112" t="s">
        <v>278</v>
      </c>
      <c r="B2970" s="115" t="s">
        <v>3454</v>
      </c>
      <c r="C2970" s="114"/>
      <c r="D2970" s="418"/>
    </row>
    <row r="2971" spans="1:4" s="3" customFormat="1">
      <c r="A2971" s="122"/>
      <c r="B2971" s="285" t="s">
        <v>1076</v>
      </c>
      <c r="C2971" s="114" t="s">
        <v>1077</v>
      </c>
      <c r="D2971" s="418"/>
    </row>
    <row r="2972" spans="1:4" s="3" customFormat="1">
      <c r="A2972" s="112" t="s">
        <v>279</v>
      </c>
      <c r="B2972" s="115" t="s">
        <v>3455</v>
      </c>
      <c r="C2972" s="114"/>
      <c r="D2972" s="418"/>
    </row>
    <row r="2973" spans="1:4" s="3" customFormat="1">
      <c r="A2973" s="122"/>
      <c r="B2973" s="285" t="s">
        <v>1028</v>
      </c>
      <c r="C2973" s="114" t="s">
        <v>1029</v>
      </c>
      <c r="D2973" s="418"/>
    </row>
    <row r="2974" spans="1:4" s="2" customFormat="1">
      <c r="A2974" s="112" t="s">
        <v>280</v>
      </c>
      <c r="B2974" s="115" t="s">
        <v>3456</v>
      </c>
      <c r="C2974" s="114"/>
      <c r="D2974" s="418"/>
    </row>
    <row r="2975" spans="1:4" s="3" customFormat="1">
      <c r="A2975" s="122"/>
      <c r="B2975" s="285" t="s">
        <v>1028</v>
      </c>
      <c r="C2975" s="114" t="s">
        <v>1029</v>
      </c>
      <c r="D2975" s="418"/>
    </row>
    <row r="2976" spans="1:4" s="2" customFormat="1">
      <c r="A2976" s="112" t="s">
        <v>281</v>
      </c>
      <c r="B2976" s="115" t="s">
        <v>3457</v>
      </c>
      <c r="C2976" s="114"/>
      <c r="D2976" s="418"/>
    </row>
    <row r="2977" spans="1:4" s="2" customFormat="1">
      <c r="A2977" s="122"/>
      <c r="B2977" s="285" t="s">
        <v>1028</v>
      </c>
      <c r="C2977" s="114" t="s">
        <v>1029</v>
      </c>
      <c r="D2977" s="418"/>
    </row>
    <row r="2978" spans="1:4" s="2" customFormat="1" ht="12" customHeight="1">
      <c r="A2978" s="112" t="s">
        <v>282</v>
      </c>
      <c r="B2978" s="115" t="s">
        <v>3458</v>
      </c>
      <c r="C2978" s="114"/>
      <c r="D2978" s="418"/>
    </row>
    <row r="2979" spans="1:4" s="2" customFormat="1">
      <c r="A2979" s="122"/>
      <c r="B2979" s="285" t="s">
        <v>1028</v>
      </c>
      <c r="C2979" s="114" t="s">
        <v>1029</v>
      </c>
      <c r="D2979" s="418"/>
    </row>
    <row r="2980" spans="1:4" s="3" customFormat="1">
      <c r="A2980" s="152" t="s">
        <v>3459</v>
      </c>
      <c r="B2980" s="59" t="s">
        <v>3460</v>
      </c>
      <c r="C2980" s="153"/>
      <c r="D2980" s="439"/>
    </row>
    <row r="2981" spans="1:4" s="2" customFormat="1">
      <c r="A2981" s="112" t="s">
        <v>288</v>
      </c>
      <c r="B2981" s="115" t="s">
        <v>3461</v>
      </c>
      <c r="C2981" s="114"/>
      <c r="D2981" s="418"/>
    </row>
    <row r="2982" spans="1:4" s="2" customFormat="1" ht="26.25" customHeight="1">
      <c r="A2982" s="122"/>
      <c r="B2982" s="285" t="s">
        <v>3462</v>
      </c>
      <c r="C2982" s="114"/>
      <c r="D2982" s="418"/>
    </row>
    <row r="2983" spans="1:4" s="2" customFormat="1">
      <c r="A2983" s="122"/>
      <c r="B2983" s="285" t="s">
        <v>961</v>
      </c>
      <c r="C2983" s="114"/>
      <c r="D2983" s="418"/>
    </row>
    <row r="2984" spans="1:4" s="2" customFormat="1">
      <c r="A2984" s="122"/>
      <c r="B2984" s="285" t="s">
        <v>1542</v>
      </c>
      <c r="C2984" s="114"/>
      <c r="D2984" s="418"/>
    </row>
    <row r="2985" spans="1:4" s="3" customFormat="1">
      <c r="A2985" s="122"/>
      <c r="B2985" s="285" t="s">
        <v>3463</v>
      </c>
      <c r="C2985" s="114"/>
      <c r="D2985" s="418"/>
    </row>
    <row r="2986" spans="1:4" s="2" customFormat="1">
      <c r="A2986" s="122"/>
      <c r="B2986" s="285" t="s">
        <v>3464</v>
      </c>
      <c r="C2986" s="114"/>
      <c r="D2986" s="418"/>
    </row>
    <row r="2987" spans="1:4" s="2" customFormat="1">
      <c r="A2987" s="122"/>
      <c r="B2987" s="285" t="s">
        <v>3317</v>
      </c>
      <c r="C2987" s="114"/>
      <c r="D2987" s="418"/>
    </row>
    <row r="2988" spans="1:4" s="3" customFormat="1">
      <c r="A2988" s="122"/>
      <c r="B2988" s="285" t="s">
        <v>3269</v>
      </c>
      <c r="C2988" s="114"/>
      <c r="D2988" s="418"/>
    </row>
    <row r="2989" spans="1:4" s="2" customFormat="1">
      <c r="A2989" s="122" t="s">
        <v>3465</v>
      </c>
      <c r="B2989" s="132" t="s">
        <v>3466</v>
      </c>
      <c r="C2989" s="114"/>
      <c r="D2989" s="418"/>
    </row>
    <row r="2990" spans="1:4" s="2" customFormat="1">
      <c r="A2990" s="122"/>
      <c r="B2990" s="285" t="s">
        <v>1028</v>
      </c>
      <c r="C2990" s="114" t="s">
        <v>1029</v>
      </c>
      <c r="D2990" s="418"/>
    </row>
    <row r="2991" spans="1:4" s="2" customFormat="1">
      <c r="A2991" s="122" t="s">
        <v>3467</v>
      </c>
      <c r="B2991" s="132" t="s">
        <v>3468</v>
      </c>
      <c r="C2991" s="114"/>
      <c r="D2991" s="418"/>
    </row>
    <row r="2992" spans="1:4" s="3" customFormat="1">
      <c r="A2992" s="122"/>
      <c r="B2992" s="285" t="s">
        <v>1028</v>
      </c>
      <c r="C2992" s="114" t="s">
        <v>1029</v>
      </c>
      <c r="D2992" s="418"/>
    </row>
    <row r="2993" spans="1:4" s="2" customFormat="1">
      <c r="A2993" s="112" t="s">
        <v>289</v>
      </c>
      <c r="B2993" s="115" t="s">
        <v>3469</v>
      </c>
      <c r="C2993" s="114"/>
      <c r="D2993" s="418"/>
    </row>
    <row r="2994" spans="1:4" s="2" customFormat="1" ht="26.45">
      <c r="A2994" s="122"/>
      <c r="B2994" s="285" t="s">
        <v>3470</v>
      </c>
      <c r="C2994" s="114"/>
      <c r="D2994" s="418"/>
    </row>
    <row r="2995" spans="1:4" s="2" customFormat="1">
      <c r="A2995" s="122"/>
      <c r="B2995" s="285" t="s">
        <v>961</v>
      </c>
      <c r="C2995" s="114"/>
      <c r="D2995" s="418"/>
    </row>
    <row r="2996" spans="1:4" s="2" customFormat="1">
      <c r="A2996" s="122"/>
      <c r="B2996" s="285" t="s">
        <v>1542</v>
      </c>
      <c r="C2996" s="114"/>
      <c r="D2996" s="418"/>
    </row>
    <row r="2997" spans="1:4" s="2" customFormat="1">
      <c r="A2997" s="122"/>
      <c r="B2997" s="285" t="s">
        <v>3463</v>
      </c>
      <c r="C2997" s="114"/>
      <c r="D2997" s="418"/>
    </row>
    <row r="2998" spans="1:4" s="2" customFormat="1">
      <c r="A2998" s="122"/>
      <c r="B2998" s="285" t="s">
        <v>3464</v>
      </c>
      <c r="C2998" s="114"/>
      <c r="D2998" s="418"/>
    </row>
    <row r="2999" spans="1:4" s="2" customFormat="1">
      <c r="A2999" s="122"/>
      <c r="B2999" s="285" t="s">
        <v>3317</v>
      </c>
      <c r="C2999" s="114"/>
      <c r="D2999" s="418"/>
    </row>
    <row r="3000" spans="1:4" s="2" customFormat="1">
      <c r="A3000" s="122"/>
      <c r="B3000" s="285" t="s">
        <v>3269</v>
      </c>
      <c r="C3000" s="114"/>
      <c r="D3000" s="418"/>
    </row>
    <row r="3001" spans="1:4" s="2" customFormat="1">
      <c r="A3001" s="122" t="s">
        <v>3471</v>
      </c>
      <c r="B3001" s="132" t="s">
        <v>3472</v>
      </c>
      <c r="C3001" s="114"/>
      <c r="D3001" s="418"/>
    </row>
    <row r="3002" spans="1:4" s="2" customFormat="1">
      <c r="A3002" s="122" t="s">
        <v>3473</v>
      </c>
      <c r="B3002" s="132" t="s">
        <v>3474</v>
      </c>
      <c r="C3002" s="114"/>
      <c r="D3002" s="418"/>
    </row>
    <row r="3003" spans="1:4" s="2" customFormat="1">
      <c r="A3003" s="122"/>
      <c r="B3003" s="285" t="s">
        <v>1028</v>
      </c>
      <c r="C3003" s="114" t="s">
        <v>1029</v>
      </c>
      <c r="D3003" s="418"/>
    </row>
    <row r="3004" spans="1:4" s="2" customFormat="1">
      <c r="A3004" s="122" t="s">
        <v>3475</v>
      </c>
      <c r="B3004" s="132" t="s">
        <v>3476</v>
      </c>
      <c r="C3004" s="114"/>
      <c r="D3004" s="418"/>
    </row>
    <row r="3005" spans="1:4" s="2" customFormat="1">
      <c r="A3005" s="122"/>
      <c r="B3005" s="285" t="s">
        <v>1028</v>
      </c>
      <c r="C3005" s="114" t="s">
        <v>1029</v>
      </c>
      <c r="D3005" s="418"/>
    </row>
    <row r="3006" spans="1:4" s="2" customFormat="1">
      <c r="A3006" s="122" t="s">
        <v>3477</v>
      </c>
      <c r="B3006" s="132" t="s">
        <v>3478</v>
      </c>
      <c r="C3006" s="114"/>
      <c r="D3006" s="418"/>
    </row>
    <row r="3007" spans="1:4" s="2" customFormat="1">
      <c r="A3007" s="122"/>
      <c r="B3007" s="285" t="s">
        <v>1028</v>
      </c>
      <c r="C3007" s="114" t="s">
        <v>1029</v>
      </c>
      <c r="D3007" s="418"/>
    </row>
    <row r="3008" spans="1:4" s="2" customFormat="1">
      <c r="A3008" s="122" t="s">
        <v>3479</v>
      </c>
      <c r="B3008" s="132" t="s">
        <v>3480</v>
      </c>
      <c r="C3008" s="114"/>
      <c r="D3008" s="418"/>
    </row>
    <row r="3009" spans="1:4" s="2" customFormat="1">
      <c r="A3009" s="122"/>
      <c r="B3009" s="285" t="s">
        <v>1028</v>
      </c>
      <c r="C3009" s="114" t="s">
        <v>1029</v>
      </c>
      <c r="D3009" s="418"/>
    </row>
    <row r="3010" spans="1:4" s="2" customFormat="1" ht="13.5" customHeight="1">
      <c r="A3010" s="122" t="s">
        <v>3481</v>
      </c>
      <c r="B3010" s="132" t="s">
        <v>3482</v>
      </c>
      <c r="C3010" s="114"/>
      <c r="D3010" s="418"/>
    </row>
    <row r="3011" spans="1:4" s="2" customFormat="1">
      <c r="A3011" s="122"/>
      <c r="B3011" s="285" t="s">
        <v>1028</v>
      </c>
      <c r="C3011" s="114" t="s">
        <v>1029</v>
      </c>
      <c r="D3011" s="418"/>
    </row>
    <row r="3012" spans="1:4" s="2" customFormat="1">
      <c r="A3012" s="122" t="s">
        <v>3483</v>
      </c>
      <c r="B3012" s="132" t="s">
        <v>3484</v>
      </c>
      <c r="C3012" s="114"/>
      <c r="D3012" s="418"/>
    </row>
    <row r="3013" spans="1:4" s="2" customFormat="1">
      <c r="A3013" s="122"/>
      <c r="B3013" s="285" t="s">
        <v>1028</v>
      </c>
      <c r="C3013" s="114" t="s">
        <v>1029</v>
      </c>
      <c r="D3013" s="418"/>
    </row>
    <row r="3014" spans="1:4" s="3" customFormat="1">
      <c r="A3014" s="122" t="s">
        <v>3485</v>
      </c>
      <c r="B3014" s="132" t="s">
        <v>3486</v>
      </c>
      <c r="C3014" s="114"/>
      <c r="D3014" s="418"/>
    </row>
    <row r="3015" spans="1:4" s="3" customFormat="1">
      <c r="A3015" s="122"/>
      <c r="B3015" s="285" t="s">
        <v>1028</v>
      </c>
      <c r="C3015" s="114" t="s">
        <v>1029</v>
      </c>
      <c r="D3015" s="418"/>
    </row>
    <row r="3016" spans="1:4" s="3" customFormat="1">
      <c r="A3016" s="122" t="s">
        <v>3487</v>
      </c>
      <c r="B3016" s="132" t="s">
        <v>3488</v>
      </c>
      <c r="C3016" s="114"/>
      <c r="D3016" s="418"/>
    </row>
    <row r="3017" spans="1:4" s="3" customFormat="1">
      <c r="A3017" s="122"/>
      <c r="B3017" s="285" t="s">
        <v>1028</v>
      </c>
      <c r="C3017" s="114" t="s">
        <v>1029</v>
      </c>
      <c r="D3017" s="418"/>
    </row>
    <row r="3018" spans="1:4" s="3" customFormat="1">
      <c r="A3018" s="122" t="s">
        <v>3489</v>
      </c>
      <c r="B3018" s="132" t="s">
        <v>3490</v>
      </c>
      <c r="C3018" s="114"/>
      <c r="D3018" s="418"/>
    </row>
    <row r="3019" spans="1:4" s="3" customFormat="1">
      <c r="A3019" s="122"/>
      <c r="B3019" s="285" t="s">
        <v>1028</v>
      </c>
      <c r="C3019" s="114" t="s">
        <v>1029</v>
      </c>
      <c r="D3019" s="418"/>
    </row>
    <row r="3020" spans="1:4" s="3" customFormat="1">
      <c r="A3020" s="122" t="s">
        <v>3491</v>
      </c>
      <c r="B3020" s="132" t="s">
        <v>3492</v>
      </c>
      <c r="C3020" s="114"/>
      <c r="D3020" s="418"/>
    </row>
    <row r="3021" spans="1:4" s="3" customFormat="1">
      <c r="A3021" s="122" t="s">
        <v>3493</v>
      </c>
      <c r="B3021" s="132" t="s">
        <v>3494</v>
      </c>
      <c r="C3021" s="114"/>
      <c r="D3021" s="418"/>
    </row>
    <row r="3022" spans="1:4" s="2" customFormat="1">
      <c r="A3022" s="122"/>
      <c r="B3022" s="285" t="s">
        <v>1028</v>
      </c>
      <c r="C3022" s="114" t="s">
        <v>1029</v>
      </c>
      <c r="D3022" s="418"/>
    </row>
    <row r="3023" spans="1:4" s="2" customFormat="1">
      <c r="A3023" s="122" t="s">
        <v>3495</v>
      </c>
      <c r="B3023" s="132" t="s">
        <v>3496</v>
      </c>
      <c r="C3023" s="114"/>
      <c r="D3023" s="418"/>
    </row>
    <row r="3024" spans="1:4" s="2" customFormat="1">
      <c r="A3024" s="122"/>
      <c r="B3024" s="285" t="s">
        <v>1028</v>
      </c>
      <c r="C3024" s="114" t="s">
        <v>1029</v>
      </c>
      <c r="D3024" s="418"/>
    </row>
    <row r="3025" spans="1:4" s="2" customFormat="1">
      <c r="A3025" s="122" t="s">
        <v>3497</v>
      </c>
      <c r="B3025" s="132" t="s">
        <v>3498</v>
      </c>
      <c r="C3025" s="114"/>
      <c r="D3025" s="418"/>
    </row>
    <row r="3026" spans="1:4" s="2" customFormat="1">
      <c r="A3026" s="122"/>
      <c r="B3026" s="285" t="s">
        <v>1028</v>
      </c>
      <c r="C3026" s="114" t="s">
        <v>1029</v>
      </c>
      <c r="D3026" s="418"/>
    </row>
    <row r="3027" spans="1:4" s="2" customFormat="1">
      <c r="A3027" s="122" t="s">
        <v>3499</v>
      </c>
      <c r="B3027" s="132" t="s">
        <v>3500</v>
      </c>
      <c r="C3027" s="114"/>
      <c r="D3027" s="418"/>
    </row>
    <row r="3028" spans="1:4" s="2" customFormat="1">
      <c r="A3028" s="122" t="s">
        <v>3501</v>
      </c>
      <c r="B3028" s="132" t="s">
        <v>3502</v>
      </c>
      <c r="C3028" s="114"/>
      <c r="D3028" s="418"/>
    </row>
    <row r="3029" spans="1:4" s="2" customFormat="1">
      <c r="A3029" s="122"/>
      <c r="B3029" s="285" t="s">
        <v>1028</v>
      </c>
      <c r="C3029" s="114" t="s">
        <v>1029</v>
      </c>
      <c r="D3029" s="418"/>
    </row>
    <row r="3030" spans="1:4" s="2" customFormat="1">
      <c r="A3030" s="122" t="s">
        <v>3503</v>
      </c>
      <c r="B3030" s="132" t="s">
        <v>3504</v>
      </c>
      <c r="C3030" s="114"/>
      <c r="D3030" s="418"/>
    </row>
    <row r="3031" spans="1:4" s="2" customFormat="1">
      <c r="A3031" s="122"/>
      <c r="B3031" s="285" t="s">
        <v>1028</v>
      </c>
      <c r="C3031" s="114" t="s">
        <v>1029</v>
      </c>
      <c r="D3031" s="418"/>
    </row>
    <row r="3032" spans="1:4" s="2" customFormat="1">
      <c r="A3032" s="112" t="s">
        <v>290</v>
      </c>
      <c r="B3032" s="115" t="s">
        <v>3505</v>
      </c>
      <c r="C3032" s="114"/>
      <c r="D3032" s="418"/>
    </row>
    <row r="3033" spans="1:4" s="3" customFormat="1">
      <c r="A3033" s="122" t="s">
        <v>3506</v>
      </c>
      <c r="B3033" s="132" t="s">
        <v>3507</v>
      </c>
      <c r="C3033" s="114"/>
      <c r="D3033" s="418"/>
    </row>
    <row r="3034" spans="1:4" s="3" customFormat="1" ht="79.150000000000006">
      <c r="A3034" s="122"/>
      <c r="B3034" s="285" t="s">
        <v>3508</v>
      </c>
      <c r="C3034" s="114"/>
      <c r="D3034" s="418"/>
    </row>
    <row r="3035" spans="1:4" s="3" customFormat="1">
      <c r="A3035" s="122"/>
      <c r="B3035" s="330" t="s">
        <v>3509</v>
      </c>
      <c r="C3035" s="114"/>
      <c r="D3035" s="418"/>
    </row>
    <row r="3036" spans="1:4" s="3" customFormat="1">
      <c r="A3036" s="122" t="s">
        <v>3510</v>
      </c>
      <c r="B3036" s="132" t="s">
        <v>3361</v>
      </c>
      <c r="C3036" s="114"/>
      <c r="D3036" s="418"/>
    </row>
    <row r="3037" spans="1:4" s="2" customFormat="1">
      <c r="A3037" s="122"/>
      <c r="B3037" s="285" t="s">
        <v>1028</v>
      </c>
      <c r="C3037" s="114" t="s">
        <v>1029</v>
      </c>
      <c r="D3037" s="418"/>
    </row>
    <row r="3038" spans="1:4" s="2" customFormat="1">
      <c r="A3038" s="122" t="s">
        <v>3511</v>
      </c>
      <c r="B3038" s="132" t="s">
        <v>3363</v>
      </c>
      <c r="C3038" s="114"/>
      <c r="D3038" s="418"/>
    </row>
    <row r="3039" spans="1:4" s="2" customFormat="1">
      <c r="A3039" s="122"/>
      <c r="B3039" s="285" t="s">
        <v>1028</v>
      </c>
      <c r="C3039" s="114" t="s">
        <v>1029</v>
      </c>
      <c r="D3039" s="418"/>
    </row>
    <row r="3040" spans="1:4" s="2" customFormat="1">
      <c r="A3040" s="122" t="s">
        <v>3512</v>
      </c>
      <c r="B3040" s="132" t="s">
        <v>3513</v>
      </c>
      <c r="C3040" s="114"/>
      <c r="D3040" s="418"/>
    </row>
    <row r="3041" spans="1:4" s="2" customFormat="1">
      <c r="A3041" s="122"/>
      <c r="B3041" s="285" t="s">
        <v>3514</v>
      </c>
      <c r="C3041" s="114"/>
      <c r="D3041" s="418"/>
    </row>
    <row r="3042" spans="1:4" s="2" customFormat="1">
      <c r="A3042" s="122"/>
      <c r="B3042" s="285" t="s">
        <v>2016</v>
      </c>
      <c r="C3042" s="114"/>
      <c r="D3042" s="418"/>
    </row>
    <row r="3043" spans="1:4" s="2" customFormat="1">
      <c r="A3043" s="122"/>
      <c r="B3043" s="285" t="s">
        <v>3515</v>
      </c>
      <c r="C3043" s="114"/>
      <c r="D3043" s="418"/>
    </row>
    <row r="3044" spans="1:4" s="2" customFormat="1">
      <c r="A3044" s="122"/>
      <c r="B3044" s="285" t="s">
        <v>3516</v>
      </c>
      <c r="C3044" s="114"/>
      <c r="D3044" s="418"/>
    </row>
    <row r="3045" spans="1:4" s="2" customFormat="1">
      <c r="A3045" s="122"/>
      <c r="B3045" s="330" t="s">
        <v>3517</v>
      </c>
      <c r="C3045" s="114"/>
      <c r="D3045" s="418"/>
    </row>
    <row r="3046" spans="1:4" s="2" customFormat="1">
      <c r="A3046" s="122"/>
      <c r="B3046" s="285" t="s">
        <v>1028</v>
      </c>
      <c r="C3046" s="114" t="s">
        <v>1029</v>
      </c>
      <c r="D3046" s="418"/>
    </row>
    <row r="3047" spans="1:4" s="2" customFormat="1">
      <c r="A3047" s="122" t="s">
        <v>3518</v>
      </c>
      <c r="B3047" s="132" t="s">
        <v>3519</v>
      </c>
      <c r="C3047" s="114"/>
      <c r="D3047" s="418"/>
    </row>
    <row r="3048" spans="1:4" s="2" customFormat="1" ht="26.45">
      <c r="A3048" s="122"/>
      <c r="B3048" s="285" t="s">
        <v>3520</v>
      </c>
      <c r="C3048" s="114"/>
      <c r="D3048" s="418"/>
    </row>
    <row r="3049" spans="1:4" s="2" customFormat="1">
      <c r="A3049" s="122"/>
      <c r="B3049" s="285" t="s">
        <v>2016</v>
      </c>
      <c r="C3049" s="114"/>
      <c r="D3049" s="418"/>
    </row>
    <row r="3050" spans="1:4" s="2" customFormat="1">
      <c r="A3050" s="122"/>
      <c r="B3050" s="285" t="s">
        <v>3521</v>
      </c>
      <c r="C3050" s="114"/>
      <c r="D3050" s="418"/>
    </row>
    <row r="3051" spans="1:4" s="2" customFormat="1">
      <c r="A3051" s="122"/>
      <c r="B3051" s="285" t="s">
        <v>3522</v>
      </c>
      <c r="C3051" s="114"/>
      <c r="D3051" s="418"/>
    </row>
    <row r="3052" spans="1:4" s="2" customFormat="1">
      <c r="A3052" s="122"/>
      <c r="B3052" s="330" t="s">
        <v>3523</v>
      </c>
      <c r="C3052" s="114"/>
      <c r="D3052" s="418"/>
    </row>
    <row r="3053" spans="1:4" s="2" customFormat="1">
      <c r="A3053" s="122"/>
      <c r="B3053" s="285" t="s">
        <v>1028</v>
      </c>
      <c r="C3053" s="114" t="s">
        <v>1029</v>
      </c>
      <c r="D3053" s="418"/>
    </row>
    <row r="3054" spans="1:4" s="2" customFormat="1" ht="26.45">
      <c r="A3054" s="122" t="s">
        <v>3524</v>
      </c>
      <c r="B3054" s="132" t="s">
        <v>3525</v>
      </c>
      <c r="C3054" s="114"/>
      <c r="D3054" s="418"/>
    </row>
    <row r="3055" spans="1:4" s="2" customFormat="1" ht="26.45">
      <c r="A3055" s="122"/>
      <c r="B3055" s="285" t="s">
        <v>3526</v>
      </c>
      <c r="C3055" s="114"/>
      <c r="D3055" s="418"/>
    </row>
    <row r="3056" spans="1:4" s="2" customFormat="1">
      <c r="A3056" s="122"/>
      <c r="B3056" s="285" t="s">
        <v>2016</v>
      </c>
      <c r="C3056" s="114"/>
      <c r="D3056" s="418"/>
    </row>
    <row r="3057" spans="1:4" s="2" customFormat="1">
      <c r="A3057" s="122"/>
      <c r="B3057" s="285" t="s">
        <v>3521</v>
      </c>
      <c r="C3057" s="114"/>
      <c r="D3057" s="418"/>
    </row>
    <row r="3058" spans="1:4" s="2" customFormat="1">
      <c r="A3058" s="122"/>
      <c r="B3058" s="285" t="s">
        <v>3522</v>
      </c>
      <c r="C3058" s="114"/>
      <c r="D3058" s="418"/>
    </row>
    <row r="3059" spans="1:4" s="2" customFormat="1">
      <c r="A3059" s="122"/>
      <c r="B3059" s="330" t="s">
        <v>3517</v>
      </c>
      <c r="C3059" s="114"/>
      <c r="D3059" s="418"/>
    </row>
    <row r="3060" spans="1:4" s="2" customFormat="1">
      <c r="A3060" s="122"/>
      <c r="B3060" s="285" t="s">
        <v>1028</v>
      </c>
      <c r="C3060" s="114" t="s">
        <v>1029</v>
      </c>
      <c r="D3060" s="418"/>
    </row>
    <row r="3061" spans="1:4" s="2" customFormat="1" ht="26.45">
      <c r="A3061" s="122" t="s">
        <v>3527</v>
      </c>
      <c r="B3061" s="132" t="s">
        <v>3528</v>
      </c>
      <c r="C3061" s="114"/>
      <c r="D3061" s="418"/>
    </row>
    <row r="3062" spans="1:4" s="2" customFormat="1" ht="145.15">
      <c r="A3062" s="122"/>
      <c r="B3062" s="285" t="s">
        <v>3529</v>
      </c>
      <c r="C3062" s="114"/>
      <c r="D3062" s="418"/>
    </row>
    <row r="3063" spans="1:4" s="2" customFormat="1">
      <c r="A3063" s="122"/>
      <c r="B3063" s="285" t="s">
        <v>1028</v>
      </c>
      <c r="C3063" s="114" t="s">
        <v>1029</v>
      </c>
      <c r="D3063" s="418"/>
    </row>
    <row r="3064" spans="1:4" s="2" customFormat="1">
      <c r="A3064" s="122" t="s">
        <v>3530</v>
      </c>
      <c r="B3064" s="132" t="s">
        <v>3531</v>
      </c>
      <c r="C3064" s="114"/>
      <c r="D3064" s="418"/>
    </row>
    <row r="3065" spans="1:4" s="2" customFormat="1" ht="26.45">
      <c r="A3065" s="122"/>
      <c r="B3065" s="285" t="s">
        <v>3532</v>
      </c>
      <c r="C3065" s="114"/>
      <c r="D3065" s="418"/>
    </row>
    <row r="3066" spans="1:4" s="2" customFormat="1">
      <c r="A3066" s="122"/>
      <c r="B3066" s="285" t="s">
        <v>2016</v>
      </c>
      <c r="C3066" s="114"/>
      <c r="D3066" s="418"/>
    </row>
    <row r="3067" spans="1:4" s="2" customFormat="1">
      <c r="A3067" s="122"/>
      <c r="B3067" s="330" t="s">
        <v>3533</v>
      </c>
      <c r="C3067" s="114"/>
      <c r="D3067" s="418"/>
    </row>
    <row r="3068" spans="1:4" s="2" customFormat="1" ht="12.75" customHeight="1">
      <c r="A3068" s="122"/>
      <c r="B3068" s="285" t="s">
        <v>3515</v>
      </c>
      <c r="C3068" s="114"/>
      <c r="D3068" s="418"/>
    </row>
    <row r="3069" spans="1:4" s="2" customFormat="1">
      <c r="A3069" s="122"/>
      <c r="B3069" s="285" t="s">
        <v>3522</v>
      </c>
      <c r="C3069" s="114"/>
      <c r="D3069" s="418"/>
    </row>
    <row r="3070" spans="1:4" s="2" customFormat="1">
      <c r="A3070" s="122"/>
      <c r="B3070" s="330" t="s">
        <v>3534</v>
      </c>
      <c r="C3070" s="114"/>
      <c r="D3070" s="418"/>
    </row>
    <row r="3071" spans="1:4" s="2" customFormat="1">
      <c r="A3071" s="122"/>
      <c r="B3071" s="330" t="s">
        <v>3523</v>
      </c>
      <c r="C3071" s="114"/>
      <c r="D3071" s="418"/>
    </row>
    <row r="3072" spans="1:4" s="2" customFormat="1" ht="12.75" customHeight="1">
      <c r="A3072" s="122"/>
      <c r="B3072" s="285" t="s">
        <v>1028</v>
      </c>
      <c r="C3072" s="114" t="s">
        <v>1029</v>
      </c>
      <c r="D3072" s="418"/>
    </row>
    <row r="3073" spans="1:4" s="2" customFormat="1">
      <c r="A3073" s="112" t="s">
        <v>291</v>
      </c>
      <c r="B3073" s="115" t="s">
        <v>3535</v>
      </c>
      <c r="C3073" s="114"/>
      <c r="D3073" s="418"/>
    </row>
    <row r="3074" spans="1:4" s="2" customFormat="1">
      <c r="A3074" s="122" t="s">
        <v>3536</v>
      </c>
      <c r="B3074" s="132" t="s">
        <v>3537</v>
      </c>
      <c r="C3074" s="114"/>
      <c r="D3074" s="418"/>
    </row>
    <row r="3075" spans="1:4" s="2" customFormat="1" ht="12" customHeight="1">
      <c r="A3075" s="122"/>
      <c r="B3075" s="285" t="s">
        <v>3538</v>
      </c>
      <c r="C3075" s="114"/>
      <c r="D3075" s="418"/>
    </row>
    <row r="3076" spans="1:4" s="2" customFormat="1">
      <c r="A3076" s="122"/>
      <c r="B3076" s="285" t="s">
        <v>1541</v>
      </c>
      <c r="C3076" s="114"/>
      <c r="D3076" s="418"/>
    </row>
    <row r="3077" spans="1:4" s="2" customFormat="1">
      <c r="A3077" s="112" t="s">
        <v>959</v>
      </c>
      <c r="B3077" s="285" t="s">
        <v>1542</v>
      </c>
      <c r="C3077" s="114" t="s">
        <v>959</v>
      </c>
      <c r="D3077" s="418"/>
    </row>
    <row r="3078" spans="1:4" s="2" customFormat="1">
      <c r="A3078" s="112"/>
      <c r="B3078" s="285" t="s">
        <v>3539</v>
      </c>
      <c r="C3078" s="114"/>
      <c r="D3078" s="418"/>
    </row>
    <row r="3079" spans="1:4" s="2" customFormat="1">
      <c r="A3079" s="112"/>
      <c r="B3079" s="285" t="s">
        <v>3317</v>
      </c>
      <c r="C3079" s="114"/>
      <c r="D3079" s="418"/>
    </row>
    <row r="3080" spans="1:4" s="2" customFormat="1">
      <c r="A3080" s="112" t="s">
        <v>959</v>
      </c>
      <c r="B3080" s="285" t="s">
        <v>3269</v>
      </c>
      <c r="C3080" s="114" t="s">
        <v>959</v>
      </c>
      <c r="D3080" s="418"/>
    </row>
    <row r="3081" spans="1:4" s="2" customFormat="1">
      <c r="A3081" s="122"/>
      <c r="B3081" s="285" t="s">
        <v>1028</v>
      </c>
      <c r="C3081" s="114" t="s">
        <v>1029</v>
      </c>
      <c r="D3081" s="418"/>
    </row>
    <row r="3082" spans="1:4" s="2" customFormat="1">
      <c r="A3082" s="122" t="s">
        <v>3540</v>
      </c>
      <c r="B3082" s="132" t="s">
        <v>3541</v>
      </c>
      <c r="C3082" s="114"/>
      <c r="D3082" s="418"/>
    </row>
    <row r="3083" spans="1:4" s="2" customFormat="1" ht="25.5" customHeight="1">
      <c r="A3083" s="122"/>
      <c r="B3083" s="285" t="s">
        <v>3542</v>
      </c>
      <c r="C3083" s="114"/>
      <c r="D3083" s="418"/>
    </row>
    <row r="3084" spans="1:4" s="2" customFormat="1">
      <c r="A3084" s="122"/>
      <c r="B3084" s="285" t="s">
        <v>1541</v>
      </c>
      <c r="C3084" s="114"/>
      <c r="D3084" s="418"/>
    </row>
    <row r="3085" spans="1:4" s="2" customFormat="1">
      <c r="A3085" s="112" t="s">
        <v>959</v>
      </c>
      <c r="B3085" s="285" t="s">
        <v>1542</v>
      </c>
      <c r="C3085" s="114" t="s">
        <v>959</v>
      </c>
      <c r="D3085" s="418"/>
    </row>
    <row r="3086" spans="1:4" s="2" customFormat="1" ht="26.45">
      <c r="A3086" s="112"/>
      <c r="B3086" s="285" t="s">
        <v>3543</v>
      </c>
      <c r="C3086" s="114"/>
      <c r="D3086" s="418"/>
    </row>
    <row r="3087" spans="1:4" s="2" customFormat="1">
      <c r="A3087" s="112"/>
      <c r="B3087" s="285" t="s">
        <v>3544</v>
      </c>
      <c r="C3087" s="114"/>
      <c r="D3087" s="418"/>
    </row>
    <row r="3088" spans="1:4" s="2" customFormat="1">
      <c r="A3088" s="112"/>
      <c r="B3088" s="285" t="s">
        <v>3317</v>
      </c>
      <c r="C3088" s="114"/>
      <c r="D3088" s="418"/>
    </row>
    <row r="3089" spans="1:4" s="2" customFormat="1">
      <c r="A3089" s="112" t="s">
        <v>959</v>
      </c>
      <c r="B3089" s="285" t="s">
        <v>3269</v>
      </c>
      <c r="C3089" s="114" t="s">
        <v>959</v>
      </c>
      <c r="D3089" s="418"/>
    </row>
    <row r="3090" spans="1:4" s="2" customFormat="1">
      <c r="A3090" s="122"/>
      <c r="B3090" s="285" t="s">
        <v>1028</v>
      </c>
      <c r="C3090" s="114" t="s">
        <v>1029</v>
      </c>
      <c r="D3090" s="418"/>
    </row>
    <row r="3091" spans="1:4" s="2" customFormat="1">
      <c r="A3091" s="122" t="s">
        <v>3545</v>
      </c>
      <c r="B3091" s="132" t="s">
        <v>3546</v>
      </c>
      <c r="C3091" s="114"/>
      <c r="D3091" s="418"/>
    </row>
    <row r="3092" spans="1:4" s="2" customFormat="1" ht="26.45">
      <c r="A3092" s="122"/>
      <c r="B3092" s="285" t="s">
        <v>3547</v>
      </c>
      <c r="C3092" s="114"/>
      <c r="D3092" s="418"/>
    </row>
    <row r="3093" spans="1:4" s="2" customFormat="1">
      <c r="A3093" s="122"/>
      <c r="B3093" s="285" t="s">
        <v>1541</v>
      </c>
      <c r="C3093" s="114"/>
      <c r="D3093" s="418"/>
    </row>
    <row r="3094" spans="1:4" s="2" customFormat="1">
      <c r="A3094" s="112"/>
      <c r="B3094" s="285" t="s">
        <v>1542</v>
      </c>
      <c r="C3094" s="114" t="s">
        <v>959</v>
      </c>
      <c r="D3094" s="418"/>
    </row>
    <row r="3095" spans="1:4" s="2" customFormat="1" ht="26.45">
      <c r="A3095" s="112"/>
      <c r="B3095" s="285" t="s">
        <v>3548</v>
      </c>
      <c r="C3095" s="114"/>
      <c r="D3095" s="418"/>
    </row>
    <row r="3096" spans="1:4" s="2" customFormat="1">
      <c r="A3096" s="112"/>
      <c r="B3096" s="285" t="s">
        <v>3544</v>
      </c>
      <c r="C3096" s="114"/>
      <c r="D3096" s="418"/>
    </row>
    <row r="3097" spans="1:4" s="2" customFormat="1">
      <c r="A3097" s="112"/>
      <c r="B3097" s="285" t="s">
        <v>3317</v>
      </c>
      <c r="C3097" s="114"/>
      <c r="D3097" s="418"/>
    </row>
    <row r="3098" spans="1:4" s="2" customFormat="1">
      <c r="A3098" s="112"/>
      <c r="B3098" s="285" t="s">
        <v>3269</v>
      </c>
      <c r="C3098" s="114" t="s">
        <v>959</v>
      </c>
      <c r="D3098" s="418"/>
    </row>
    <row r="3099" spans="1:4" s="2" customFormat="1">
      <c r="A3099" s="122"/>
      <c r="B3099" s="285" t="s">
        <v>1028</v>
      </c>
      <c r="C3099" s="114" t="s">
        <v>1029</v>
      </c>
      <c r="D3099" s="418"/>
    </row>
    <row r="3100" spans="1:4" s="2" customFormat="1">
      <c r="A3100" s="122" t="s">
        <v>3549</v>
      </c>
      <c r="B3100" s="132" t="s">
        <v>3550</v>
      </c>
      <c r="C3100" s="114"/>
      <c r="D3100" s="418"/>
    </row>
    <row r="3101" spans="1:4" s="2" customFormat="1" ht="26.45">
      <c r="A3101" s="122"/>
      <c r="B3101" s="285" t="s">
        <v>3551</v>
      </c>
      <c r="C3101" s="114"/>
      <c r="D3101" s="418"/>
    </row>
    <row r="3102" spans="1:4" s="2" customFormat="1">
      <c r="A3102" s="122"/>
      <c r="B3102" s="285" t="s">
        <v>1541</v>
      </c>
      <c r="C3102" s="114"/>
      <c r="D3102" s="418"/>
    </row>
    <row r="3103" spans="1:4" s="2" customFormat="1">
      <c r="A3103" s="112"/>
      <c r="B3103" s="285" t="s">
        <v>1542</v>
      </c>
      <c r="C3103" s="114" t="s">
        <v>959</v>
      </c>
      <c r="D3103" s="418"/>
    </row>
    <row r="3104" spans="1:4" s="2" customFormat="1">
      <c r="A3104" s="112"/>
      <c r="B3104" s="285" t="s">
        <v>3552</v>
      </c>
      <c r="C3104" s="114"/>
      <c r="D3104" s="418"/>
    </row>
    <row r="3105" spans="1:4" s="2" customFormat="1">
      <c r="A3105" s="112"/>
      <c r="B3105" s="285" t="s">
        <v>3544</v>
      </c>
      <c r="C3105" s="114"/>
      <c r="D3105" s="418"/>
    </row>
    <row r="3106" spans="1:4" s="2" customFormat="1">
      <c r="A3106" s="112"/>
      <c r="B3106" s="285" t="s">
        <v>3317</v>
      </c>
      <c r="C3106" s="114"/>
      <c r="D3106" s="418"/>
    </row>
    <row r="3107" spans="1:4" s="2" customFormat="1">
      <c r="A3107" s="112"/>
      <c r="B3107" s="285" t="s">
        <v>3269</v>
      </c>
      <c r="C3107" s="114" t="s">
        <v>959</v>
      </c>
      <c r="D3107" s="418"/>
    </row>
    <row r="3108" spans="1:4" s="2" customFormat="1">
      <c r="A3108" s="122"/>
      <c r="B3108" s="285" t="s">
        <v>1028</v>
      </c>
      <c r="C3108" s="114" t="s">
        <v>1029</v>
      </c>
      <c r="D3108" s="418"/>
    </row>
    <row r="3109" spans="1:4" s="2" customFormat="1">
      <c r="A3109" s="122" t="s">
        <v>3553</v>
      </c>
      <c r="B3109" s="132" t="s">
        <v>3554</v>
      </c>
      <c r="C3109" s="114"/>
      <c r="D3109" s="418"/>
    </row>
    <row r="3110" spans="1:4" s="2" customFormat="1">
      <c r="A3110" s="122"/>
      <c r="B3110" s="285" t="s">
        <v>3555</v>
      </c>
      <c r="C3110" s="114"/>
      <c r="D3110" s="418"/>
    </row>
    <row r="3111" spans="1:4" s="2" customFormat="1" ht="12.75" customHeight="1">
      <c r="A3111" s="122"/>
      <c r="B3111" s="285" t="s">
        <v>1028</v>
      </c>
      <c r="C3111" s="114" t="s">
        <v>1029</v>
      </c>
      <c r="D3111" s="418"/>
    </row>
    <row r="3112" spans="1:4" s="2" customFormat="1">
      <c r="A3112" s="152" t="s">
        <v>3556</v>
      </c>
      <c r="B3112" s="59" t="s">
        <v>3557</v>
      </c>
      <c r="C3112" s="153"/>
      <c r="D3112" s="439"/>
    </row>
    <row r="3113" spans="1:4" s="2" customFormat="1">
      <c r="A3113" s="124" t="s">
        <v>3558</v>
      </c>
      <c r="B3113" s="160" t="s">
        <v>3559</v>
      </c>
      <c r="C3113" s="161"/>
      <c r="D3113" s="420"/>
    </row>
    <row r="3114" spans="1:4" s="2" customFormat="1" ht="105.6">
      <c r="A3114" s="122"/>
      <c r="B3114" s="285" t="s">
        <v>3560</v>
      </c>
      <c r="C3114" s="114"/>
      <c r="D3114" s="418"/>
    </row>
    <row r="3115" spans="1:4" s="2" customFormat="1">
      <c r="A3115" s="122"/>
      <c r="B3115" s="330" t="s">
        <v>3561</v>
      </c>
      <c r="C3115" s="114"/>
      <c r="D3115" s="418"/>
    </row>
    <row r="3116" spans="1:4" s="2" customFormat="1" ht="26.45">
      <c r="A3116" s="122" t="s">
        <v>3562</v>
      </c>
      <c r="B3116" s="132" t="s">
        <v>3563</v>
      </c>
      <c r="C3116" s="114"/>
      <c r="D3116" s="418"/>
    </row>
    <row r="3117" spans="1:4" s="2" customFormat="1">
      <c r="A3117" s="122"/>
      <c r="B3117" s="285" t="s">
        <v>1028</v>
      </c>
      <c r="C3117" s="114" t="s">
        <v>1029</v>
      </c>
      <c r="D3117" s="418"/>
    </row>
    <row r="3118" spans="1:4" s="2" customFormat="1">
      <c r="A3118" s="122" t="s">
        <v>3564</v>
      </c>
      <c r="B3118" s="132" t="s">
        <v>3565</v>
      </c>
      <c r="C3118" s="114"/>
      <c r="D3118" s="418"/>
    </row>
    <row r="3119" spans="1:4" s="2" customFormat="1" ht="12.75" customHeight="1">
      <c r="A3119" s="122"/>
      <c r="B3119" s="285" t="s">
        <v>1028</v>
      </c>
      <c r="C3119" s="114" t="s">
        <v>1029</v>
      </c>
      <c r="D3119" s="418"/>
    </row>
    <row r="3120" spans="1:4" s="2" customFormat="1" ht="25.5" customHeight="1">
      <c r="A3120" s="122" t="s">
        <v>3566</v>
      </c>
      <c r="B3120" s="132" t="s">
        <v>3567</v>
      </c>
      <c r="C3120" s="114"/>
      <c r="D3120" s="418"/>
    </row>
    <row r="3121" spans="1:4" s="2" customFormat="1" ht="39" customHeight="1">
      <c r="A3121" s="122"/>
      <c r="B3121" s="285" t="s">
        <v>3568</v>
      </c>
      <c r="C3121" s="114"/>
      <c r="D3121" s="418"/>
    </row>
    <row r="3122" spans="1:4" s="2" customFormat="1" ht="12.75" customHeight="1">
      <c r="A3122" s="122"/>
      <c r="B3122" s="330" t="s">
        <v>3569</v>
      </c>
      <c r="C3122" s="114"/>
      <c r="D3122" s="418"/>
    </row>
    <row r="3123" spans="1:4" s="2" customFormat="1" ht="12.75" customHeight="1">
      <c r="A3123" s="122"/>
      <c r="B3123" s="285" t="s">
        <v>1076</v>
      </c>
      <c r="C3123" s="114" t="s">
        <v>1077</v>
      </c>
      <c r="D3123" s="418"/>
    </row>
    <row r="3124" spans="1:4" s="2" customFormat="1">
      <c r="A3124" s="122" t="s">
        <v>3570</v>
      </c>
      <c r="B3124" s="132" t="s">
        <v>3571</v>
      </c>
      <c r="C3124" s="114"/>
      <c r="D3124" s="418"/>
    </row>
    <row r="3125" spans="1:4" s="2" customFormat="1" ht="92.45">
      <c r="A3125" s="112"/>
      <c r="B3125" s="285" t="s">
        <v>3572</v>
      </c>
      <c r="C3125" s="114"/>
      <c r="D3125" s="418"/>
    </row>
    <row r="3126" spans="1:4" s="2" customFormat="1">
      <c r="A3126" s="122"/>
      <c r="B3126" s="330" t="s">
        <v>3569</v>
      </c>
      <c r="C3126" s="114"/>
      <c r="D3126" s="418"/>
    </row>
    <row r="3127" spans="1:4" s="2" customFormat="1">
      <c r="A3127" s="122"/>
      <c r="B3127" s="285" t="s">
        <v>1028</v>
      </c>
      <c r="C3127" s="114" t="s">
        <v>1029</v>
      </c>
      <c r="D3127" s="418"/>
    </row>
    <row r="3128" spans="1:4" s="2" customFormat="1">
      <c r="A3128" s="16" t="s">
        <v>299</v>
      </c>
      <c r="B3128" s="115" t="s">
        <v>3573</v>
      </c>
      <c r="C3128" s="114"/>
      <c r="D3128" s="418"/>
    </row>
    <row r="3129" spans="1:4" s="2" customFormat="1" ht="79.150000000000006">
      <c r="A3129" s="122"/>
      <c r="B3129" s="285" t="s">
        <v>3574</v>
      </c>
      <c r="C3129" s="114"/>
      <c r="D3129" s="418"/>
    </row>
    <row r="3130" spans="1:4" s="2" customFormat="1">
      <c r="A3130" s="122"/>
      <c r="B3130" s="330" t="s">
        <v>3517</v>
      </c>
      <c r="C3130" s="114"/>
      <c r="D3130" s="418"/>
    </row>
    <row r="3131" spans="1:4" s="2" customFormat="1">
      <c r="A3131" s="122" t="s">
        <v>3575</v>
      </c>
      <c r="B3131" s="132" t="s">
        <v>3576</v>
      </c>
      <c r="C3131" s="114"/>
      <c r="D3131" s="418"/>
    </row>
    <row r="3132" spans="1:4" s="2" customFormat="1">
      <c r="A3132" s="122"/>
      <c r="B3132" s="285" t="s">
        <v>1028</v>
      </c>
      <c r="C3132" s="114" t="s">
        <v>1029</v>
      </c>
      <c r="D3132" s="418"/>
    </row>
    <row r="3133" spans="1:4" s="2" customFormat="1">
      <c r="A3133" s="122" t="s">
        <v>3577</v>
      </c>
      <c r="B3133" s="132" t="s">
        <v>3578</v>
      </c>
      <c r="C3133" s="114"/>
      <c r="D3133" s="418"/>
    </row>
    <row r="3134" spans="1:4" s="2" customFormat="1">
      <c r="A3134" s="122"/>
      <c r="B3134" s="285" t="s">
        <v>1028</v>
      </c>
      <c r="C3134" s="114" t="s">
        <v>1029</v>
      </c>
      <c r="D3134" s="418"/>
    </row>
    <row r="3135" spans="1:4" s="2" customFormat="1" ht="12.75" customHeight="1">
      <c r="A3135" s="16" t="s">
        <v>3579</v>
      </c>
      <c r="B3135" s="115" t="s">
        <v>3580</v>
      </c>
      <c r="C3135" s="114"/>
      <c r="D3135" s="418"/>
    </row>
    <row r="3136" spans="1:4" s="2" customFormat="1">
      <c r="A3136" s="122"/>
      <c r="B3136" s="285" t="s">
        <v>3581</v>
      </c>
      <c r="C3136" s="114"/>
      <c r="D3136" s="418"/>
    </row>
    <row r="3137" spans="1:4" s="2" customFormat="1">
      <c r="A3137" s="122"/>
      <c r="B3137" s="285" t="s">
        <v>961</v>
      </c>
      <c r="C3137" s="114"/>
      <c r="D3137" s="418"/>
    </row>
    <row r="3138" spans="1:4" s="2" customFormat="1">
      <c r="A3138" s="112" t="s">
        <v>959</v>
      </c>
      <c r="B3138" s="285" t="s">
        <v>1542</v>
      </c>
      <c r="C3138" s="114" t="s">
        <v>959</v>
      </c>
      <c r="D3138" s="418"/>
    </row>
    <row r="3139" spans="1:4" s="2" customFormat="1">
      <c r="A3139" s="112"/>
      <c r="B3139" s="285" t="s">
        <v>3582</v>
      </c>
      <c r="C3139" s="114"/>
      <c r="D3139" s="418"/>
    </row>
    <row r="3140" spans="1:4" s="2" customFormat="1" ht="26.45">
      <c r="A3140" s="112"/>
      <c r="B3140" s="285" t="s">
        <v>3583</v>
      </c>
      <c r="C3140" s="114"/>
      <c r="D3140" s="418"/>
    </row>
    <row r="3141" spans="1:4" s="2" customFormat="1">
      <c r="A3141" s="112"/>
      <c r="B3141" s="285" t="s">
        <v>3584</v>
      </c>
      <c r="C3141" s="114"/>
      <c r="D3141" s="418"/>
    </row>
    <row r="3142" spans="1:4" s="2" customFormat="1">
      <c r="A3142" s="112" t="s">
        <v>959</v>
      </c>
      <c r="B3142" s="285" t="s">
        <v>3269</v>
      </c>
      <c r="C3142" s="114" t="s">
        <v>959</v>
      </c>
      <c r="D3142" s="418"/>
    </row>
    <row r="3143" spans="1:4" s="2" customFormat="1">
      <c r="A3143" s="122" t="s">
        <v>3585</v>
      </c>
      <c r="B3143" s="132" t="s">
        <v>3586</v>
      </c>
      <c r="C3143" s="114"/>
      <c r="D3143" s="418"/>
    </row>
    <row r="3144" spans="1:4" s="2" customFormat="1">
      <c r="A3144" s="122"/>
      <c r="B3144" s="285" t="s">
        <v>1028</v>
      </c>
      <c r="C3144" s="114" t="s">
        <v>1029</v>
      </c>
      <c r="D3144" s="418"/>
    </row>
    <row r="3145" spans="1:4" s="2" customFormat="1">
      <c r="A3145" s="122" t="s">
        <v>3587</v>
      </c>
      <c r="B3145" s="132" t="s">
        <v>3588</v>
      </c>
      <c r="C3145" s="114"/>
      <c r="D3145" s="418"/>
    </row>
    <row r="3146" spans="1:4" s="2" customFormat="1">
      <c r="A3146" s="122"/>
      <c r="B3146" s="285" t="s">
        <v>1028</v>
      </c>
      <c r="C3146" s="114" t="s">
        <v>1029</v>
      </c>
      <c r="D3146" s="418"/>
    </row>
    <row r="3147" spans="1:4" s="2" customFormat="1">
      <c r="A3147" s="122" t="s">
        <v>3589</v>
      </c>
      <c r="B3147" s="132" t="s">
        <v>3590</v>
      </c>
      <c r="C3147" s="114"/>
      <c r="D3147" s="418"/>
    </row>
    <row r="3148" spans="1:4" s="2" customFormat="1">
      <c r="A3148" s="122"/>
      <c r="B3148" s="285" t="s">
        <v>1028</v>
      </c>
      <c r="C3148" s="114" t="s">
        <v>1029</v>
      </c>
      <c r="D3148" s="418"/>
    </row>
    <row r="3149" spans="1:4" s="2" customFormat="1" ht="13.5" customHeight="1">
      <c r="A3149" s="122" t="s">
        <v>3591</v>
      </c>
      <c r="B3149" s="132" t="s">
        <v>3592</v>
      </c>
      <c r="C3149" s="114"/>
      <c r="D3149" s="418"/>
    </row>
    <row r="3150" spans="1:4" s="2" customFormat="1">
      <c r="A3150" s="122"/>
      <c r="B3150" s="285" t="s">
        <v>1028</v>
      </c>
      <c r="C3150" s="114" t="s">
        <v>1029</v>
      </c>
      <c r="D3150" s="418"/>
    </row>
    <row r="3151" spans="1:4" s="2" customFormat="1">
      <c r="A3151" s="122" t="s">
        <v>3593</v>
      </c>
      <c r="B3151" s="132" t="s">
        <v>3594</v>
      </c>
      <c r="C3151" s="114"/>
      <c r="D3151" s="418"/>
    </row>
    <row r="3152" spans="1:4" s="2" customFormat="1">
      <c r="A3152" s="122"/>
      <c r="B3152" s="285" t="s">
        <v>1028</v>
      </c>
      <c r="C3152" s="114" t="s">
        <v>1029</v>
      </c>
      <c r="D3152" s="418"/>
    </row>
    <row r="3153" spans="1:4" s="2" customFormat="1">
      <c r="A3153" s="122" t="s">
        <v>3595</v>
      </c>
      <c r="B3153" s="132" t="s">
        <v>3596</v>
      </c>
      <c r="C3153" s="114"/>
      <c r="D3153" s="418"/>
    </row>
    <row r="3154" spans="1:4" s="2" customFormat="1">
      <c r="A3154" s="122"/>
      <c r="B3154" s="285" t="s">
        <v>1028</v>
      </c>
      <c r="C3154" s="114" t="s">
        <v>1029</v>
      </c>
      <c r="D3154" s="418"/>
    </row>
    <row r="3155" spans="1:4" s="2" customFormat="1">
      <c r="A3155" s="122" t="s">
        <v>3597</v>
      </c>
      <c r="B3155" s="132" t="s">
        <v>3598</v>
      </c>
      <c r="C3155" s="114"/>
      <c r="D3155" s="418"/>
    </row>
    <row r="3156" spans="1:4" s="2" customFormat="1">
      <c r="A3156" s="122"/>
      <c r="B3156" s="285" t="s">
        <v>1028</v>
      </c>
      <c r="C3156" s="114" t="s">
        <v>1029</v>
      </c>
      <c r="D3156" s="418"/>
    </row>
    <row r="3157" spans="1:4" s="2" customFormat="1">
      <c r="A3157" s="122" t="s">
        <v>3599</v>
      </c>
      <c r="B3157" s="132" t="s">
        <v>3600</v>
      </c>
      <c r="C3157" s="114"/>
      <c r="D3157" s="418"/>
    </row>
    <row r="3158" spans="1:4" s="2" customFormat="1">
      <c r="A3158" s="122"/>
      <c r="B3158" s="285" t="s">
        <v>1028</v>
      </c>
      <c r="C3158" s="114" t="s">
        <v>1029</v>
      </c>
      <c r="D3158" s="418"/>
    </row>
    <row r="3159" spans="1:4" s="2" customFormat="1">
      <c r="A3159" s="122" t="s">
        <v>3601</v>
      </c>
      <c r="B3159" s="132" t="s">
        <v>3602</v>
      </c>
      <c r="C3159" s="114"/>
      <c r="D3159" s="418"/>
    </row>
    <row r="3160" spans="1:4" s="2" customFormat="1">
      <c r="A3160" s="122"/>
      <c r="B3160" s="285" t="s">
        <v>1028</v>
      </c>
      <c r="C3160" s="114" t="s">
        <v>1029</v>
      </c>
      <c r="D3160" s="418"/>
    </row>
    <row r="3161" spans="1:4" s="2" customFormat="1">
      <c r="A3161" s="122" t="s">
        <v>3603</v>
      </c>
      <c r="B3161" s="132" t="s">
        <v>3604</v>
      </c>
      <c r="C3161" s="114"/>
      <c r="D3161" s="418"/>
    </row>
    <row r="3162" spans="1:4" s="2" customFormat="1" ht="14.25" customHeight="1">
      <c r="A3162" s="122"/>
      <c r="B3162" s="285" t="s">
        <v>1028</v>
      </c>
      <c r="C3162" s="114" t="s">
        <v>1029</v>
      </c>
      <c r="D3162" s="418"/>
    </row>
    <row r="3163" spans="1:4" s="2" customFormat="1">
      <c r="A3163" s="122" t="s">
        <v>3605</v>
      </c>
      <c r="B3163" s="132" t="s">
        <v>3606</v>
      </c>
      <c r="C3163" s="114"/>
      <c r="D3163" s="418"/>
    </row>
    <row r="3164" spans="1:4" s="2" customFormat="1" ht="13.5" customHeight="1">
      <c r="A3164" s="122"/>
      <c r="B3164" s="285" t="s">
        <v>1028</v>
      </c>
      <c r="C3164" s="114" t="s">
        <v>1029</v>
      </c>
      <c r="D3164" s="418"/>
    </row>
    <row r="3165" spans="1:4" s="2" customFormat="1">
      <c r="A3165" s="122" t="s">
        <v>3607</v>
      </c>
      <c r="B3165" s="132" t="s">
        <v>3608</v>
      </c>
      <c r="C3165" s="114"/>
      <c r="D3165" s="418"/>
    </row>
    <row r="3166" spans="1:4" s="2" customFormat="1">
      <c r="A3166" s="122"/>
      <c r="B3166" s="285" t="s">
        <v>1028</v>
      </c>
      <c r="C3166" s="114" t="s">
        <v>1029</v>
      </c>
      <c r="D3166" s="418"/>
    </row>
    <row r="3167" spans="1:4" s="2" customFormat="1">
      <c r="A3167" s="122" t="s">
        <v>3609</v>
      </c>
      <c r="B3167" s="132" t="s">
        <v>3610</v>
      </c>
      <c r="C3167" s="114"/>
      <c r="D3167" s="418"/>
    </row>
    <row r="3168" spans="1:4" s="2" customFormat="1">
      <c r="A3168" s="122"/>
      <c r="B3168" s="285" t="s">
        <v>1028</v>
      </c>
      <c r="C3168" s="114" t="s">
        <v>1029</v>
      </c>
      <c r="D3168" s="418"/>
    </row>
    <row r="3169" spans="1:4" s="2" customFormat="1">
      <c r="A3169" s="16" t="s">
        <v>3611</v>
      </c>
      <c r="B3169" s="115" t="s">
        <v>3612</v>
      </c>
      <c r="C3169" s="114"/>
      <c r="D3169" s="418"/>
    </row>
    <row r="3170" spans="1:4" s="2" customFormat="1">
      <c r="A3170" s="122"/>
      <c r="B3170" s="285" t="s">
        <v>3613</v>
      </c>
      <c r="C3170" s="114"/>
      <c r="D3170" s="418"/>
    </row>
    <row r="3171" spans="1:4" s="2" customFormat="1">
      <c r="A3171" s="122"/>
      <c r="B3171" s="285" t="s">
        <v>961</v>
      </c>
      <c r="C3171" s="114"/>
      <c r="D3171" s="418"/>
    </row>
    <row r="3172" spans="1:4" s="2" customFormat="1">
      <c r="A3172" s="112" t="s">
        <v>959</v>
      </c>
      <c r="B3172" s="285" t="s">
        <v>1542</v>
      </c>
      <c r="C3172" s="114" t="s">
        <v>959</v>
      </c>
      <c r="D3172" s="418"/>
    </row>
    <row r="3173" spans="1:4" s="2" customFormat="1" ht="26.45">
      <c r="A3173" s="112"/>
      <c r="B3173" s="285" t="s">
        <v>3614</v>
      </c>
      <c r="C3173" s="114"/>
      <c r="D3173" s="418"/>
    </row>
    <row r="3174" spans="1:4" s="2" customFormat="1">
      <c r="A3174" s="112"/>
      <c r="B3174" s="285" t="s">
        <v>3584</v>
      </c>
      <c r="C3174" s="114"/>
      <c r="D3174" s="418"/>
    </row>
    <row r="3175" spans="1:4" s="2" customFormat="1">
      <c r="A3175" s="112" t="s">
        <v>959</v>
      </c>
      <c r="B3175" s="285" t="s">
        <v>3269</v>
      </c>
      <c r="C3175" s="114" t="s">
        <v>959</v>
      </c>
      <c r="D3175" s="418"/>
    </row>
    <row r="3176" spans="1:4" s="2" customFormat="1" ht="26.45">
      <c r="A3176" s="122" t="s">
        <v>3615</v>
      </c>
      <c r="B3176" s="132" t="s">
        <v>3616</v>
      </c>
      <c r="C3176" s="114"/>
      <c r="D3176" s="418"/>
    </row>
    <row r="3177" spans="1:4" s="2" customFormat="1">
      <c r="A3177" s="122"/>
      <c r="B3177" s="285" t="s">
        <v>1028</v>
      </c>
      <c r="C3177" s="114" t="s">
        <v>1029</v>
      </c>
      <c r="D3177" s="418"/>
    </row>
    <row r="3178" spans="1:4" s="2" customFormat="1" ht="26.45">
      <c r="A3178" s="122" t="s">
        <v>3617</v>
      </c>
      <c r="B3178" s="132" t="s">
        <v>3618</v>
      </c>
      <c r="C3178" s="114"/>
      <c r="D3178" s="418"/>
    </row>
    <row r="3179" spans="1:4" s="2" customFormat="1">
      <c r="A3179" s="122"/>
      <c r="B3179" s="285" t="s">
        <v>1028</v>
      </c>
      <c r="C3179" s="114" t="s">
        <v>1029</v>
      </c>
      <c r="D3179" s="418"/>
    </row>
    <row r="3180" spans="1:4" s="2" customFormat="1">
      <c r="A3180" s="16" t="s">
        <v>3619</v>
      </c>
      <c r="B3180" s="115" t="s">
        <v>3620</v>
      </c>
      <c r="C3180" s="114"/>
      <c r="D3180" s="418"/>
    </row>
    <row r="3181" spans="1:4" s="2" customFormat="1" ht="26.45">
      <c r="A3181" s="122"/>
      <c r="B3181" s="285" t="s">
        <v>3621</v>
      </c>
      <c r="C3181" s="114"/>
      <c r="D3181" s="418"/>
    </row>
    <row r="3182" spans="1:4" s="2" customFormat="1">
      <c r="A3182" s="122"/>
      <c r="B3182" s="285" t="s">
        <v>961</v>
      </c>
      <c r="C3182" s="114"/>
      <c r="D3182" s="418"/>
    </row>
    <row r="3183" spans="1:4" s="2" customFormat="1">
      <c r="A3183" s="112" t="s">
        <v>959</v>
      </c>
      <c r="B3183" s="285" t="s">
        <v>1542</v>
      </c>
      <c r="C3183" s="114" t="s">
        <v>959</v>
      </c>
      <c r="D3183" s="418"/>
    </row>
    <row r="3184" spans="1:4" s="2" customFormat="1">
      <c r="A3184" s="112"/>
      <c r="B3184" s="285" t="s">
        <v>3622</v>
      </c>
      <c r="C3184" s="114"/>
      <c r="D3184" s="418"/>
    </row>
    <row r="3185" spans="1:4" s="2" customFormat="1">
      <c r="A3185" s="112"/>
      <c r="B3185" s="285" t="s">
        <v>3623</v>
      </c>
      <c r="C3185" s="114"/>
      <c r="D3185" s="418"/>
    </row>
    <row r="3186" spans="1:4" s="2" customFormat="1">
      <c r="A3186" s="112" t="s">
        <v>959</v>
      </c>
      <c r="B3186" s="285" t="s">
        <v>3269</v>
      </c>
      <c r="C3186" s="114" t="s">
        <v>959</v>
      </c>
      <c r="D3186" s="418"/>
    </row>
    <row r="3187" spans="1:4" s="2" customFormat="1">
      <c r="A3187" s="122" t="s">
        <v>3624</v>
      </c>
      <c r="B3187" s="132" t="s">
        <v>3625</v>
      </c>
      <c r="C3187" s="114"/>
      <c r="D3187" s="418"/>
    </row>
    <row r="3188" spans="1:4" s="2" customFormat="1">
      <c r="A3188" s="112" t="s">
        <v>959</v>
      </c>
      <c r="B3188" s="285" t="s">
        <v>1028</v>
      </c>
      <c r="C3188" s="114" t="s">
        <v>1029</v>
      </c>
      <c r="D3188" s="418"/>
    </row>
    <row r="3189" spans="1:4" s="2" customFormat="1">
      <c r="A3189" s="122" t="s">
        <v>3626</v>
      </c>
      <c r="B3189" s="132" t="s">
        <v>3627</v>
      </c>
      <c r="C3189" s="114"/>
      <c r="D3189" s="418"/>
    </row>
    <row r="3190" spans="1:4" s="2" customFormat="1">
      <c r="A3190" s="112" t="s">
        <v>959</v>
      </c>
      <c r="B3190" s="285" t="s">
        <v>1028</v>
      </c>
      <c r="C3190" s="114" t="s">
        <v>1029</v>
      </c>
      <c r="D3190" s="418"/>
    </row>
    <row r="3191" spans="1:4" s="2" customFormat="1">
      <c r="A3191" s="122" t="s">
        <v>3628</v>
      </c>
      <c r="B3191" s="132" t="s">
        <v>3629</v>
      </c>
      <c r="C3191" s="114"/>
      <c r="D3191" s="418"/>
    </row>
    <row r="3192" spans="1:4" s="2" customFormat="1">
      <c r="A3192" s="112" t="s">
        <v>959</v>
      </c>
      <c r="B3192" s="285" t="s">
        <v>1028</v>
      </c>
      <c r="C3192" s="114" t="s">
        <v>1029</v>
      </c>
      <c r="D3192" s="418"/>
    </row>
    <row r="3193" spans="1:4" s="2" customFormat="1">
      <c r="A3193" s="122" t="s">
        <v>3630</v>
      </c>
      <c r="B3193" s="132" t="s">
        <v>3631</v>
      </c>
      <c r="C3193" s="114"/>
      <c r="D3193" s="418"/>
    </row>
    <row r="3194" spans="1:4" s="2" customFormat="1">
      <c r="A3194" s="112" t="s">
        <v>959</v>
      </c>
      <c r="B3194" s="285" t="s">
        <v>1028</v>
      </c>
      <c r="C3194" s="114" t="s">
        <v>1029</v>
      </c>
      <c r="D3194" s="418"/>
    </row>
    <row r="3195" spans="1:4" s="2" customFormat="1">
      <c r="A3195" s="122" t="s">
        <v>3632</v>
      </c>
      <c r="B3195" s="132" t="s">
        <v>3633</v>
      </c>
      <c r="C3195" s="114"/>
      <c r="D3195" s="418"/>
    </row>
    <row r="3196" spans="1:4" s="2" customFormat="1">
      <c r="A3196" s="112" t="s">
        <v>959</v>
      </c>
      <c r="B3196" s="285" t="s">
        <v>1028</v>
      </c>
      <c r="C3196" s="114" t="s">
        <v>1029</v>
      </c>
      <c r="D3196" s="418"/>
    </row>
    <row r="3197" spans="1:4" s="2" customFormat="1">
      <c r="A3197" s="122" t="s">
        <v>3634</v>
      </c>
      <c r="B3197" s="132" t="s">
        <v>3635</v>
      </c>
      <c r="C3197" s="114"/>
      <c r="D3197" s="418"/>
    </row>
    <row r="3198" spans="1:4" s="2" customFormat="1" ht="12.75" customHeight="1">
      <c r="A3198" s="112" t="s">
        <v>959</v>
      </c>
      <c r="B3198" s="285" t="s">
        <v>1028</v>
      </c>
      <c r="C3198" s="114" t="s">
        <v>1029</v>
      </c>
      <c r="D3198" s="418"/>
    </row>
    <row r="3199" spans="1:4" s="2" customFormat="1">
      <c r="A3199" s="122" t="s">
        <v>3636</v>
      </c>
      <c r="B3199" s="132" t="s">
        <v>3637</v>
      </c>
      <c r="C3199" s="114"/>
      <c r="D3199" s="418"/>
    </row>
    <row r="3200" spans="1:4" s="2" customFormat="1">
      <c r="A3200" s="112" t="s">
        <v>959</v>
      </c>
      <c r="B3200" s="285" t="s">
        <v>1028</v>
      </c>
      <c r="C3200" s="114" t="s">
        <v>1029</v>
      </c>
      <c r="D3200" s="418"/>
    </row>
    <row r="3201" spans="1:4" s="2" customFormat="1">
      <c r="A3201" s="122" t="s">
        <v>3638</v>
      </c>
      <c r="B3201" s="132" t="s">
        <v>3639</v>
      </c>
      <c r="C3201" s="114"/>
      <c r="D3201" s="418"/>
    </row>
    <row r="3202" spans="1:4" s="2" customFormat="1">
      <c r="A3202" s="112"/>
      <c r="B3202" s="285" t="s">
        <v>1028</v>
      </c>
      <c r="C3202" s="114" t="s">
        <v>1029</v>
      </c>
      <c r="D3202" s="418"/>
    </row>
    <row r="3203" spans="1:4" s="2" customFormat="1">
      <c r="A3203" s="122" t="s">
        <v>3640</v>
      </c>
      <c r="B3203" s="132" t="s">
        <v>3641</v>
      </c>
      <c r="C3203" s="114"/>
      <c r="D3203" s="418"/>
    </row>
    <row r="3204" spans="1:4" s="2" customFormat="1" ht="12.75" customHeight="1">
      <c r="A3204" s="112"/>
      <c r="B3204" s="285" t="s">
        <v>1028</v>
      </c>
      <c r="C3204" s="114" t="s">
        <v>1029</v>
      </c>
      <c r="D3204" s="418"/>
    </row>
    <row r="3205" spans="1:4" s="2" customFormat="1">
      <c r="A3205" s="122" t="s">
        <v>3642</v>
      </c>
      <c r="B3205" s="132" t="s">
        <v>3643</v>
      </c>
      <c r="C3205" s="114"/>
      <c r="D3205" s="418"/>
    </row>
    <row r="3206" spans="1:4" s="2" customFormat="1">
      <c r="A3206" s="112"/>
      <c r="B3206" s="285" t="s">
        <v>1028</v>
      </c>
      <c r="C3206" s="114" t="s">
        <v>1029</v>
      </c>
      <c r="D3206" s="418"/>
    </row>
    <row r="3207" spans="1:4" s="2" customFormat="1">
      <c r="A3207" s="122" t="s">
        <v>3644</v>
      </c>
      <c r="B3207" s="132" t="s">
        <v>3645</v>
      </c>
      <c r="C3207" s="114"/>
      <c r="D3207" s="418"/>
    </row>
    <row r="3208" spans="1:4" s="2" customFormat="1">
      <c r="A3208" s="112" t="s">
        <v>959</v>
      </c>
      <c r="B3208" s="285" t="s">
        <v>1028</v>
      </c>
      <c r="C3208" s="114" t="s">
        <v>1029</v>
      </c>
      <c r="D3208" s="418"/>
    </row>
    <row r="3209" spans="1:4" s="2" customFormat="1">
      <c r="A3209" s="122" t="s">
        <v>3646</v>
      </c>
      <c r="B3209" s="132" t="s">
        <v>3647</v>
      </c>
      <c r="C3209" s="114"/>
      <c r="D3209" s="418"/>
    </row>
    <row r="3210" spans="1:4" s="2" customFormat="1">
      <c r="A3210" s="112" t="s">
        <v>959</v>
      </c>
      <c r="B3210" s="285" t="s">
        <v>1028</v>
      </c>
      <c r="C3210" s="114" t="s">
        <v>1029</v>
      </c>
      <c r="D3210" s="418"/>
    </row>
    <row r="3211" spans="1:4" s="2" customFormat="1">
      <c r="A3211" s="122" t="s">
        <v>3648</v>
      </c>
      <c r="B3211" s="132" t="s">
        <v>3649</v>
      </c>
      <c r="C3211" s="114"/>
      <c r="D3211" s="418"/>
    </row>
    <row r="3212" spans="1:4" s="2" customFormat="1">
      <c r="A3212" s="122"/>
      <c r="B3212" s="285" t="s">
        <v>1028</v>
      </c>
      <c r="C3212" s="114" t="s">
        <v>1029</v>
      </c>
      <c r="D3212" s="418"/>
    </row>
    <row r="3213" spans="1:4" s="2" customFormat="1">
      <c r="A3213" s="122" t="s">
        <v>3650</v>
      </c>
      <c r="B3213" s="373" t="s">
        <v>3651</v>
      </c>
      <c r="C3213" s="266"/>
      <c r="D3213" s="418"/>
    </row>
    <row r="3214" spans="1:4" s="2" customFormat="1" ht="39.6">
      <c r="A3214" s="122"/>
      <c r="B3214" s="385" t="s">
        <v>3652</v>
      </c>
      <c r="C3214" s="266"/>
      <c r="D3214" s="418"/>
    </row>
    <row r="3215" spans="1:4" s="2" customFormat="1">
      <c r="A3215" s="122"/>
      <c r="B3215" s="295" t="s">
        <v>1028</v>
      </c>
      <c r="C3215" s="266" t="s">
        <v>1029</v>
      </c>
      <c r="D3215" s="418"/>
    </row>
    <row r="3216" spans="1:4" s="2" customFormat="1" ht="26.45">
      <c r="A3216" s="16" t="s">
        <v>3653</v>
      </c>
      <c r="B3216" s="115" t="s">
        <v>3654</v>
      </c>
      <c r="C3216" s="114"/>
      <c r="D3216" s="418"/>
    </row>
    <row r="3217" spans="1:4" s="2" customFormat="1" ht="24" customHeight="1">
      <c r="A3217" s="122"/>
      <c r="B3217" s="285" t="s">
        <v>3655</v>
      </c>
      <c r="C3217" s="114"/>
      <c r="D3217" s="418"/>
    </row>
    <row r="3218" spans="1:4" s="2" customFormat="1">
      <c r="A3218" s="122"/>
      <c r="B3218" s="286" t="s">
        <v>1150</v>
      </c>
      <c r="C3218" s="114"/>
      <c r="D3218" s="418"/>
    </row>
    <row r="3219" spans="1:4" s="2" customFormat="1">
      <c r="A3219" s="122"/>
      <c r="B3219" s="285" t="s">
        <v>1542</v>
      </c>
      <c r="C3219" s="114"/>
      <c r="D3219" s="418"/>
    </row>
    <row r="3220" spans="1:4" s="2" customFormat="1" ht="12.75" customHeight="1">
      <c r="A3220" s="122"/>
      <c r="B3220" s="285" t="s">
        <v>3656</v>
      </c>
      <c r="C3220" s="114"/>
      <c r="D3220" s="418"/>
    </row>
    <row r="3221" spans="1:4" s="2" customFormat="1" ht="12.75" customHeight="1">
      <c r="A3221" s="122"/>
      <c r="B3221" s="285" t="s">
        <v>3450</v>
      </c>
      <c r="C3221" s="114"/>
      <c r="D3221" s="418"/>
    </row>
    <row r="3222" spans="1:4" s="2" customFormat="1">
      <c r="A3222" s="122"/>
      <c r="B3222" s="285" t="s">
        <v>3451</v>
      </c>
      <c r="C3222" s="114"/>
      <c r="D3222" s="418"/>
    </row>
    <row r="3223" spans="1:4" s="2" customFormat="1">
      <c r="A3223" s="122"/>
      <c r="B3223" s="285" t="s">
        <v>3657</v>
      </c>
      <c r="C3223" s="114"/>
      <c r="D3223" s="418"/>
    </row>
    <row r="3224" spans="1:4" s="2" customFormat="1">
      <c r="A3224" s="122" t="s">
        <v>3658</v>
      </c>
      <c r="B3224" s="132" t="s">
        <v>3659</v>
      </c>
      <c r="C3224" s="114"/>
      <c r="D3224" s="418"/>
    </row>
    <row r="3225" spans="1:4" s="2" customFormat="1">
      <c r="A3225" s="122"/>
      <c r="B3225" s="285" t="s">
        <v>1076</v>
      </c>
      <c r="C3225" s="114" t="s">
        <v>1077</v>
      </c>
      <c r="D3225" s="418"/>
    </row>
    <row r="3226" spans="1:4" s="2" customFormat="1">
      <c r="A3226" s="122" t="s">
        <v>3660</v>
      </c>
      <c r="B3226" s="132" t="s">
        <v>3661</v>
      </c>
      <c r="C3226" s="114"/>
      <c r="D3226" s="418"/>
    </row>
    <row r="3227" spans="1:4" s="2" customFormat="1">
      <c r="A3227" s="122"/>
      <c r="B3227" s="285" t="s">
        <v>1076</v>
      </c>
      <c r="C3227" s="114" t="s">
        <v>1077</v>
      </c>
      <c r="D3227" s="418"/>
    </row>
    <row r="3228" spans="1:4" s="2" customFormat="1">
      <c r="A3228" s="122" t="s">
        <v>3662</v>
      </c>
      <c r="B3228" s="132" t="s">
        <v>3663</v>
      </c>
      <c r="C3228" s="114"/>
      <c r="D3228" s="418"/>
    </row>
    <row r="3229" spans="1:4" s="2" customFormat="1">
      <c r="A3229" s="122"/>
      <c r="B3229" s="285" t="s">
        <v>1076</v>
      </c>
      <c r="C3229" s="114" t="s">
        <v>1077</v>
      </c>
      <c r="D3229" s="418"/>
    </row>
    <row r="3230" spans="1:4" s="2" customFormat="1">
      <c r="A3230" s="122" t="s">
        <v>3664</v>
      </c>
      <c r="B3230" s="132" t="s">
        <v>3665</v>
      </c>
      <c r="C3230" s="114"/>
      <c r="D3230" s="418"/>
    </row>
    <row r="3231" spans="1:4" s="2" customFormat="1">
      <c r="A3231" s="112"/>
      <c r="B3231" s="285" t="s">
        <v>1076</v>
      </c>
      <c r="C3231" s="114" t="s">
        <v>1077</v>
      </c>
      <c r="D3231" s="418"/>
    </row>
    <row r="3232" spans="1:4" s="2" customFormat="1">
      <c r="A3232" s="122" t="s">
        <v>3666</v>
      </c>
      <c r="B3232" s="132" t="s">
        <v>3667</v>
      </c>
      <c r="C3232" s="114"/>
      <c r="D3232" s="418"/>
    </row>
    <row r="3233" spans="1:4" s="2" customFormat="1">
      <c r="A3233" s="112"/>
      <c r="B3233" s="285" t="s">
        <v>1076</v>
      </c>
      <c r="C3233" s="114" t="s">
        <v>1077</v>
      </c>
      <c r="D3233" s="418"/>
    </row>
    <row r="3234" spans="1:4" s="2" customFormat="1">
      <c r="A3234" s="122" t="s">
        <v>3668</v>
      </c>
      <c r="B3234" s="132" t="s">
        <v>3669</v>
      </c>
      <c r="C3234" s="114"/>
      <c r="D3234" s="418"/>
    </row>
    <row r="3235" spans="1:4" s="2" customFormat="1">
      <c r="A3235" s="112"/>
      <c r="B3235" s="285" t="s">
        <v>1076</v>
      </c>
      <c r="C3235" s="114" t="s">
        <v>1077</v>
      </c>
      <c r="D3235" s="418"/>
    </row>
    <row r="3236" spans="1:4" s="2" customFormat="1">
      <c r="A3236" s="122" t="s">
        <v>3670</v>
      </c>
      <c r="B3236" s="132" t="s">
        <v>3671</v>
      </c>
      <c r="C3236" s="114"/>
      <c r="D3236" s="418"/>
    </row>
    <row r="3237" spans="1:4" s="2" customFormat="1">
      <c r="A3237" s="112"/>
      <c r="B3237" s="285" t="s">
        <v>1076</v>
      </c>
      <c r="C3237" s="114" t="s">
        <v>1077</v>
      </c>
      <c r="D3237" s="418"/>
    </row>
    <row r="3238" spans="1:4" s="2" customFormat="1">
      <c r="A3238" s="122" t="s">
        <v>3672</v>
      </c>
      <c r="B3238" s="132" t="s">
        <v>3673</v>
      </c>
      <c r="C3238" s="114"/>
      <c r="D3238" s="418"/>
    </row>
    <row r="3239" spans="1:4" s="2" customFormat="1">
      <c r="A3239" s="112"/>
      <c r="B3239" s="285" t="s">
        <v>1076</v>
      </c>
      <c r="C3239" s="114" t="s">
        <v>1077</v>
      </c>
      <c r="D3239" s="418"/>
    </row>
    <row r="3240" spans="1:4" s="2" customFormat="1">
      <c r="A3240" s="16" t="s">
        <v>3674</v>
      </c>
      <c r="B3240" s="115" t="s">
        <v>3675</v>
      </c>
      <c r="C3240" s="114"/>
      <c r="D3240" s="418"/>
    </row>
    <row r="3241" spans="1:4" s="2" customFormat="1">
      <c r="A3241" s="112"/>
      <c r="B3241" s="285" t="s">
        <v>1076</v>
      </c>
      <c r="C3241" s="114" t="s">
        <v>1077</v>
      </c>
      <c r="D3241" s="418"/>
    </row>
    <row r="3242" spans="1:4" s="2" customFormat="1">
      <c r="A3242" s="16" t="s">
        <v>3676</v>
      </c>
      <c r="B3242" s="115" t="s">
        <v>3677</v>
      </c>
      <c r="C3242" s="114"/>
      <c r="D3242" s="418"/>
    </row>
    <row r="3243" spans="1:4" s="2" customFormat="1" ht="26.45">
      <c r="A3243" s="122"/>
      <c r="B3243" s="285" t="s">
        <v>3678</v>
      </c>
      <c r="C3243" s="114"/>
      <c r="D3243" s="418"/>
    </row>
    <row r="3244" spans="1:4" s="2" customFormat="1" ht="12.75" customHeight="1">
      <c r="A3244" s="122"/>
      <c r="B3244" s="286" t="s">
        <v>1150</v>
      </c>
      <c r="C3244" s="114"/>
      <c r="D3244" s="418"/>
    </row>
    <row r="3245" spans="1:4" s="2" customFormat="1" ht="12.75" customHeight="1">
      <c r="A3245" s="122"/>
      <c r="B3245" s="311" t="s">
        <v>1542</v>
      </c>
      <c r="C3245" s="114"/>
      <c r="D3245" s="418"/>
    </row>
    <row r="3246" spans="1:4" s="2" customFormat="1" ht="15" customHeight="1">
      <c r="A3246" s="122"/>
      <c r="B3246" s="311" t="s">
        <v>3656</v>
      </c>
      <c r="C3246" s="114"/>
      <c r="D3246" s="418"/>
    </row>
    <row r="3247" spans="1:4" s="2" customFormat="1" ht="15" customHeight="1">
      <c r="A3247" s="122"/>
      <c r="B3247" s="311" t="s">
        <v>3450</v>
      </c>
      <c r="C3247" s="114"/>
      <c r="D3247" s="418"/>
    </row>
    <row r="3248" spans="1:4" s="2" customFormat="1">
      <c r="A3248" s="122"/>
      <c r="B3248" s="311" t="s">
        <v>3679</v>
      </c>
      <c r="C3248" s="114"/>
      <c r="D3248" s="418"/>
    </row>
    <row r="3249" spans="1:4" s="2" customFormat="1">
      <c r="A3249" s="122"/>
      <c r="B3249" s="311" t="s">
        <v>3657</v>
      </c>
      <c r="C3249" s="114"/>
      <c r="D3249" s="418"/>
    </row>
    <row r="3250" spans="1:4" s="2" customFormat="1" ht="13.5" customHeight="1">
      <c r="A3250" s="122" t="s">
        <v>3680</v>
      </c>
      <c r="B3250" s="40" t="s">
        <v>3681</v>
      </c>
      <c r="C3250" s="114"/>
      <c r="D3250" s="418"/>
    </row>
    <row r="3251" spans="1:4" s="2" customFormat="1" ht="15" customHeight="1">
      <c r="A3251" s="122"/>
      <c r="B3251" s="285" t="s">
        <v>998</v>
      </c>
      <c r="C3251" s="114" t="s">
        <v>999</v>
      </c>
      <c r="D3251" s="418"/>
    </row>
    <row r="3252" spans="1:4" s="2" customFormat="1">
      <c r="A3252" s="122" t="s">
        <v>3682</v>
      </c>
      <c r="B3252" s="132" t="s">
        <v>3683</v>
      </c>
      <c r="C3252" s="114"/>
      <c r="D3252" s="418"/>
    </row>
    <row r="3253" spans="1:4" s="2" customFormat="1">
      <c r="A3253" s="122"/>
      <c r="B3253" s="285" t="s">
        <v>998</v>
      </c>
      <c r="C3253" s="114" t="s">
        <v>999</v>
      </c>
      <c r="D3253" s="418"/>
    </row>
    <row r="3254" spans="1:4" s="2" customFormat="1">
      <c r="A3254" s="122" t="s">
        <v>3684</v>
      </c>
      <c r="B3254" s="132" t="s">
        <v>3685</v>
      </c>
      <c r="C3254" s="114"/>
      <c r="D3254" s="418"/>
    </row>
    <row r="3255" spans="1:4" s="2" customFormat="1">
      <c r="A3255" s="16"/>
      <c r="B3255" s="285" t="s">
        <v>998</v>
      </c>
      <c r="C3255" s="114" t="s">
        <v>999</v>
      </c>
      <c r="D3255" s="418"/>
    </row>
    <row r="3256" spans="1:4" s="2" customFormat="1">
      <c r="A3256" s="122" t="s">
        <v>3686</v>
      </c>
      <c r="B3256" s="132" t="s">
        <v>3687</v>
      </c>
      <c r="C3256" s="114"/>
      <c r="D3256" s="418"/>
    </row>
    <row r="3257" spans="1:4" s="2" customFormat="1">
      <c r="A3257" s="16"/>
      <c r="B3257" s="285" t="s">
        <v>998</v>
      </c>
      <c r="C3257" s="114" t="s">
        <v>999</v>
      </c>
      <c r="D3257" s="418"/>
    </row>
    <row r="3258" spans="1:4" s="2" customFormat="1">
      <c r="A3258" s="122" t="s">
        <v>3688</v>
      </c>
      <c r="B3258" s="132" t="s">
        <v>3689</v>
      </c>
      <c r="C3258" s="114"/>
      <c r="D3258" s="418"/>
    </row>
    <row r="3259" spans="1:4" s="2" customFormat="1">
      <c r="A3259" s="16"/>
      <c r="B3259" s="285" t="s">
        <v>998</v>
      </c>
      <c r="C3259" s="114" t="s">
        <v>999</v>
      </c>
      <c r="D3259" s="418"/>
    </row>
    <row r="3260" spans="1:4" s="2" customFormat="1">
      <c r="A3260" s="16" t="s">
        <v>3690</v>
      </c>
      <c r="B3260" s="115" t="s">
        <v>3691</v>
      </c>
      <c r="C3260" s="114"/>
      <c r="D3260" s="418"/>
    </row>
    <row r="3261" spans="1:4" s="2" customFormat="1">
      <c r="A3261" s="122"/>
      <c r="B3261" s="285" t="s">
        <v>3692</v>
      </c>
      <c r="C3261" s="114"/>
      <c r="D3261" s="418"/>
    </row>
    <row r="3262" spans="1:4" s="2" customFormat="1">
      <c r="A3262" s="122"/>
      <c r="B3262" s="285" t="s">
        <v>2016</v>
      </c>
      <c r="C3262" s="114"/>
      <c r="D3262" s="418"/>
    </row>
    <row r="3263" spans="1:4" s="2" customFormat="1">
      <c r="A3263" s="122"/>
      <c r="B3263" s="285" t="s">
        <v>1542</v>
      </c>
      <c r="C3263" s="114"/>
      <c r="D3263" s="418"/>
    </row>
    <row r="3264" spans="1:4" s="2" customFormat="1">
      <c r="A3264" s="122"/>
      <c r="B3264" s="285" t="s">
        <v>3693</v>
      </c>
      <c r="C3264" s="114"/>
      <c r="D3264" s="418"/>
    </row>
    <row r="3265" spans="1:4" s="2" customFormat="1">
      <c r="A3265" s="122"/>
      <c r="B3265" s="285" t="s">
        <v>3464</v>
      </c>
      <c r="C3265" s="114"/>
      <c r="D3265" s="418"/>
    </row>
    <row r="3266" spans="1:4" s="2" customFormat="1">
      <c r="A3266" s="122"/>
      <c r="B3266" s="285" t="s">
        <v>3317</v>
      </c>
      <c r="C3266" s="114"/>
      <c r="D3266" s="418"/>
    </row>
    <row r="3267" spans="1:4" s="2" customFormat="1">
      <c r="A3267" s="122"/>
      <c r="B3267" s="285" t="s">
        <v>3269</v>
      </c>
      <c r="C3267" s="114"/>
      <c r="D3267" s="418"/>
    </row>
    <row r="3268" spans="1:4" s="2" customFormat="1">
      <c r="A3268" s="122"/>
      <c r="B3268" s="285" t="s">
        <v>1028</v>
      </c>
      <c r="C3268" s="114" t="s">
        <v>1029</v>
      </c>
      <c r="D3268" s="418"/>
    </row>
    <row r="3269" spans="1:4" s="2" customFormat="1" ht="12.75" customHeight="1">
      <c r="A3269" s="16" t="s">
        <v>3694</v>
      </c>
      <c r="B3269" s="115" t="s">
        <v>3695</v>
      </c>
      <c r="C3269" s="114"/>
      <c r="D3269" s="418"/>
    </row>
    <row r="3270" spans="1:4" s="2" customFormat="1" ht="39.6">
      <c r="A3270" s="122"/>
      <c r="B3270" s="285" t="s">
        <v>3696</v>
      </c>
      <c r="C3270" s="114"/>
      <c r="D3270" s="418"/>
    </row>
    <row r="3271" spans="1:4" s="2" customFormat="1">
      <c r="A3271" s="122"/>
      <c r="B3271" s="285" t="s">
        <v>1150</v>
      </c>
      <c r="C3271" s="114"/>
      <c r="D3271" s="418"/>
    </row>
    <row r="3272" spans="1:4" s="2" customFormat="1">
      <c r="A3272" s="122"/>
      <c r="B3272" s="285" t="s">
        <v>1542</v>
      </c>
      <c r="C3272" s="114"/>
      <c r="D3272" s="418"/>
    </row>
    <row r="3273" spans="1:4" s="2" customFormat="1">
      <c r="A3273" s="122"/>
      <c r="B3273" s="285" t="s">
        <v>3656</v>
      </c>
      <c r="C3273" s="114"/>
      <c r="D3273" s="418"/>
    </row>
    <row r="3274" spans="1:4" s="2" customFormat="1" ht="12.75" customHeight="1">
      <c r="A3274" s="122"/>
      <c r="B3274" s="285" t="s">
        <v>3450</v>
      </c>
      <c r="C3274" s="114"/>
      <c r="D3274" s="418"/>
    </row>
    <row r="3275" spans="1:4" s="2" customFormat="1">
      <c r="A3275" s="122"/>
      <c r="B3275" s="285" t="s">
        <v>3451</v>
      </c>
      <c r="C3275" s="114"/>
      <c r="D3275" s="418"/>
    </row>
    <row r="3276" spans="1:4" s="2" customFormat="1">
      <c r="A3276" s="122"/>
      <c r="B3276" s="285" t="s">
        <v>3657</v>
      </c>
      <c r="C3276" s="114"/>
      <c r="D3276" s="418"/>
    </row>
    <row r="3277" spans="1:4" s="2" customFormat="1">
      <c r="A3277" s="122" t="s">
        <v>3697</v>
      </c>
      <c r="B3277" s="132" t="s">
        <v>3659</v>
      </c>
      <c r="C3277" s="114"/>
      <c r="D3277" s="418"/>
    </row>
    <row r="3278" spans="1:4" s="2" customFormat="1">
      <c r="A3278" s="122"/>
      <c r="B3278" s="285" t="s">
        <v>1076</v>
      </c>
      <c r="C3278" s="114" t="s">
        <v>1077</v>
      </c>
      <c r="D3278" s="418"/>
    </row>
    <row r="3279" spans="1:4" s="2" customFormat="1">
      <c r="A3279" s="122" t="s">
        <v>3698</v>
      </c>
      <c r="B3279" s="132" t="s">
        <v>3661</v>
      </c>
      <c r="C3279" s="114"/>
      <c r="D3279" s="418"/>
    </row>
    <row r="3280" spans="1:4" s="2" customFormat="1">
      <c r="A3280" s="122"/>
      <c r="B3280" s="285" t="s">
        <v>1076</v>
      </c>
      <c r="C3280" s="114" t="s">
        <v>1077</v>
      </c>
      <c r="D3280" s="418"/>
    </row>
    <row r="3281" spans="1:4" s="2" customFormat="1">
      <c r="A3281" s="122" t="s">
        <v>3699</v>
      </c>
      <c r="B3281" s="132" t="s">
        <v>3663</v>
      </c>
      <c r="C3281" s="114"/>
      <c r="D3281" s="418"/>
    </row>
    <row r="3282" spans="1:4" s="2" customFormat="1">
      <c r="A3282" s="122"/>
      <c r="B3282" s="285" t="s">
        <v>1076</v>
      </c>
      <c r="C3282" s="114" t="s">
        <v>1077</v>
      </c>
      <c r="D3282" s="418"/>
    </row>
    <row r="3283" spans="1:4" s="2" customFormat="1">
      <c r="A3283" s="122" t="s">
        <v>3700</v>
      </c>
      <c r="B3283" s="132" t="s">
        <v>3665</v>
      </c>
      <c r="C3283" s="114"/>
      <c r="D3283" s="418"/>
    </row>
    <row r="3284" spans="1:4" s="2" customFormat="1">
      <c r="A3284" s="122"/>
      <c r="B3284" s="285" t="s">
        <v>1076</v>
      </c>
      <c r="C3284" s="114" t="s">
        <v>1077</v>
      </c>
      <c r="D3284" s="418"/>
    </row>
    <row r="3285" spans="1:4" s="2" customFormat="1" ht="13.5" customHeight="1">
      <c r="A3285" s="122" t="s">
        <v>3701</v>
      </c>
      <c r="B3285" s="132" t="s">
        <v>3702</v>
      </c>
      <c r="C3285" s="114"/>
      <c r="D3285" s="418"/>
    </row>
    <row r="3286" spans="1:4" s="2" customFormat="1">
      <c r="A3286" s="122"/>
      <c r="B3286" s="285" t="s">
        <v>1076</v>
      </c>
      <c r="C3286" s="114" t="s">
        <v>1077</v>
      </c>
      <c r="D3286" s="418"/>
    </row>
    <row r="3287" spans="1:4" s="2" customFormat="1">
      <c r="A3287" s="122" t="s">
        <v>3703</v>
      </c>
      <c r="B3287" s="132" t="s">
        <v>3704</v>
      </c>
      <c r="C3287" s="114"/>
      <c r="D3287" s="418"/>
    </row>
    <row r="3288" spans="1:4" s="2" customFormat="1" ht="12.75" customHeight="1">
      <c r="A3288" s="122"/>
      <c r="B3288" s="285" t="s">
        <v>1076</v>
      </c>
      <c r="C3288" s="114" t="s">
        <v>1077</v>
      </c>
      <c r="D3288" s="418"/>
    </row>
    <row r="3289" spans="1:4" s="2" customFormat="1" ht="13.5" customHeight="1">
      <c r="A3289" s="122" t="s">
        <v>3705</v>
      </c>
      <c r="B3289" s="132" t="s">
        <v>3706</v>
      </c>
      <c r="C3289" s="114"/>
      <c r="D3289" s="418"/>
    </row>
    <row r="3290" spans="1:4" s="2" customFormat="1">
      <c r="A3290" s="122"/>
      <c r="B3290" s="285" t="s">
        <v>1076</v>
      </c>
      <c r="C3290" s="114" t="s">
        <v>1077</v>
      </c>
      <c r="D3290" s="418"/>
    </row>
    <row r="3291" spans="1:4" s="2" customFormat="1">
      <c r="A3291" s="122" t="s">
        <v>3707</v>
      </c>
      <c r="B3291" s="132" t="s">
        <v>3708</v>
      </c>
      <c r="C3291" s="114"/>
      <c r="D3291" s="418"/>
    </row>
    <row r="3292" spans="1:4" s="2" customFormat="1">
      <c r="A3292" s="122"/>
      <c r="B3292" s="285" t="s">
        <v>1076</v>
      </c>
      <c r="C3292" s="114" t="s">
        <v>1077</v>
      </c>
      <c r="D3292" s="418"/>
    </row>
    <row r="3293" spans="1:4" s="2" customFormat="1">
      <c r="A3293" s="16" t="s">
        <v>3709</v>
      </c>
      <c r="B3293" s="115" t="s">
        <v>3710</v>
      </c>
      <c r="C3293" s="114"/>
      <c r="D3293" s="418"/>
    </row>
    <row r="3294" spans="1:4" s="2" customFormat="1" ht="12" customHeight="1">
      <c r="A3294" s="122"/>
      <c r="B3294" s="285" t="s">
        <v>3711</v>
      </c>
      <c r="C3294" s="114"/>
      <c r="D3294" s="418"/>
    </row>
    <row r="3295" spans="1:4" s="2" customFormat="1">
      <c r="A3295" s="122"/>
      <c r="B3295" s="286" t="s">
        <v>1150</v>
      </c>
      <c r="C3295" s="114"/>
      <c r="D3295" s="418"/>
    </row>
    <row r="3296" spans="1:4" s="2" customFormat="1" ht="12" customHeight="1">
      <c r="A3296" s="122"/>
      <c r="B3296" s="285" t="s">
        <v>1542</v>
      </c>
      <c r="C3296" s="114"/>
      <c r="D3296" s="418"/>
    </row>
    <row r="3297" spans="1:4" s="2" customFormat="1">
      <c r="A3297" s="122"/>
      <c r="B3297" s="285" t="s">
        <v>3656</v>
      </c>
      <c r="C3297" s="114"/>
      <c r="D3297" s="418"/>
    </row>
    <row r="3298" spans="1:4" s="2" customFormat="1" ht="12" customHeight="1">
      <c r="A3298" s="122"/>
      <c r="B3298" s="285" t="s">
        <v>3450</v>
      </c>
      <c r="C3298" s="114"/>
      <c r="D3298" s="418"/>
    </row>
    <row r="3299" spans="1:4" s="2" customFormat="1">
      <c r="A3299" s="122"/>
      <c r="B3299" s="285" t="s">
        <v>3451</v>
      </c>
      <c r="C3299" s="114"/>
      <c r="D3299" s="418"/>
    </row>
    <row r="3300" spans="1:4" s="2" customFormat="1" ht="12" customHeight="1">
      <c r="A3300" s="122"/>
      <c r="B3300" s="285" t="s">
        <v>3452</v>
      </c>
      <c r="C3300" s="114"/>
      <c r="D3300" s="418"/>
    </row>
    <row r="3301" spans="1:4" s="2" customFormat="1">
      <c r="A3301" s="122" t="s">
        <v>3712</v>
      </c>
      <c r="B3301" s="132" t="s">
        <v>3681</v>
      </c>
      <c r="C3301" s="114"/>
      <c r="D3301" s="418"/>
    </row>
    <row r="3302" spans="1:4" s="2" customFormat="1" ht="12" customHeight="1">
      <c r="A3302" s="122"/>
      <c r="B3302" s="285" t="s">
        <v>998</v>
      </c>
      <c r="C3302" s="114" t="s">
        <v>999</v>
      </c>
      <c r="D3302" s="418"/>
    </row>
    <row r="3303" spans="1:4" s="2" customFormat="1">
      <c r="A3303" s="122" t="s">
        <v>3713</v>
      </c>
      <c r="B3303" s="132" t="s">
        <v>3683</v>
      </c>
      <c r="C3303" s="114"/>
      <c r="D3303" s="418"/>
    </row>
    <row r="3304" spans="1:4" s="2" customFormat="1" ht="12" customHeight="1">
      <c r="A3304" s="122"/>
      <c r="B3304" s="285" t="s">
        <v>998</v>
      </c>
      <c r="C3304" s="114" t="s">
        <v>999</v>
      </c>
      <c r="D3304" s="418"/>
    </row>
    <row r="3305" spans="1:4" s="2" customFormat="1">
      <c r="A3305" s="122" t="s">
        <v>3714</v>
      </c>
      <c r="B3305" s="132" t="s">
        <v>3685</v>
      </c>
      <c r="C3305" s="114"/>
      <c r="D3305" s="418"/>
    </row>
    <row r="3306" spans="1:4" s="2" customFormat="1" ht="13.5" customHeight="1">
      <c r="A3306" s="16"/>
      <c r="B3306" s="285" t="s">
        <v>998</v>
      </c>
      <c r="C3306" s="114" t="s">
        <v>999</v>
      </c>
      <c r="D3306" s="418"/>
    </row>
    <row r="3307" spans="1:4" s="2" customFormat="1">
      <c r="A3307" s="16"/>
      <c r="B3307" s="132" t="s">
        <v>3687</v>
      </c>
      <c r="C3307" s="114"/>
      <c r="D3307" s="418"/>
    </row>
    <row r="3308" spans="1:4" s="2" customFormat="1">
      <c r="A3308" s="122" t="s">
        <v>3715</v>
      </c>
      <c r="B3308" s="285" t="s">
        <v>998</v>
      </c>
      <c r="C3308" s="114" t="s">
        <v>999</v>
      </c>
      <c r="D3308" s="418"/>
    </row>
    <row r="3309" spans="1:4" s="2" customFormat="1" ht="13.5" customHeight="1">
      <c r="A3309" s="16"/>
      <c r="B3309" s="132" t="s">
        <v>3689</v>
      </c>
      <c r="C3309" s="114"/>
      <c r="D3309" s="418"/>
    </row>
    <row r="3310" spans="1:4" s="2" customFormat="1">
      <c r="A3310" s="122" t="s">
        <v>3716</v>
      </c>
      <c r="B3310" s="285" t="s">
        <v>998</v>
      </c>
      <c r="C3310" s="114" t="s">
        <v>999</v>
      </c>
      <c r="D3310" s="418"/>
    </row>
    <row r="3311" spans="1:4" s="2" customFormat="1" ht="26.45">
      <c r="A3311" s="16" t="s">
        <v>3717</v>
      </c>
      <c r="B3311" s="115" t="s">
        <v>3718</v>
      </c>
      <c r="C3311" s="114"/>
      <c r="D3311" s="418"/>
    </row>
    <row r="3312" spans="1:4" s="3" customFormat="1" ht="26.45">
      <c r="A3312" s="122"/>
      <c r="B3312" s="285" t="s">
        <v>3719</v>
      </c>
      <c r="C3312" s="114"/>
      <c r="D3312" s="418"/>
    </row>
    <row r="3313" spans="1:4" s="3" customFormat="1">
      <c r="A3313" s="122"/>
      <c r="B3313" s="286" t="s">
        <v>1150</v>
      </c>
      <c r="C3313" s="114"/>
      <c r="D3313" s="418"/>
    </row>
    <row r="3314" spans="1:4" s="3" customFormat="1">
      <c r="A3314" s="122"/>
      <c r="B3314" s="285" t="s">
        <v>1542</v>
      </c>
      <c r="C3314" s="114"/>
      <c r="D3314" s="418"/>
    </row>
    <row r="3315" spans="1:4" s="3" customFormat="1">
      <c r="A3315" s="122"/>
      <c r="B3315" s="285" t="s">
        <v>3656</v>
      </c>
      <c r="C3315" s="114"/>
      <c r="D3315" s="418"/>
    </row>
    <row r="3316" spans="1:4" s="3" customFormat="1">
      <c r="A3316" s="122"/>
      <c r="B3316" s="285" t="s">
        <v>3450</v>
      </c>
      <c r="C3316" s="114"/>
      <c r="D3316" s="418"/>
    </row>
    <row r="3317" spans="1:4" s="3" customFormat="1">
      <c r="A3317" s="122"/>
      <c r="B3317" s="285" t="s">
        <v>3451</v>
      </c>
      <c r="C3317" s="114"/>
      <c r="D3317" s="418"/>
    </row>
    <row r="3318" spans="1:4" s="3" customFormat="1">
      <c r="A3318" s="122"/>
      <c r="B3318" s="285" t="s">
        <v>3657</v>
      </c>
      <c r="C3318" s="114"/>
      <c r="D3318" s="418"/>
    </row>
    <row r="3319" spans="1:4" s="3" customFormat="1">
      <c r="A3319" s="122" t="s">
        <v>3720</v>
      </c>
      <c r="B3319" s="132" t="s">
        <v>3681</v>
      </c>
      <c r="C3319" s="114"/>
      <c r="D3319" s="418"/>
    </row>
    <row r="3320" spans="1:4" s="3" customFormat="1">
      <c r="A3320" s="122"/>
      <c r="B3320" s="285" t="s">
        <v>998</v>
      </c>
      <c r="C3320" s="114" t="s">
        <v>999</v>
      </c>
      <c r="D3320" s="418"/>
    </row>
    <row r="3321" spans="1:4" s="3" customFormat="1">
      <c r="A3321" s="122" t="s">
        <v>3721</v>
      </c>
      <c r="B3321" s="132" t="s">
        <v>3683</v>
      </c>
      <c r="C3321" s="114"/>
      <c r="D3321" s="418"/>
    </row>
    <row r="3322" spans="1:4" s="3" customFormat="1">
      <c r="A3322" s="122"/>
      <c r="B3322" s="285" t="s">
        <v>998</v>
      </c>
      <c r="C3322" s="114" t="s">
        <v>999</v>
      </c>
      <c r="D3322" s="418"/>
    </row>
    <row r="3323" spans="1:4" s="3" customFormat="1">
      <c r="A3323" s="122" t="s">
        <v>3722</v>
      </c>
      <c r="B3323" s="132" t="s">
        <v>3685</v>
      </c>
      <c r="C3323" s="114"/>
      <c r="D3323" s="418"/>
    </row>
    <row r="3324" spans="1:4" s="3" customFormat="1">
      <c r="A3324" s="16"/>
      <c r="B3324" s="285" t="s">
        <v>998</v>
      </c>
      <c r="C3324" s="114" t="s">
        <v>999</v>
      </c>
      <c r="D3324" s="418"/>
    </row>
    <row r="3325" spans="1:4" s="3" customFormat="1">
      <c r="A3325" s="16"/>
      <c r="B3325" s="132" t="s">
        <v>3687</v>
      </c>
      <c r="C3325" s="114"/>
      <c r="D3325" s="418"/>
    </row>
    <row r="3326" spans="1:4" s="3" customFormat="1">
      <c r="A3326" s="122" t="s">
        <v>3723</v>
      </c>
      <c r="B3326" s="285" t="s">
        <v>998</v>
      </c>
      <c r="C3326" s="114" t="s">
        <v>999</v>
      </c>
      <c r="D3326" s="418"/>
    </row>
    <row r="3327" spans="1:4" s="3" customFormat="1">
      <c r="A3327" s="16"/>
      <c r="B3327" s="132" t="s">
        <v>3689</v>
      </c>
      <c r="C3327" s="114"/>
      <c r="D3327" s="418"/>
    </row>
    <row r="3328" spans="1:4" s="3" customFormat="1">
      <c r="A3328" s="122" t="s">
        <v>3724</v>
      </c>
      <c r="B3328" s="285" t="s">
        <v>998</v>
      </c>
      <c r="C3328" s="114" t="s">
        <v>999</v>
      </c>
      <c r="D3328" s="418"/>
    </row>
    <row r="3329" spans="1:4" s="3" customFormat="1" ht="27.6">
      <c r="A3329" s="13" t="s">
        <v>3725</v>
      </c>
      <c r="B3329" s="52" t="s">
        <v>3726</v>
      </c>
      <c r="C3329" s="7" t="s">
        <v>959</v>
      </c>
      <c r="D3329" s="440"/>
    </row>
    <row r="3330" spans="1:4" s="3" customFormat="1" ht="26.45">
      <c r="A3330" s="62" t="s">
        <v>458</v>
      </c>
      <c r="B3330" s="23" t="s">
        <v>3727</v>
      </c>
      <c r="C3330" s="162" t="s">
        <v>959</v>
      </c>
      <c r="D3330" s="435"/>
    </row>
    <row r="3331" spans="1:4" s="3" customFormat="1" ht="26.45">
      <c r="A3331" s="163" t="s">
        <v>959</v>
      </c>
      <c r="B3331" s="267" t="s">
        <v>3728</v>
      </c>
      <c r="C3331" s="129" t="s">
        <v>959</v>
      </c>
      <c r="D3331" s="430"/>
    </row>
    <row r="3332" spans="1:4" s="3" customFormat="1" ht="13.9">
      <c r="A3332" s="244"/>
      <c r="B3332" s="319" t="s">
        <v>1150</v>
      </c>
      <c r="C3332" s="164"/>
      <c r="D3332" s="437"/>
    </row>
    <row r="3333" spans="1:4" s="3" customFormat="1" ht="13.9">
      <c r="A3333" s="244"/>
      <c r="B3333" s="318" t="s">
        <v>1542</v>
      </c>
      <c r="C3333" s="164"/>
      <c r="D3333" s="437"/>
    </row>
    <row r="3334" spans="1:4" s="3" customFormat="1" ht="26.45">
      <c r="A3334" s="244"/>
      <c r="B3334" s="318" t="s">
        <v>3729</v>
      </c>
      <c r="C3334" s="164"/>
      <c r="D3334" s="437"/>
    </row>
    <row r="3335" spans="1:4" s="3" customFormat="1" ht="26.45">
      <c r="A3335" s="244"/>
      <c r="B3335" s="318" t="s">
        <v>2979</v>
      </c>
      <c r="C3335" s="164"/>
      <c r="D3335" s="437"/>
    </row>
    <row r="3336" spans="1:4" s="3" customFormat="1" ht="13.9">
      <c r="A3336" s="244"/>
      <c r="B3336" s="318" t="s">
        <v>2931</v>
      </c>
      <c r="C3336" s="164"/>
      <c r="D3336" s="437"/>
    </row>
    <row r="3337" spans="1:4" s="3" customFormat="1">
      <c r="A3337" s="112" t="s">
        <v>959</v>
      </c>
      <c r="B3337" s="285" t="s">
        <v>2982</v>
      </c>
      <c r="C3337" s="129" t="s">
        <v>959</v>
      </c>
      <c r="D3337" s="430"/>
    </row>
    <row r="3338" spans="1:4" s="3" customFormat="1" ht="26.45">
      <c r="A3338" s="244"/>
      <c r="B3338" s="319" t="s">
        <v>3730</v>
      </c>
      <c r="C3338" s="164"/>
      <c r="D3338" s="437"/>
    </row>
    <row r="3339" spans="1:4" s="3" customFormat="1" ht="13.9">
      <c r="A3339" s="244"/>
      <c r="B3339" s="319" t="s">
        <v>3731</v>
      </c>
      <c r="C3339" s="164"/>
      <c r="D3339" s="437"/>
    </row>
    <row r="3340" spans="1:4" s="3" customFormat="1" ht="13.9">
      <c r="A3340" s="141" t="s">
        <v>3732</v>
      </c>
      <c r="B3340" s="165" t="s">
        <v>3733</v>
      </c>
      <c r="C3340" s="164"/>
      <c r="D3340" s="437"/>
    </row>
    <row r="3341" spans="1:4" s="3" customFormat="1" ht="13.9">
      <c r="A3341" s="166" t="s">
        <v>3734</v>
      </c>
      <c r="B3341" s="77" t="s">
        <v>3735</v>
      </c>
      <c r="C3341" s="18"/>
      <c r="D3341" s="437"/>
    </row>
    <row r="3342" spans="1:4" s="3" customFormat="1" ht="13.9">
      <c r="A3342" s="300"/>
      <c r="B3342" s="267" t="s">
        <v>3736</v>
      </c>
      <c r="C3342" s="18" t="s">
        <v>1077</v>
      </c>
      <c r="D3342" s="437"/>
    </row>
    <row r="3343" spans="1:4" s="3" customFormat="1" ht="13.9">
      <c r="A3343" s="166" t="s">
        <v>3737</v>
      </c>
      <c r="B3343" s="77" t="s">
        <v>3738</v>
      </c>
      <c r="C3343" s="18"/>
      <c r="D3343" s="437"/>
    </row>
    <row r="3344" spans="1:4" s="3" customFormat="1" ht="13.9">
      <c r="A3344" s="300"/>
      <c r="B3344" s="267" t="s">
        <v>1076</v>
      </c>
      <c r="C3344" s="18" t="s">
        <v>1077</v>
      </c>
      <c r="D3344" s="437"/>
    </row>
    <row r="3345" spans="1:4" s="3" customFormat="1" ht="13.9">
      <c r="A3345" s="166" t="s">
        <v>3739</v>
      </c>
      <c r="B3345" s="77" t="s">
        <v>3740</v>
      </c>
      <c r="C3345" s="18"/>
      <c r="D3345" s="437"/>
    </row>
    <row r="3346" spans="1:4" s="3" customFormat="1" ht="13.9">
      <c r="A3346" s="300"/>
      <c r="B3346" s="267" t="s">
        <v>1076</v>
      </c>
      <c r="C3346" s="18" t="s">
        <v>1077</v>
      </c>
      <c r="D3346" s="437"/>
    </row>
    <row r="3347" spans="1:4" s="3" customFormat="1" ht="26.45">
      <c r="A3347" s="141" t="s">
        <v>3741</v>
      </c>
      <c r="B3347" s="165" t="s">
        <v>3742</v>
      </c>
      <c r="C3347" s="164"/>
      <c r="D3347" s="437"/>
    </row>
    <row r="3348" spans="1:4" s="3" customFormat="1" ht="13.9">
      <c r="A3348" s="141"/>
      <c r="B3348" s="319" t="s">
        <v>3743</v>
      </c>
      <c r="C3348" s="164"/>
      <c r="D3348" s="437"/>
    </row>
    <row r="3349" spans="1:4" s="3" customFormat="1" ht="14.45">
      <c r="A3349" s="245"/>
      <c r="B3349" s="167" t="s">
        <v>3744</v>
      </c>
      <c r="C3349" s="470"/>
      <c r="D3349" s="437"/>
    </row>
    <row r="3350" spans="1:4" s="3" customFormat="1" ht="14.45">
      <c r="A3350" s="245"/>
      <c r="B3350" s="167" t="s">
        <v>3745</v>
      </c>
      <c r="C3350" s="470"/>
      <c r="D3350" s="437"/>
    </row>
    <row r="3351" spans="1:4" s="3" customFormat="1" ht="14.45">
      <c r="A3351" s="245"/>
      <c r="B3351" s="167" t="s">
        <v>3746</v>
      </c>
      <c r="C3351" s="470"/>
      <c r="D3351" s="437"/>
    </row>
    <row r="3352" spans="1:4" s="3" customFormat="1" ht="14.45">
      <c r="A3352" s="245"/>
      <c r="B3352" s="167" t="s">
        <v>3747</v>
      </c>
      <c r="C3352" s="470"/>
      <c r="D3352" s="437"/>
    </row>
    <row r="3353" spans="1:4" s="3" customFormat="1" ht="14.45">
      <c r="A3353" s="245"/>
      <c r="B3353" s="167" t="s">
        <v>3748</v>
      </c>
      <c r="C3353" s="470"/>
      <c r="D3353" s="437"/>
    </row>
    <row r="3354" spans="1:4" s="3" customFormat="1" ht="13.9">
      <c r="A3354" s="166" t="s">
        <v>3749</v>
      </c>
      <c r="B3354" s="77" t="s">
        <v>3750</v>
      </c>
      <c r="C3354" s="18"/>
      <c r="D3354" s="437"/>
    </row>
    <row r="3355" spans="1:4" s="3" customFormat="1" ht="13.9">
      <c r="A3355" s="300"/>
      <c r="B3355" s="267" t="s">
        <v>3751</v>
      </c>
      <c r="C3355" s="18" t="s">
        <v>3752</v>
      </c>
      <c r="D3355" s="437"/>
    </row>
    <row r="3356" spans="1:4" s="3" customFormat="1" ht="13.9">
      <c r="A3356" s="166" t="s">
        <v>3753</v>
      </c>
      <c r="B3356" s="77" t="s">
        <v>3754</v>
      </c>
      <c r="C3356" s="18"/>
      <c r="D3356" s="437"/>
    </row>
    <row r="3357" spans="1:4" s="3" customFormat="1" ht="13.9">
      <c r="A3357" s="300"/>
      <c r="B3357" s="267" t="s">
        <v>3751</v>
      </c>
      <c r="C3357" s="18" t="s">
        <v>3752</v>
      </c>
      <c r="D3357" s="437"/>
    </row>
    <row r="3358" spans="1:4" s="3" customFormat="1" ht="13.9">
      <c r="A3358" s="166" t="s">
        <v>3755</v>
      </c>
      <c r="B3358" s="77" t="s">
        <v>3756</v>
      </c>
      <c r="C3358" s="18"/>
      <c r="D3358" s="437"/>
    </row>
    <row r="3359" spans="1:4" s="3" customFormat="1" ht="13.9">
      <c r="A3359" s="300"/>
      <c r="B3359" s="267" t="s">
        <v>3751</v>
      </c>
      <c r="C3359" s="18" t="s">
        <v>3752</v>
      </c>
      <c r="D3359" s="437"/>
    </row>
    <row r="3360" spans="1:4" s="2" customFormat="1" ht="26.45">
      <c r="A3360" s="168" t="s">
        <v>459</v>
      </c>
      <c r="B3360" s="169" t="s">
        <v>3757</v>
      </c>
      <c r="C3360" s="170" t="s">
        <v>959</v>
      </c>
      <c r="D3360" s="433"/>
    </row>
    <row r="3361" spans="1:4" s="3" customFormat="1" ht="52.9">
      <c r="A3361" s="163" t="s">
        <v>959</v>
      </c>
      <c r="B3361" s="267" t="s">
        <v>3758</v>
      </c>
      <c r="C3361" s="129" t="s">
        <v>959</v>
      </c>
      <c r="D3361" s="430"/>
    </row>
    <row r="3362" spans="1:4" s="2" customFormat="1" ht="12.75" customHeight="1">
      <c r="A3362" s="244"/>
      <c r="B3362" s="319" t="s">
        <v>1150</v>
      </c>
      <c r="C3362" s="164"/>
      <c r="D3362" s="437"/>
    </row>
    <row r="3363" spans="1:4" s="2" customFormat="1" ht="13.9">
      <c r="A3363" s="244"/>
      <c r="B3363" s="318" t="s">
        <v>1542</v>
      </c>
      <c r="C3363" s="164"/>
      <c r="D3363" s="437"/>
    </row>
    <row r="3364" spans="1:4" s="2" customFormat="1" ht="26.45">
      <c r="A3364" s="244"/>
      <c r="B3364" s="318" t="s">
        <v>3759</v>
      </c>
      <c r="C3364" s="164"/>
      <c r="D3364" s="437"/>
    </row>
    <row r="3365" spans="1:4" s="2" customFormat="1" ht="13.9">
      <c r="A3365" s="244"/>
      <c r="B3365" s="318" t="s">
        <v>2931</v>
      </c>
      <c r="C3365" s="164"/>
      <c r="D3365" s="437"/>
    </row>
    <row r="3366" spans="1:4" s="2" customFormat="1">
      <c r="A3366" s="112" t="s">
        <v>959</v>
      </c>
      <c r="B3366" s="285" t="s">
        <v>2982</v>
      </c>
      <c r="C3366" s="129" t="s">
        <v>959</v>
      </c>
      <c r="D3366" s="430"/>
    </row>
    <row r="3367" spans="1:4" s="2" customFormat="1" ht="13.9">
      <c r="A3367" s="244"/>
      <c r="B3367" s="319" t="s">
        <v>3731</v>
      </c>
      <c r="C3367" s="164"/>
      <c r="D3367" s="437"/>
    </row>
    <row r="3368" spans="1:4" s="3" customFormat="1" ht="13.9">
      <c r="A3368" s="141" t="s">
        <v>3760</v>
      </c>
      <c r="B3368" s="165" t="s">
        <v>3761</v>
      </c>
      <c r="C3368" s="164"/>
      <c r="D3368" s="437"/>
    </row>
    <row r="3369" spans="1:4" s="3" customFormat="1">
      <c r="A3369" s="166" t="s">
        <v>3762</v>
      </c>
      <c r="B3369" s="77" t="s">
        <v>3763</v>
      </c>
      <c r="C3369" s="18"/>
      <c r="D3369" s="430"/>
    </row>
    <row r="3370" spans="1:4" s="3" customFormat="1">
      <c r="A3370" s="300"/>
      <c r="B3370" s="267" t="s">
        <v>3736</v>
      </c>
      <c r="C3370" s="18" t="s">
        <v>1077</v>
      </c>
      <c r="D3370" s="430"/>
    </row>
    <row r="3371" spans="1:4" s="3" customFormat="1">
      <c r="A3371" s="166" t="s">
        <v>3764</v>
      </c>
      <c r="B3371" s="77" t="s">
        <v>3765</v>
      </c>
      <c r="C3371" s="18"/>
      <c r="D3371" s="430"/>
    </row>
    <row r="3372" spans="1:4" s="3" customFormat="1">
      <c r="A3372" s="300"/>
      <c r="B3372" s="267" t="s">
        <v>1076</v>
      </c>
      <c r="C3372" s="18" t="s">
        <v>1077</v>
      </c>
      <c r="D3372" s="430"/>
    </row>
    <row r="3373" spans="1:4" s="3" customFormat="1">
      <c r="A3373" s="166" t="s">
        <v>3766</v>
      </c>
      <c r="B3373" s="77" t="s">
        <v>3767</v>
      </c>
      <c r="C3373" s="18"/>
      <c r="D3373" s="430"/>
    </row>
    <row r="3374" spans="1:4" s="3" customFormat="1">
      <c r="A3374" s="300"/>
      <c r="B3374" s="267" t="s">
        <v>1076</v>
      </c>
      <c r="C3374" s="18" t="s">
        <v>1077</v>
      </c>
      <c r="D3374" s="430"/>
    </row>
    <row r="3375" spans="1:4" s="2" customFormat="1" ht="12.75" customHeight="1">
      <c r="A3375" s="141" t="s">
        <v>3768</v>
      </c>
      <c r="B3375" s="165" t="s">
        <v>3769</v>
      </c>
      <c r="C3375" s="164"/>
      <c r="D3375" s="430"/>
    </row>
    <row r="3376" spans="1:4" s="2" customFormat="1">
      <c r="A3376" s="141"/>
      <c r="B3376" s="319" t="s">
        <v>3743</v>
      </c>
      <c r="C3376" s="164"/>
      <c r="D3376" s="430"/>
    </row>
    <row r="3377" spans="1:4" s="2" customFormat="1" ht="14.45">
      <c r="A3377" s="245"/>
      <c r="B3377" s="167" t="s">
        <v>3770</v>
      </c>
      <c r="C3377" s="470"/>
      <c r="D3377" s="430"/>
    </row>
    <row r="3378" spans="1:4" s="2" customFormat="1" ht="14.45">
      <c r="A3378" s="245"/>
      <c r="B3378" s="167" t="s">
        <v>3771</v>
      </c>
      <c r="C3378" s="470"/>
      <c r="D3378" s="430"/>
    </row>
    <row r="3379" spans="1:4" s="2" customFormat="1" ht="14.45">
      <c r="A3379" s="245"/>
      <c r="B3379" s="167" t="s">
        <v>3772</v>
      </c>
      <c r="C3379" s="470"/>
      <c r="D3379" s="430"/>
    </row>
    <row r="3380" spans="1:4" s="2" customFormat="1" ht="14.45">
      <c r="A3380" s="245"/>
      <c r="B3380" s="167" t="s">
        <v>3773</v>
      </c>
      <c r="C3380" s="470"/>
      <c r="D3380" s="430"/>
    </row>
    <row r="3381" spans="1:4" s="3" customFormat="1" ht="14.45">
      <c r="A3381" s="245"/>
      <c r="B3381" s="167" t="s">
        <v>3774</v>
      </c>
      <c r="C3381" s="470"/>
      <c r="D3381" s="430"/>
    </row>
    <row r="3382" spans="1:4" s="3" customFormat="1" ht="14.45">
      <c r="A3382" s="245"/>
      <c r="B3382" s="167" t="s">
        <v>3775</v>
      </c>
      <c r="C3382" s="470"/>
      <c r="D3382" s="430"/>
    </row>
    <row r="3383" spans="1:4" s="3" customFormat="1">
      <c r="A3383" s="166" t="s">
        <v>3776</v>
      </c>
      <c r="B3383" s="77" t="s">
        <v>3777</v>
      </c>
      <c r="C3383" s="18"/>
      <c r="D3383" s="430"/>
    </row>
    <row r="3384" spans="1:4" s="3" customFormat="1">
      <c r="A3384" s="300"/>
      <c r="B3384" s="267" t="s">
        <v>3751</v>
      </c>
      <c r="C3384" s="18" t="s">
        <v>3752</v>
      </c>
      <c r="D3384" s="430"/>
    </row>
    <row r="3385" spans="1:4" s="3" customFormat="1">
      <c r="A3385" s="166" t="s">
        <v>3778</v>
      </c>
      <c r="B3385" s="77" t="s">
        <v>3779</v>
      </c>
      <c r="C3385" s="18"/>
      <c r="D3385" s="430"/>
    </row>
    <row r="3386" spans="1:4" s="3" customFormat="1">
      <c r="A3386" s="300"/>
      <c r="B3386" s="267" t="s">
        <v>3751</v>
      </c>
      <c r="C3386" s="18" t="s">
        <v>3752</v>
      </c>
      <c r="D3386" s="430"/>
    </row>
    <row r="3387" spans="1:4" s="3" customFormat="1">
      <c r="A3387" s="166" t="s">
        <v>3780</v>
      </c>
      <c r="B3387" s="77" t="s">
        <v>3781</v>
      </c>
      <c r="C3387" s="18"/>
      <c r="D3387" s="430"/>
    </row>
    <row r="3388" spans="1:4" s="2" customFormat="1" ht="12.75" customHeight="1">
      <c r="A3388" s="300"/>
      <c r="B3388" s="267" t="s">
        <v>3751</v>
      </c>
      <c r="C3388" s="18" t="s">
        <v>3752</v>
      </c>
      <c r="D3388" s="430"/>
    </row>
    <row r="3389" spans="1:4" s="2" customFormat="1" ht="28.9" customHeight="1">
      <c r="A3389" s="141" t="s">
        <v>3782</v>
      </c>
      <c r="B3389" s="141" t="s">
        <v>3783</v>
      </c>
      <c r="C3389" s="18"/>
      <c r="D3389" s="430"/>
    </row>
    <row r="3390" spans="1:4" s="2" customFormat="1" ht="39.6" customHeight="1">
      <c r="A3390" s="300"/>
      <c r="B3390" s="267" t="s">
        <v>3784</v>
      </c>
      <c r="C3390" s="18"/>
      <c r="D3390" s="430"/>
    </row>
    <row r="3391" spans="1:4" s="2" customFormat="1" ht="12.75" customHeight="1">
      <c r="A3391" s="300"/>
      <c r="B3391" s="267" t="s">
        <v>1076</v>
      </c>
      <c r="C3391" s="18" t="s">
        <v>1077</v>
      </c>
      <c r="D3391" s="430"/>
    </row>
    <row r="3392" spans="1:4" s="2" customFormat="1" ht="30" customHeight="1">
      <c r="A3392" s="141" t="s">
        <v>3785</v>
      </c>
      <c r="B3392" s="141" t="s">
        <v>3786</v>
      </c>
      <c r="C3392" s="18"/>
      <c r="D3392" s="430"/>
    </row>
    <row r="3393" spans="1:4" s="2" customFormat="1" ht="25.15" customHeight="1">
      <c r="A3393" s="300"/>
      <c r="B3393" s="267" t="s">
        <v>3787</v>
      </c>
      <c r="C3393" s="18"/>
      <c r="D3393" s="430"/>
    </row>
    <row r="3394" spans="1:4" s="2" customFormat="1" ht="25.15" customHeight="1">
      <c r="A3394" s="300"/>
      <c r="B3394" s="267" t="s">
        <v>1076</v>
      </c>
      <c r="C3394" s="18" t="s">
        <v>1077</v>
      </c>
      <c r="D3394" s="430"/>
    </row>
    <row r="3395" spans="1:4" s="2" customFormat="1" ht="15.75" customHeight="1">
      <c r="A3395" s="141" t="s">
        <v>3788</v>
      </c>
      <c r="B3395" s="141" t="s">
        <v>3789</v>
      </c>
      <c r="C3395" s="18"/>
      <c r="D3395" s="430"/>
    </row>
    <row r="3396" spans="1:4" s="2" customFormat="1" ht="296.25" customHeight="1">
      <c r="A3396" s="300"/>
      <c r="B3396" s="378" t="s">
        <v>3790</v>
      </c>
      <c r="C3396" s="18"/>
      <c r="D3396" s="430"/>
    </row>
    <row r="3397" spans="1:4" s="2" customFormat="1" ht="25.15" customHeight="1">
      <c r="A3397" s="300"/>
      <c r="B3397" s="267" t="s">
        <v>1076</v>
      </c>
      <c r="C3397" s="18" t="s">
        <v>1077</v>
      </c>
      <c r="D3397" s="430"/>
    </row>
    <row r="3398" spans="1:4" s="2" customFormat="1">
      <c r="A3398" s="171" t="s">
        <v>3791</v>
      </c>
      <c r="B3398" s="172" t="s">
        <v>3792</v>
      </c>
      <c r="C3398" s="173" t="s">
        <v>959</v>
      </c>
      <c r="D3398" s="440"/>
    </row>
    <row r="3399" spans="1:4" s="2" customFormat="1" ht="26.45">
      <c r="A3399" s="246"/>
      <c r="B3399" s="174" t="s">
        <v>3793</v>
      </c>
      <c r="C3399" s="471"/>
      <c r="D3399" s="442"/>
    </row>
    <row r="3400" spans="1:4" s="2" customFormat="1" ht="14.45">
      <c r="A3400" s="245"/>
      <c r="B3400" s="175" t="s">
        <v>1150</v>
      </c>
      <c r="C3400" s="470"/>
      <c r="D3400" s="443"/>
    </row>
    <row r="3401" spans="1:4" s="2" customFormat="1" ht="14.45">
      <c r="A3401" s="245"/>
      <c r="B3401" s="176" t="s">
        <v>1542</v>
      </c>
      <c r="C3401" s="470"/>
      <c r="D3401" s="443"/>
    </row>
    <row r="3402" spans="1:4" s="2" customFormat="1" ht="26.45">
      <c r="A3402" s="245"/>
      <c r="B3402" s="176" t="s">
        <v>3794</v>
      </c>
      <c r="C3402" s="470"/>
      <c r="D3402" s="443"/>
    </row>
    <row r="3403" spans="1:4" s="3" customFormat="1" ht="14.45">
      <c r="A3403" s="245"/>
      <c r="B3403" s="176" t="s">
        <v>3795</v>
      </c>
      <c r="C3403" s="470"/>
      <c r="D3403" s="443"/>
    </row>
    <row r="3404" spans="1:4" s="3" customFormat="1" ht="14.45">
      <c r="A3404" s="245"/>
      <c r="B3404" s="175" t="s">
        <v>3731</v>
      </c>
      <c r="C3404" s="470"/>
      <c r="D3404" s="443"/>
    </row>
    <row r="3405" spans="1:4" s="3" customFormat="1">
      <c r="A3405" s="141" t="s">
        <v>3796</v>
      </c>
      <c r="B3405" s="31" t="s">
        <v>3797</v>
      </c>
      <c r="C3405" s="18"/>
      <c r="D3405" s="418"/>
    </row>
    <row r="3406" spans="1:4" s="3" customFormat="1">
      <c r="A3406" s="300"/>
      <c r="B3406" s="267" t="s">
        <v>1028</v>
      </c>
      <c r="C3406" s="18" t="s">
        <v>1029</v>
      </c>
      <c r="D3406" s="418"/>
    </row>
    <row r="3407" spans="1:4" s="3" customFormat="1">
      <c r="A3407" s="141" t="s">
        <v>3798</v>
      </c>
      <c r="B3407" s="31" t="s">
        <v>3799</v>
      </c>
      <c r="C3407" s="18"/>
      <c r="D3407" s="418"/>
    </row>
    <row r="3408" spans="1:4" s="3" customFormat="1">
      <c r="A3408" s="300"/>
      <c r="B3408" s="267" t="s">
        <v>1028</v>
      </c>
      <c r="C3408" s="18" t="s">
        <v>1029</v>
      </c>
      <c r="D3408" s="418"/>
    </row>
    <row r="3409" spans="1:4" s="2" customFormat="1">
      <c r="A3409" s="141" t="s">
        <v>462</v>
      </c>
      <c r="B3409" s="31" t="s">
        <v>3800</v>
      </c>
      <c r="C3409" s="18"/>
      <c r="D3409" s="418"/>
    </row>
    <row r="3410" spans="1:4" s="2" customFormat="1">
      <c r="A3410" s="300"/>
      <c r="B3410" s="283" t="s">
        <v>1028</v>
      </c>
      <c r="C3410" s="18" t="s">
        <v>1029</v>
      </c>
      <c r="D3410" s="418"/>
    </row>
    <row r="3411" spans="1:4" s="2" customFormat="1">
      <c r="A3411" s="168" t="s">
        <v>3801</v>
      </c>
      <c r="B3411" s="169" t="s">
        <v>3802</v>
      </c>
      <c r="C3411" s="170" t="s">
        <v>959</v>
      </c>
      <c r="D3411" s="441"/>
    </row>
    <row r="3412" spans="1:4" s="2" customFormat="1" ht="17.45">
      <c r="A3412" s="247"/>
      <c r="B3412" s="174" t="s">
        <v>3803</v>
      </c>
      <c r="C3412" s="177"/>
      <c r="D3412" s="442"/>
    </row>
    <row r="3413" spans="1:4" s="2" customFormat="1" ht="14.45">
      <c r="A3413" s="245"/>
      <c r="B3413" s="175" t="s">
        <v>1150</v>
      </c>
      <c r="C3413" s="470"/>
      <c r="D3413" s="443"/>
    </row>
    <row r="3414" spans="1:4" s="2" customFormat="1" ht="14.45">
      <c r="A3414" s="245"/>
      <c r="B3414" s="176" t="s">
        <v>1542</v>
      </c>
      <c r="C3414" s="470"/>
      <c r="D3414" s="443"/>
    </row>
    <row r="3415" spans="1:4" s="2" customFormat="1" ht="14.45">
      <c r="A3415" s="245"/>
      <c r="B3415" s="176" t="s">
        <v>3804</v>
      </c>
      <c r="C3415" s="470"/>
      <c r="D3415" s="443"/>
    </row>
    <row r="3416" spans="1:4" s="2" customFormat="1" ht="26.45">
      <c r="A3416" s="245"/>
      <c r="B3416" s="176" t="s">
        <v>3805</v>
      </c>
      <c r="C3416" s="470"/>
      <c r="D3416" s="443"/>
    </row>
    <row r="3417" spans="1:4" s="2" customFormat="1" ht="14.45">
      <c r="A3417" s="245"/>
      <c r="B3417" s="176" t="s">
        <v>3806</v>
      </c>
      <c r="C3417" s="470"/>
      <c r="D3417" s="443"/>
    </row>
    <row r="3418" spans="1:4" s="2" customFormat="1" ht="14.45">
      <c r="A3418" s="245"/>
      <c r="B3418" s="176" t="s">
        <v>3807</v>
      </c>
      <c r="C3418" s="470"/>
      <c r="D3418" s="443"/>
    </row>
    <row r="3419" spans="1:4" s="2" customFormat="1" ht="17.45">
      <c r="A3419" s="248"/>
      <c r="B3419" s="175" t="s">
        <v>3731</v>
      </c>
      <c r="C3419" s="178"/>
      <c r="D3419" s="443"/>
    </row>
    <row r="3420" spans="1:4" s="3" customFormat="1">
      <c r="A3420" s="333"/>
      <c r="B3420" s="284" t="s">
        <v>1028</v>
      </c>
      <c r="C3420" s="109" t="s">
        <v>1029</v>
      </c>
      <c r="D3420" s="443"/>
    </row>
    <row r="3421" spans="1:4" s="3" customFormat="1">
      <c r="A3421" s="168" t="s">
        <v>3808</v>
      </c>
      <c r="B3421" s="169" t="s">
        <v>3809</v>
      </c>
      <c r="C3421" s="170" t="s">
        <v>959</v>
      </c>
      <c r="D3421" s="433"/>
    </row>
    <row r="3422" spans="1:4" s="3" customFormat="1" ht="26.45">
      <c r="A3422" s="247"/>
      <c r="B3422" s="174" t="s">
        <v>3810</v>
      </c>
      <c r="C3422" s="177"/>
      <c r="D3422" s="442"/>
    </row>
    <row r="3423" spans="1:4" s="3" customFormat="1">
      <c r="A3423" s="141" t="s">
        <v>3811</v>
      </c>
      <c r="B3423" s="31" t="s">
        <v>3797</v>
      </c>
      <c r="C3423" s="18"/>
      <c r="D3423" s="418"/>
    </row>
    <row r="3424" spans="1:4" s="3" customFormat="1">
      <c r="A3424" s="300"/>
      <c r="B3424" s="267" t="s">
        <v>1028</v>
      </c>
      <c r="C3424" s="18" t="s">
        <v>1029</v>
      </c>
      <c r="D3424" s="418"/>
    </row>
    <row r="3425" spans="1:4" s="3" customFormat="1">
      <c r="A3425" s="141" t="s">
        <v>3812</v>
      </c>
      <c r="B3425" s="31" t="s">
        <v>3799</v>
      </c>
      <c r="C3425" s="18"/>
      <c r="D3425" s="418"/>
    </row>
    <row r="3426" spans="1:4" s="3" customFormat="1">
      <c r="A3426" s="300"/>
      <c r="B3426" s="267" t="s">
        <v>1028</v>
      </c>
      <c r="C3426" s="18" t="s">
        <v>1029</v>
      </c>
      <c r="D3426" s="418"/>
    </row>
    <row r="3427" spans="1:4" s="3" customFormat="1">
      <c r="A3427" s="141" t="s">
        <v>3813</v>
      </c>
      <c r="B3427" s="31" t="s">
        <v>3800</v>
      </c>
      <c r="C3427" s="18"/>
      <c r="D3427" s="418"/>
    </row>
    <row r="3428" spans="1:4" s="3" customFormat="1">
      <c r="A3428" s="300"/>
      <c r="B3428" s="283" t="s">
        <v>1028</v>
      </c>
      <c r="C3428" s="18" t="s">
        <v>1029</v>
      </c>
      <c r="D3428" s="418"/>
    </row>
    <row r="3429" spans="1:4" s="3" customFormat="1">
      <c r="A3429" s="168" t="s">
        <v>3814</v>
      </c>
      <c r="B3429" s="169" t="s">
        <v>3815</v>
      </c>
      <c r="C3429" s="170" t="s">
        <v>959</v>
      </c>
      <c r="D3429" s="439"/>
    </row>
    <row r="3430" spans="1:4" s="3" customFormat="1" ht="26.45">
      <c r="A3430" s="247"/>
      <c r="B3430" s="174" t="s">
        <v>3816</v>
      </c>
      <c r="C3430" s="177"/>
      <c r="D3430" s="442"/>
    </row>
    <row r="3431" spans="1:4" s="3" customFormat="1">
      <c r="A3431" s="300"/>
      <c r="B3431" s="267" t="s">
        <v>1028</v>
      </c>
      <c r="C3431" s="18" t="s">
        <v>1029</v>
      </c>
      <c r="D3431" s="418"/>
    </row>
    <row r="3432" spans="1:4" s="3" customFormat="1">
      <c r="A3432" s="168" t="s">
        <v>3817</v>
      </c>
      <c r="B3432" s="169" t="s">
        <v>3818</v>
      </c>
      <c r="C3432" s="170" t="s">
        <v>959</v>
      </c>
      <c r="D3432" s="439"/>
    </row>
    <row r="3433" spans="1:4" s="3" customFormat="1" ht="17.45">
      <c r="A3433" s="247"/>
      <c r="B3433" s="174" t="s">
        <v>3819</v>
      </c>
      <c r="C3433" s="177"/>
      <c r="D3433" s="442"/>
    </row>
    <row r="3434" spans="1:4" s="3" customFormat="1">
      <c r="A3434" s="300"/>
      <c r="B3434" s="267" t="s">
        <v>1076</v>
      </c>
      <c r="C3434" s="18" t="s">
        <v>1077</v>
      </c>
      <c r="D3434" s="418"/>
    </row>
    <row r="3435" spans="1:4" s="3" customFormat="1">
      <c r="A3435" s="168" t="s">
        <v>3820</v>
      </c>
      <c r="B3435" s="169" t="s">
        <v>3821</v>
      </c>
      <c r="C3435" s="179" t="s">
        <v>959</v>
      </c>
      <c r="D3435" s="439"/>
    </row>
    <row r="3436" spans="1:4" s="3" customFormat="1" ht="26.45">
      <c r="A3436" s="180" t="s">
        <v>959</v>
      </c>
      <c r="B3436" s="267" t="s">
        <v>3822</v>
      </c>
      <c r="C3436" s="181" t="s">
        <v>959</v>
      </c>
      <c r="D3436" s="418"/>
    </row>
    <row r="3437" spans="1:4" s="3" customFormat="1">
      <c r="A3437" s="180" t="s">
        <v>959</v>
      </c>
      <c r="B3437" s="267" t="s">
        <v>2257</v>
      </c>
      <c r="C3437" s="181" t="s">
        <v>959</v>
      </c>
      <c r="D3437" s="418"/>
    </row>
    <row r="3438" spans="1:4" s="3" customFormat="1" ht="13.9">
      <c r="A3438" s="244"/>
      <c r="B3438" s="318" t="s">
        <v>3823</v>
      </c>
      <c r="C3438" s="165"/>
      <c r="D3438" s="444"/>
    </row>
    <row r="3439" spans="1:4" s="3" customFormat="1" ht="39.6">
      <c r="A3439" s="244"/>
      <c r="B3439" s="318" t="s">
        <v>3824</v>
      </c>
      <c r="C3439" s="165"/>
      <c r="D3439" s="444"/>
    </row>
    <row r="3440" spans="1:4" s="3" customFormat="1" ht="25.5" customHeight="1">
      <c r="A3440" s="244"/>
      <c r="B3440" s="318" t="s">
        <v>3825</v>
      </c>
      <c r="C3440" s="165"/>
      <c r="D3440" s="444"/>
    </row>
    <row r="3441" spans="1:4" s="3" customFormat="1" ht="13.9">
      <c r="A3441" s="244"/>
      <c r="B3441" s="318" t="s">
        <v>2931</v>
      </c>
      <c r="C3441" s="165"/>
      <c r="D3441" s="444"/>
    </row>
    <row r="3442" spans="1:4" s="3" customFormat="1" ht="13.9">
      <c r="A3442" s="300"/>
      <c r="B3442" s="283" t="s">
        <v>998</v>
      </c>
      <c r="C3442" s="18" t="s">
        <v>999</v>
      </c>
      <c r="D3442" s="444"/>
    </row>
    <row r="3443" spans="1:4" s="3" customFormat="1" ht="26.45">
      <c r="A3443" s="141" t="s">
        <v>3826</v>
      </c>
      <c r="B3443" s="31" t="s">
        <v>3827</v>
      </c>
      <c r="C3443" s="18"/>
      <c r="D3443" s="418"/>
    </row>
    <row r="3444" spans="1:4" s="3" customFormat="1" ht="105.6">
      <c r="A3444" s="300"/>
      <c r="B3444" s="267" t="s">
        <v>3828</v>
      </c>
      <c r="C3444" s="18"/>
      <c r="D3444" s="418"/>
    </row>
    <row r="3445" spans="1:4" s="3" customFormat="1">
      <c r="A3445" s="300"/>
      <c r="B3445" s="267" t="s">
        <v>1028</v>
      </c>
      <c r="C3445" s="18" t="s">
        <v>1029</v>
      </c>
      <c r="D3445" s="418"/>
    </row>
    <row r="3446" spans="1:4" s="3" customFormat="1">
      <c r="A3446" s="141" t="s">
        <v>3829</v>
      </c>
      <c r="B3446" s="377" t="s">
        <v>3830</v>
      </c>
      <c r="C3446" s="18"/>
      <c r="D3446" s="418"/>
    </row>
    <row r="3447" spans="1:4" s="3" customFormat="1" ht="33.75" customHeight="1">
      <c r="A3447" s="300"/>
      <c r="B3447" s="378" t="s">
        <v>3831</v>
      </c>
      <c r="C3447" s="18"/>
      <c r="D3447" s="418"/>
    </row>
    <row r="3448" spans="1:4" s="3" customFormat="1">
      <c r="A3448" s="300"/>
      <c r="B3448" s="267" t="s">
        <v>1028</v>
      </c>
      <c r="C3448" s="18" t="s">
        <v>1029</v>
      </c>
      <c r="D3448" s="418"/>
    </row>
    <row r="3449" spans="1:4" s="3" customFormat="1">
      <c r="A3449" s="141" t="s">
        <v>3832</v>
      </c>
      <c r="B3449" s="377" t="s">
        <v>3833</v>
      </c>
      <c r="C3449" s="18"/>
      <c r="D3449" s="418"/>
    </row>
    <row r="3450" spans="1:4" s="3" customFormat="1" ht="260.25" customHeight="1">
      <c r="A3450" s="300"/>
      <c r="B3450" s="378" t="s">
        <v>3834</v>
      </c>
      <c r="C3450" s="18"/>
      <c r="D3450" s="418"/>
    </row>
    <row r="3451" spans="1:4" s="3" customFormat="1">
      <c r="A3451" s="300"/>
      <c r="B3451" s="267" t="s">
        <v>1231</v>
      </c>
      <c r="C3451" s="18" t="s">
        <v>1262</v>
      </c>
      <c r="D3451" s="418"/>
    </row>
    <row r="3452" spans="1:4" s="3" customFormat="1">
      <c r="A3452" s="168" t="s">
        <v>3835</v>
      </c>
      <c r="B3452" s="169" t="s">
        <v>3836</v>
      </c>
      <c r="C3452" s="170" t="s">
        <v>959</v>
      </c>
      <c r="D3452" s="435"/>
    </row>
    <row r="3453" spans="1:4" s="3" customFormat="1">
      <c r="A3453" s="141" t="s">
        <v>3837</v>
      </c>
      <c r="B3453" s="31" t="s">
        <v>3838</v>
      </c>
      <c r="C3453" s="18"/>
      <c r="D3453" s="418"/>
    </row>
    <row r="3454" spans="1:4" s="3" customFormat="1" ht="78" customHeight="1">
      <c r="A3454" s="182"/>
      <c r="B3454" s="334" t="s">
        <v>3839</v>
      </c>
      <c r="C3454" s="165"/>
      <c r="D3454" s="444"/>
    </row>
    <row r="3455" spans="1:4" s="3" customFormat="1" ht="14.45">
      <c r="A3455" s="182"/>
      <c r="B3455" s="334" t="s">
        <v>2104</v>
      </c>
      <c r="C3455" s="165"/>
      <c r="D3455" s="444"/>
    </row>
    <row r="3456" spans="1:4" s="3" customFormat="1" ht="26.45">
      <c r="A3456" s="182"/>
      <c r="B3456" s="183" t="s">
        <v>3840</v>
      </c>
      <c r="C3456" s="165"/>
      <c r="D3456" s="444"/>
    </row>
    <row r="3457" spans="1:4" s="3" customFormat="1" ht="14.45">
      <c r="A3457" s="182"/>
      <c r="B3457" s="183" t="s">
        <v>3841</v>
      </c>
      <c r="C3457" s="165"/>
      <c r="D3457" s="444"/>
    </row>
    <row r="3458" spans="1:4" s="3" customFormat="1" ht="14.45">
      <c r="A3458" s="182"/>
      <c r="B3458" s="183" t="s">
        <v>3842</v>
      </c>
      <c r="C3458" s="165"/>
      <c r="D3458" s="444"/>
    </row>
    <row r="3459" spans="1:4" s="3" customFormat="1" ht="14.45">
      <c r="A3459" s="182"/>
      <c r="B3459" s="183" t="s">
        <v>3843</v>
      </c>
      <c r="C3459" s="165"/>
      <c r="D3459" s="444"/>
    </row>
    <row r="3460" spans="1:4" s="3" customFormat="1" ht="14.45">
      <c r="A3460" s="182"/>
      <c r="B3460" s="183" t="s">
        <v>3844</v>
      </c>
      <c r="C3460" s="165"/>
      <c r="D3460" s="444"/>
    </row>
    <row r="3461" spans="1:4" s="3" customFormat="1" ht="14.45">
      <c r="A3461" s="182"/>
      <c r="B3461" s="183" t="s">
        <v>3845</v>
      </c>
      <c r="C3461" s="165"/>
      <c r="D3461" s="444"/>
    </row>
    <row r="3462" spans="1:4" s="3" customFormat="1">
      <c r="A3462" s="300"/>
      <c r="B3462" s="285" t="s">
        <v>998</v>
      </c>
      <c r="C3462" s="18" t="s">
        <v>999</v>
      </c>
      <c r="D3462" s="418"/>
    </row>
    <row r="3463" spans="1:4" s="3" customFormat="1">
      <c r="A3463" s="141" t="s">
        <v>3846</v>
      </c>
      <c r="B3463" s="115" t="s">
        <v>3847</v>
      </c>
      <c r="C3463" s="18"/>
      <c r="D3463" s="418"/>
    </row>
    <row r="3464" spans="1:4" s="2" customFormat="1" ht="52.9">
      <c r="A3464" s="182"/>
      <c r="B3464" s="334" t="s">
        <v>3848</v>
      </c>
      <c r="C3464" s="165"/>
      <c r="D3464" s="444"/>
    </row>
    <row r="3465" spans="1:4" s="2" customFormat="1" ht="14.45">
      <c r="A3465" s="182"/>
      <c r="B3465" s="334" t="s">
        <v>2104</v>
      </c>
      <c r="C3465" s="165"/>
      <c r="D3465" s="444"/>
    </row>
    <row r="3466" spans="1:4" s="2" customFormat="1" ht="12" customHeight="1">
      <c r="A3466" s="182"/>
      <c r="B3466" s="184" t="s">
        <v>3849</v>
      </c>
      <c r="C3466" s="165"/>
      <c r="D3466" s="444"/>
    </row>
    <row r="3467" spans="1:4" s="2" customFormat="1" ht="14.45">
      <c r="A3467" s="182"/>
      <c r="B3467" s="184" t="s">
        <v>3850</v>
      </c>
      <c r="C3467" s="165"/>
      <c r="D3467" s="444"/>
    </row>
    <row r="3468" spans="1:4" s="2" customFormat="1" ht="14.45">
      <c r="A3468" s="182"/>
      <c r="B3468" s="184" t="s">
        <v>3851</v>
      </c>
      <c r="C3468" s="165"/>
      <c r="D3468" s="444"/>
    </row>
    <row r="3469" spans="1:4" s="2" customFormat="1" ht="14.45">
      <c r="A3469" s="182"/>
      <c r="B3469" s="184" t="s">
        <v>3852</v>
      </c>
      <c r="C3469" s="165"/>
      <c r="D3469" s="444"/>
    </row>
    <row r="3470" spans="1:4" s="2" customFormat="1" ht="14.45">
      <c r="A3470" s="182"/>
      <c r="B3470" s="184" t="s">
        <v>3853</v>
      </c>
      <c r="C3470" s="165"/>
      <c r="D3470" s="444"/>
    </row>
    <row r="3471" spans="1:4" s="2" customFormat="1">
      <c r="A3471" s="300"/>
      <c r="B3471" s="285" t="s">
        <v>998</v>
      </c>
      <c r="C3471" s="18" t="s">
        <v>999</v>
      </c>
      <c r="D3471" s="418"/>
    </row>
    <row r="3472" spans="1:4" s="3" customFormat="1">
      <c r="A3472" s="141" t="s">
        <v>3854</v>
      </c>
      <c r="B3472" s="115" t="s">
        <v>3855</v>
      </c>
      <c r="C3472" s="18"/>
      <c r="D3472" s="430"/>
    </row>
    <row r="3473" spans="1:4" s="3" customFormat="1" ht="49.15" customHeight="1">
      <c r="A3473" s="242"/>
      <c r="B3473" s="328" t="s">
        <v>3856</v>
      </c>
      <c r="C3473" s="468"/>
      <c r="D3473" s="445"/>
    </row>
    <row r="3474" spans="1:4" s="3" customFormat="1">
      <c r="A3474" s="333"/>
      <c r="B3474" s="313" t="s">
        <v>1028</v>
      </c>
      <c r="C3474" s="109" t="s">
        <v>1029</v>
      </c>
      <c r="D3474" s="421"/>
    </row>
    <row r="3475" spans="1:4" s="3" customFormat="1" ht="27.6">
      <c r="A3475" s="13" t="s">
        <v>3857</v>
      </c>
      <c r="B3475" s="52" t="s">
        <v>3858</v>
      </c>
      <c r="C3475" s="7" t="s">
        <v>959</v>
      </c>
      <c r="D3475" s="446" t="s">
        <v>959</v>
      </c>
    </row>
    <row r="3476" spans="1:4" s="3" customFormat="1">
      <c r="A3476" s="19" t="s">
        <v>3859</v>
      </c>
      <c r="B3476" s="53" t="s">
        <v>3860</v>
      </c>
      <c r="C3476" s="54" t="s">
        <v>959</v>
      </c>
      <c r="D3476" s="447"/>
    </row>
    <row r="3477" spans="1:4" s="3" customFormat="1">
      <c r="A3477" s="111" t="s">
        <v>476</v>
      </c>
      <c r="B3477" s="31" t="s">
        <v>3861</v>
      </c>
      <c r="C3477" s="18" t="s">
        <v>959</v>
      </c>
      <c r="D3477" s="418"/>
    </row>
    <row r="3478" spans="1:4" s="3" customFormat="1" ht="26.45">
      <c r="A3478" s="111" t="s">
        <v>959</v>
      </c>
      <c r="B3478" s="267" t="s">
        <v>3862</v>
      </c>
      <c r="C3478" s="18" t="s">
        <v>959</v>
      </c>
      <c r="D3478" s="418"/>
    </row>
    <row r="3479" spans="1:4" s="3" customFormat="1">
      <c r="A3479" s="111" t="s">
        <v>959</v>
      </c>
      <c r="B3479" s="267" t="s">
        <v>3863</v>
      </c>
      <c r="C3479" s="18" t="s">
        <v>959</v>
      </c>
      <c r="D3479" s="418"/>
    </row>
    <row r="3480" spans="1:4" s="3" customFormat="1">
      <c r="A3480" s="111" t="s">
        <v>959</v>
      </c>
      <c r="B3480" s="267" t="s">
        <v>1542</v>
      </c>
      <c r="C3480" s="18" t="s">
        <v>959</v>
      </c>
      <c r="D3480" s="418"/>
    </row>
    <row r="3481" spans="1:4" s="3" customFormat="1">
      <c r="A3481" s="111" t="s">
        <v>959</v>
      </c>
      <c r="B3481" s="267" t="s">
        <v>3864</v>
      </c>
      <c r="C3481" s="18" t="s">
        <v>959</v>
      </c>
      <c r="D3481" s="418"/>
    </row>
    <row r="3482" spans="1:4" s="3" customFormat="1">
      <c r="A3482" s="111" t="s">
        <v>959</v>
      </c>
      <c r="B3482" s="267" t="s">
        <v>3865</v>
      </c>
      <c r="C3482" s="18" t="s">
        <v>959</v>
      </c>
      <c r="D3482" s="418"/>
    </row>
    <row r="3483" spans="1:4" s="3" customFormat="1" ht="26.45">
      <c r="A3483" s="111" t="s">
        <v>959</v>
      </c>
      <c r="B3483" s="267" t="s">
        <v>3866</v>
      </c>
      <c r="C3483" s="18" t="s">
        <v>959</v>
      </c>
      <c r="D3483" s="418"/>
    </row>
    <row r="3484" spans="1:4" s="4" customFormat="1">
      <c r="A3484" s="55" t="s">
        <v>3867</v>
      </c>
      <c r="B3484" s="77" t="s">
        <v>3868</v>
      </c>
      <c r="C3484" s="18"/>
      <c r="D3484" s="418"/>
    </row>
    <row r="3485" spans="1:4" s="2" customFormat="1">
      <c r="A3485" s="55"/>
      <c r="B3485" s="267" t="s">
        <v>998</v>
      </c>
      <c r="C3485" s="18" t="s">
        <v>999</v>
      </c>
      <c r="D3485" s="418"/>
    </row>
    <row r="3486" spans="1:4" s="2" customFormat="1">
      <c r="A3486" s="55" t="s">
        <v>3869</v>
      </c>
      <c r="B3486" s="77" t="s">
        <v>3870</v>
      </c>
      <c r="C3486" s="18"/>
      <c r="D3486" s="418"/>
    </row>
    <row r="3487" spans="1:4" s="2" customFormat="1">
      <c r="A3487" s="55"/>
      <c r="B3487" s="267" t="s">
        <v>998</v>
      </c>
      <c r="C3487" s="18" t="s">
        <v>999</v>
      </c>
      <c r="D3487" s="418"/>
    </row>
    <row r="3488" spans="1:4" s="2" customFormat="1">
      <c r="A3488" s="55" t="s">
        <v>3871</v>
      </c>
      <c r="B3488" s="77" t="s">
        <v>3872</v>
      </c>
      <c r="C3488" s="18"/>
      <c r="D3488" s="418"/>
    </row>
    <row r="3489" spans="1:4" s="2" customFormat="1">
      <c r="A3489" s="55"/>
      <c r="B3489" s="267" t="s">
        <v>998</v>
      </c>
      <c r="C3489" s="18" t="s">
        <v>999</v>
      </c>
      <c r="D3489" s="418"/>
    </row>
    <row r="3490" spans="1:4" s="2" customFormat="1">
      <c r="A3490" s="55" t="s">
        <v>3873</v>
      </c>
      <c r="B3490" s="77" t="s">
        <v>3874</v>
      </c>
      <c r="C3490" s="18"/>
      <c r="D3490" s="418"/>
    </row>
    <row r="3491" spans="1:4" s="3" customFormat="1">
      <c r="A3491" s="55"/>
      <c r="B3491" s="267" t="s">
        <v>998</v>
      </c>
      <c r="C3491" s="18" t="s">
        <v>999</v>
      </c>
      <c r="D3491" s="418"/>
    </row>
    <row r="3492" spans="1:4" s="3" customFormat="1">
      <c r="A3492" s="30" t="s">
        <v>477</v>
      </c>
      <c r="B3492" s="31" t="s">
        <v>3875</v>
      </c>
      <c r="C3492" s="18" t="s">
        <v>959</v>
      </c>
      <c r="D3492" s="418"/>
    </row>
    <row r="3493" spans="1:4" s="3" customFormat="1">
      <c r="A3493" s="111"/>
      <c r="B3493" s="285" t="s">
        <v>3876</v>
      </c>
      <c r="C3493" s="133"/>
      <c r="D3493" s="418"/>
    </row>
    <row r="3494" spans="1:4" s="3" customFormat="1">
      <c r="A3494" s="55" t="s">
        <v>3877</v>
      </c>
      <c r="B3494" s="132" t="s">
        <v>3878</v>
      </c>
      <c r="C3494" s="472"/>
      <c r="D3494" s="418"/>
    </row>
    <row r="3495" spans="1:4" s="3" customFormat="1">
      <c r="A3495" s="55"/>
      <c r="B3495" s="285" t="s">
        <v>1056</v>
      </c>
      <c r="C3495" s="133" t="s">
        <v>1057</v>
      </c>
      <c r="D3495" s="418"/>
    </row>
    <row r="3496" spans="1:4" s="3" customFormat="1">
      <c r="A3496" s="55" t="s">
        <v>3879</v>
      </c>
      <c r="B3496" s="77" t="s">
        <v>3880</v>
      </c>
      <c r="C3496" s="18"/>
      <c r="D3496" s="418"/>
    </row>
    <row r="3497" spans="1:4" s="3" customFormat="1" ht="12.75" customHeight="1">
      <c r="A3497" s="55"/>
      <c r="B3497" s="267" t="s">
        <v>1056</v>
      </c>
      <c r="C3497" s="18" t="s">
        <v>1057</v>
      </c>
      <c r="D3497" s="418"/>
    </row>
    <row r="3498" spans="1:4" s="3" customFormat="1">
      <c r="A3498" s="55" t="s">
        <v>3881</v>
      </c>
      <c r="B3498" s="77" t="s">
        <v>3882</v>
      </c>
      <c r="C3498" s="18"/>
      <c r="D3498" s="418"/>
    </row>
    <row r="3499" spans="1:4" s="2" customFormat="1">
      <c r="A3499" s="55"/>
      <c r="B3499" s="267" t="s">
        <v>1056</v>
      </c>
      <c r="C3499" s="18" t="s">
        <v>1057</v>
      </c>
      <c r="D3499" s="418"/>
    </row>
    <row r="3500" spans="1:4" s="3" customFormat="1">
      <c r="A3500" s="55" t="s">
        <v>3883</v>
      </c>
      <c r="B3500" s="77" t="s">
        <v>3884</v>
      </c>
      <c r="C3500" s="18"/>
      <c r="D3500" s="418"/>
    </row>
    <row r="3501" spans="1:4" s="2" customFormat="1">
      <c r="A3501" s="55"/>
      <c r="B3501" s="267" t="s">
        <v>1056</v>
      </c>
      <c r="C3501" s="18" t="s">
        <v>1057</v>
      </c>
      <c r="D3501" s="418"/>
    </row>
    <row r="3502" spans="1:4" s="2" customFormat="1">
      <c r="A3502" s="30" t="s">
        <v>478</v>
      </c>
      <c r="B3502" s="31" t="s">
        <v>3885</v>
      </c>
      <c r="C3502" s="18" t="s">
        <v>959</v>
      </c>
      <c r="D3502" s="418"/>
    </row>
    <row r="3503" spans="1:4" s="2" customFormat="1">
      <c r="A3503" s="30"/>
      <c r="B3503" s="267" t="s">
        <v>3886</v>
      </c>
      <c r="C3503" s="18"/>
      <c r="D3503" s="418"/>
    </row>
    <row r="3504" spans="1:4" s="2" customFormat="1">
      <c r="A3504" s="55" t="s">
        <v>3887</v>
      </c>
      <c r="B3504" s="77" t="s">
        <v>3888</v>
      </c>
      <c r="C3504" s="18"/>
      <c r="D3504" s="418"/>
    </row>
    <row r="3505" spans="1:4" s="2" customFormat="1">
      <c r="A3505" s="286"/>
      <c r="B3505" s="267" t="s">
        <v>3889</v>
      </c>
      <c r="C3505" s="18" t="s">
        <v>3890</v>
      </c>
      <c r="D3505" s="418"/>
    </row>
    <row r="3506" spans="1:4" s="2" customFormat="1">
      <c r="A3506" s="55" t="s">
        <v>3891</v>
      </c>
      <c r="B3506" s="77" t="s">
        <v>3892</v>
      </c>
      <c r="C3506" s="18"/>
      <c r="D3506" s="418"/>
    </row>
    <row r="3507" spans="1:4" s="3" customFormat="1">
      <c r="A3507" s="286"/>
      <c r="B3507" s="267" t="s">
        <v>3889</v>
      </c>
      <c r="C3507" s="18" t="s">
        <v>3890</v>
      </c>
      <c r="D3507" s="418"/>
    </row>
    <row r="3508" spans="1:4" s="3" customFormat="1">
      <c r="A3508" s="55" t="s">
        <v>3893</v>
      </c>
      <c r="B3508" s="77" t="s">
        <v>3894</v>
      </c>
      <c r="C3508" s="18"/>
      <c r="D3508" s="418"/>
    </row>
    <row r="3509" spans="1:4" s="3" customFormat="1">
      <c r="A3509" s="286"/>
      <c r="B3509" s="267" t="s">
        <v>3889</v>
      </c>
      <c r="C3509" s="18" t="s">
        <v>3890</v>
      </c>
      <c r="D3509" s="418"/>
    </row>
    <row r="3510" spans="1:4" s="3" customFormat="1">
      <c r="A3510" s="55" t="s">
        <v>3895</v>
      </c>
      <c r="B3510" s="77" t="s">
        <v>3896</v>
      </c>
      <c r="C3510" s="18"/>
      <c r="D3510" s="418"/>
    </row>
    <row r="3511" spans="1:4" s="3" customFormat="1">
      <c r="A3511" s="286"/>
      <c r="B3511" s="267" t="s">
        <v>3889</v>
      </c>
      <c r="C3511" s="18" t="s">
        <v>3890</v>
      </c>
      <c r="D3511" s="418"/>
    </row>
    <row r="3512" spans="1:4" s="3" customFormat="1">
      <c r="A3512" s="22" t="s">
        <v>3897</v>
      </c>
      <c r="B3512" s="50" t="s">
        <v>3898</v>
      </c>
      <c r="C3512" s="45" t="s">
        <v>959</v>
      </c>
      <c r="D3512" s="439"/>
    </row>
    <row r="3513" spans="1:4" s="3" customFormat="1" ht="52.9">
      <c r="A3513" s="111" t="s">
        <v>959</v>
      </c>
      <c r="B3513" s="267" t="s">
        <v>3899</v>
      </c>
      <c r="C3513" s="18" t="s">
        <v>959</v>
      </c>
      <c r="D3513" s="418"/>
    </row>
    <row r="3514" spans="1:4" s="3" customFormat="1">
      <c r="A3514" s="30" t="s">
        <v>487</v>
      </c>
      <c r="B3514" s="31" t="s">
        <v>3900</v>
      </c>
      <c r="C3514" s="18"/>
      <c r="D3514" s="418"/>
    </row>
    <row r="3515" spans="1:4" s="3" customFormat="1">
      <c r="A3515" s="286"/>
      <c r="B3515" s="267" t="s">
        <v>1076</v>
      </c>
      <c r="C3515" s="18" t="s">
        <v>1077</v>
      </c>
      <c r="D3515" s="418"/>
    </row>
    <row r="3516" spans="1:4" s="3" customFormat="1">
      <c r="A3516" s="30" t="s">
        <v>488</v>
      </c>
      <c r="B3516" s="31" t="s">
        <v>3901</v>
      </c>
      <c r="C3516" s="18"/>
      <c r="D3516" s="418"/>
    </row>
    <row r="3517" spans="1:4" s="2" customFormat="1">
      <c r="A3517" s="286"/>
      <c r="B3517" s="267" t="s">
        <v>1076</v>
      </c>
      <c r="C3517" s="18" t="s">
        <v>1077</v>
      </c>
      <c r="D3517" s="418"/>
    </row>
    <row r="3518" spans="1:4" s="2" customFormat="1">
      <c r="A3518" s="30" t="s">
        <v>489</v>
      </c>
      <c r="B3518" s="31" t="s">
        <v>3902</v>
      </c>
      <c r="C3518" s="18"/>
      <c r="D3518" s="418"/>
    </row>
    <row r="3519" spans="1:4" s="2" customFormat="1">
      <c r="A3519" s="286"/>
      <c r="B3519" s="267" t="s">
        <v>1076</v>
      </c>
      <c r="C3519" s="18" t="s">
        <v>1077</v>
      </c>
      <c r="D3519" s="418"/>
    </row>
    <row r="3520" spans="1:4" s="2" customFormat="1">
      <c r="A3520" s="30" t="s">
        <v>3903</v>
      </c>
      <c r="B3520" s="31" t="s">
        <v>3904</v>
      </c>
      <c r="C3520" s="18"/>
      <c r="D3520" s="418"/>
    </row>
    <row r="3521" spans="1:4" s="2" customFormat="1">
      <c r="A3521" s="286"/>
      <c r="B3521" s="267" t="s">
        <v>1076</v>
      </c>
      <c r="C3521" s="18" t="s">
        <v>1077</v>
      </c>
      <c r="D3521" s="418"/>
    </row>
    <row r="3522" spans="1:4" s="3" customFormat="1">
      <c r="A3522" s="30" t="s">
        <v>3905</v>
      </c>
      <c r="B3522" s="31" t="s">
        <v>3906</v>
      </c>
      <c r="C3522" s="18"/>
      <c r="D3522" s="418"/>
    </row>
    <row r="3523" spans="1:4" s="3" customFormat="1">
      <c r="A3523" s="286"/>
      <c r="B3523" s="267" t="s">
        <v>1076</v>
      </c>
      <c r="C3523" s="18" t="s">
        <v>1077</v>
      </c>
      <c r="D3523" s="418"/>
    </row>
    <row r="3524" spans="1:4" s="3" customFormat="1">
      <c r="A3524" s="30" t="s">
        <v>3907</v>
      </c>
      <c r="B3524" s="31" t="s">
        <v>3908</v>
      </c>
      <c r="C3524" s="18"/>
      <c r="D3524" s="418"/>
    </row>
    <row r="3525" spans="1:4" s="3" customFormat="1">
      <c r="A3525" s="286"/>
      <c r="B3525" s="267" t="s">
        <v>1076</v>
      </c>
      <c r="C3525" s="18" t="s">
        <v>1077</v>
      </c>
      <c r="D3525" s="418"/>
    </row>
    <row r="3526" spans="1:4" s="3" customFormat="1">
      <c r="A3526" s="30" t="s">
        <v>3909</v>
      </c>
      <c r="B3526" s="31" t="s">
        <v>3910</v>
      </c>
      <c r="C3526" s="18"/>
      <c r="D3526" s="418"/>
    </row>
    <row r="3527" spans="1:4" s="3" customFormat="1">
      <c r="A3527" s="286"/>
      <c r="B3527" s="267" t="s">
        <v>1076</v>
      </c>
      <c r="C3527" s="18" t="s">
        <v>1077</v>
      </c>
      <c r="D3527" s="418"/>
    </row>
    <row r="3528" spans="1:4" s="3" customFormat="1">
      <c r="A3528" s="30" t="s">
        <v>3911</v>
      </c>
      <c r="B3528" s="31" t="s">
        <v>3912</v>
      </c>
      <c r="C3528" s="18"/>
      <c r="D3528" s="418"/>
    </row>
    <row r="3529" spans="1:4" s="3" customFormat="1">
      <c r="A3529" s="304"/>
      <c r="B3529" s="303" t="s">
        <v>1076</v>
      </c>
      <c r="C3529" s="109" t="s">
        <v>1077</v>
      </c>
      <c r="D3529" s="418"/>
    </row>
    <row r="3530" spans="1:4" s="3" customFormat="1">
      <c r="A3530" s="22" t="s">
        <v>3913</v>
      </c>
      <c r="B3530" s="50" t="s">
        <v>3914</v>
      </c>
      <c r="C3530" s="56" t="s">
        <v>959</v>
      </c>
      <c r="D3530" s="439"/>
    </row>
    <row r="3531" spans="1:4" s="3" customFormat="1" ht="14.25" customHeight="1">
      <c r="A3531" s="111" t="s">
        <v>959</v>
      </c>
      <c r="B3531" s="267" t="s">
        <v>3915</v>
      </c>
      <c r="C3531" s="18" t="s">
        <v>959</v>
      </c>
      <c r="D3531" s="418"/>
    </row>
    <row r="3532" spans="1:4" s="2" customFormat="1">
      <c r="A3532" s="30" t="s">
        <v>576</v>
      </c>
      <c r="B3532" s="31" t="s">
        <v>3916</v>
      </c>
      <c r="C3532" s="18"/>
      <c r="D3532" s="418"/>
    </row>
    <row r="3533" spans="1:4" s="2" customFormat="1">
      <c r="A3533" s="286"/>
      <c r="B3533" s="267" t="s">
        <v>1076</v>
      </c>
      <c r="C3533" s="18" t="s">
        <v>1077</v>
      </c>
      <c r="D3533" s="418"/>
    </row>
    <row r="3534" spans="1:4" s="2" customFormat="1">
      <c r="A3534" s="30" t="s">
        <v>577</v>
      </c>
      <c r="B3534" s="31" t="s">
        <v>3917</v>
      </c>
      <c r="C3534" s="18"/>
      <c r="D3534" s="418"/>
    </row>
    <row r="3535" spans="1:4" s="2" customFormat="1">
      <c r="A3535" s="286"/>
      <c r="B3535" s="267" t="s">
        <v>1076</v>
      </c>
      <c r="C3535" s="18" t="s">
        <v>1077</v>
      </c>
      <c r="D3535" s="418"/>
    </row>
    <row r="3536" spans="1:4" s="2" customFormat="1">
      <c r="A3536" s="30" t="s">
        <v>578</v>
      </c>
      <c r="B3536" s="31" t="s">
        <v>3918</v>
      </c>
      <c r="C3536" s="18"/>
      <c r="D3536" s="418"/>
    </row>
    <row r="3537" spans="1:4" s="3" customFormat="1">
      <c r="A3537" s="286"/>
      <c r="B3537" s="267" t="s">
        <v>1076</v>
      </c>
      <c r="C3537" s="18" t="s">
        <v>1077</v>
      </c>
      <c r="D3537" s="418"/>
    </row>
    <row r="3538" spans="1:4" s="3" customFormat="1">
      <c r="A3538" s="30" t="s">
        <v>579</v>
      </c>
      <c r="B3538" s="31" t="s">
        <v>3919</v>
      </c>
      <c r="C3538" s="18"/>
      <c r="D3538" s="418"/>
    </row>
    <row r="3539" spans="1:4" s="3" customFormat="1">
      <c r="A3539" s="286"/>
      <c r="B3539" s="267" t="s">
        <v>1076</v>
      </c>
      <c r="C3539" s="18" t="s">
        <v>1077</v>
      </c>
      <c r="D3539" s="418"/>
    </row>
    <row r="3540" spans="1:4" s="3" customFormat="1">
      <c r="A3540" s="30" t="s">
        <v>580</v>
      </c>
      <c r="B3540" s="31" t="s">
        <v>3920</v>
      </c>
      <c r="C3540" s="18"/>
      <c r="D3540" s="418"/>
    </row>
    <row r="3541" spans="1:4" s="3" customFormat="1">
      <c r="A3541" s="286"/>
      <c r="B3541" s="267" t="s">
        <v>1076</v>
      </c>
      <c r="C3541" s="18" t="s">
        <v>1077</v>
      </c>
      <c r="D3541" s="418"/>
    </row>
    <row r="3542" spans="1:4" s="3" customFormat="1">
      <c r="A3542" s="30" t="s">
        <v>581</v>
      </c>
      <c r="B3542" s="31" t="s">
        <v>3921</v>
      </c>
      <c r="C3542" s="18"/>
      <c r="D3542" s="418"/>
    </row>
    <row r="3543" spans="1:4" s="3" customFormat="1">
      <c r="A3543" s="286"/>
      <c r="B3543" s="267" t="s">
        <v>1076</v>
      </c>
      <c r="C3543" s="18" t="s">
        <v>1077</v>
      </c>
      <c r="D3543" s="418"/>
    </row>
    <row r="3544" spans="1:4" s="3" customFormat="1">
      <c r="A3544" s="30" t="s">
        <v>582</v>
      </c>
      <c r="B3544" s="31" t="s">
        <v>3922</v>
      </c>
      <c r="C3544" s="18"/>
      <c r="D3544" s="418"/>
    </row>
    <row r="3545" spans="1:4" s="2" customFormat="1">
      <c r="A3545" s="286"/>
      <c r="B3545" s="267" t="s">
        <v>1076</v>
      </c>
      <c r="C3545" s="18" t="s">
        <v>1077</v>
      </c>
      <c r="D3545" s="418"/>
    </row>
    <row r="3546" spans="1:4" s="2" customFormat="1">
      <c r="A3546" s="30" t="s">
        <v>583</v>
      </c>
      <c r="B3546" s="31" t="s">
        <v>3923</v>
      </c>
      <c r="C3546" s="18"/>
      <c r="D3546" s="418"/>
    </row>
    <row r="3547" spans="1:4" s="2" customFormat="1">
      <c r="A3547" s="286"/>
      <c r="B3547" s="267" t="s">
        <v>1076</v>
      </c>
      <c r="C3547" s="18" t="s">
        <v>1077</v>
      </c>
      <c r="D3547" s="418"/>
    </row>
    <row r="3548" spans="1:4" s="2" customFormat="1">
      <c r="A3548" s="30" t="s">
        <v>584</v>
      </c>
      <c r="B3548" s="31" t="s">
        <v>3924</v>
      </c>
      <c r="C3548" s="18"/>
      <c r="D3548" s="418"/>
    </row>
    <row r="3549" spans="1:4" s="2" customFormat="1">
      <c r="A3549" s="286"/>
      <c r="B3549" s="267" t="s">
        <v>1076</v>
      </c>
      <c r="C3549" s="18" t="s">
        <v>1077</v>
      </c>
      <c r="D3549" s="418"/>
    </row>
    <row r="3550" spans="1:4" s="3" customFormat="1">
      <c r="A3550" s="30" t="s">
        <v>585</v>
      </c>
      <c r="B3550" s="31" t="s">
        <v>3925</v>
      </c>
      <c r="C3550" s="18"/>
      <c r="D3550" s="418"/>
    </row>
    <row r="3551" spans="1:4" s="2" customFormat="1">
      <c r="A3551" s="286"/>
      <c r="B3551" s="267" t="s">
        <v>1076</v>
      </c>
      <c r="C3551" s="18" t="s">
        <v>1077</v>
      </c>
      <c r="D3551" s="418"/>
    </row>
    <row r="3552" spans="1:4" s="2" customFormat="1">
      <c r="A3552" s="30" t="s">
        <v>586</v>
      </c>
      <c r="B3552" s="31" t="s">
        <v>3926</v>
      </c>
      <c r="C3552" s="18"/>
      <c r="D3552" s="418"/>
    </row>
    <row r="3553" spans="1:4" s="2" customFormat="1">
      <c r="A3553" s="286"/>
      <c r="B3553" s="267" t="s">
        <v>1076</v>
      </c>
      <c r="C3553" s="18" t="s">
        <v>1077</v>
      </c>
      <c r="D3553" s="418"/>
    </row>
    <row r="3554" spans="1:4" s="2" customFormat="1">
      <c r="A3554" s="30" t="s">
        <v>587</v>
      </c>
      <c r="B3554" s="31" t="s">
        <v>3927</v>
      </c>
      <c r="C3554" s="18"/>
      <c r="D3554" s="418"/>
    </row>
    <row r="3555" spans="1:4" s="2" customFormat="1" ht="66">
      <c r="A3555" s="55" t="s">
        <v>959</v>
      </c>
      <c r="B3555" s="267" t="s">
        <v>3928</v>
      </c>
      <c r="C3555" s="18" t="s">
        <v>959</v>
      </c>
      <c r="D3555" s="418"/>
    </row>
    <row r="3556" spans="1:4" s="2" customFormat="1">
      <c r="A3556" s="55"/>
      <c r="B3556" s="267" t="s">
        <v>1028</v>
      </c>
      <c r="C3556" s="18" t="s">
        <v>1029</v>
      </c>
      <c r="D3556" s="418"/>
    </row>
    <row r="3557" spans="1:4" s="2" customFormat="1">
      <c r="A3557" s="22" t="s">
        <v>3929</v>
      </c>
      <c r="B3557" s="57" t="s">
        <v>3930</v>
      </c>
      <c r="C3557" s="45"/>
      <c r="D3557" s="439"/>
    </row>
    <row r="3558" spans="1:4" s="2" customFormat="1">
      <c r="A3558" s="30" t="s">
        <v>597</v>
      </c>
      <c r="B3558" s="31" t="s">
        <v>3931</v>
      </c>
      <c r="C3558" s="18"/>
      <c r="D3558" s="418"/>
    </row>
    <row r="3559" spans="1:4" s="2" customFormat="1" ht="26.45">
      <c r="A3559" s="30"/>
      <c r="B3559" s="267" t="s">
        <v>3932</v>
      </c>
      <c r="C3559" s="18"/>
      <c r="D3559" s="418"/>
    </row>
    <row r="3560" spans="1:4" s="3" customFormat="1">
      <c r="A3560" s="30"/>
      <c r="B3560" s="267" t="s">
        <v>3933</v>
      </c>
      <c r="C3560" s="18"/>
      <c r="D3560" s="418"/>
    </row>
    <row r="3561" spans="1:4" s="3" customFormat="1">
      <c r="A3561" s="30"/>
      <c r="B3561" s="267" t="s">
        <v>1056</v>
      </c>
      <c r="C3561" s="18" t="s">
        <v>1057</v>
      </c>
      <c r="D3561" s="418"/>
    </row>
    <row r="3562" spans="1:4" s="3" customFormat="1">
      <c r="A3562" s="30" t="s">
        <v>598</v>
      </c>
      <c r="B3562" s="31" t="s">
        <v>3934</v>
      </c>
      <c r="C3562" s="18"/>
      <c r="D3562" s="418"/>
    </row>
    <row r="3563" spans="1:4" s="3" customFormat="1" ht="39.6">
      <c r="A3563" s="111"/>
      <c r="B3563" s="267" t="s">
        <v>3935</v>
      </c>
      <c r="C3563" s="18"/>
      <c r="D3563" s="418"/>
    </row>
    <row r="3564" spans="1:4" s="3" customFormat="1">
      <c r="A3564" s="111"/>
      <c r="B3564" s="267" t="s">
        <v>3889</v>
      </c>
      <c r="C3564" s="18" t="s">
        <v>3890</v>
      </c>
      <c r="D3564" s="418"/>
    </row>
    <row r="3565" spans="1:4" s="3" customFormat="1">
      <c r="A3565" s="22" t="s">
        <v>3936</v>
      </c>
      <c r="B3565" s="50" t="s">
        <v>3937</v>
      </c>
      <c r="C3565" s="45"/>
      <c r="D3565" s="439"/>
    </row>
    <row r="3566" spans="1:4" s="3" customFormat="1">
      <c r="A3566" s="30" t="s">
        <v>3938</v>
      </c>
      <c r="B3566" s="31" t="s">
        <v>3939</v>
      </c>
      <c r="C3566" s="18"/>
      <c r="D3566" s="418"/>
    </row>
    <row r="3567" spans="1:4" s="3" customFormat="1" ht="39.6">
      <c r="A3567" s="30"/>
      <c r="B3567" s="267" t="s">
        <v>3940</v>
      </c>
      <c r="C3567" s="18"/>
      <c r="D3567" s="418"/>
    </row>
    <row r="3568" spans="1:4" s="3" customFormat="1" ht="26.45">
      <c r="A3568" s="30"/>
      <c r="B3568" s="267" t="s">
        <v>3941</v>
      </c>
      <c r="C3568" s="18"/>
      <c r="D3568" s="418"/>
    </row>
    <row r="3569" spans="1:4" s="3" customFormat="1">
      <c r="A3569" s="30"/>
      <c r="B3569" s="267" t="s">
        <v>3942</v>
      </c>
      <c r="C3569" s="18" t="s">
        <v>3943</v>
      </c>
      <c r="D3569" s="418"/>
    </row>
    <row r="3570" spans="1:4" s="3" customFormat="1">
      <c r="A3570" s="30" t="s">
        <v>3944</v>
      </c>
      <c r="B3570" s="31" t="s">
        <v>3945</v>
      </c>
      <c r="C3570" s="18"/>
      <c r="D3570" s="418"/>
    </row>
    <row r="3571" spans="1:4" s="3" customFormat="1" ht="26.45">
      <c r="A3571" s="30"/>
      <c r="B3571" s="267" t="s">
        <v>3946</v>
      </c>
      <c r="C3571" s="18"/>
      <c r="D3571" s="418"/>
    </row>
    <row r="3572" spans="1:4" s="2" customFormat="1" ht="26.45">
      <c r="A3572" s="30"/>
      <c r="B3572" s="267" t="s">
        <v>3947</v>
      </c>
      <c r="C3572" s="18"/>
      <c r="D3572" s="418"/>
    </row>
    <row r="3573" spans="1:4" s="3" customFormat="1" ht="26.45">
      <c r="A3573" s="30"/>
      <c r="B3573" s="267" t="s">
        <v>3948</v>
      </c>
      <c r="C3573" s="18"/>
      <c r="D3573" s="418"/>
    </row>
    <row r="3574" spans="1:4" s="2" customFormat="1" ht="13.9">
      <c r="A3574" s="55" t="s">
        <v>3949</v>
      </c>
      <c r="B3574" s="77" t="s">
        <v>3950</v>
      </c>
      <c r="C3574" s="18"/>
      <c r="D3574" s="418"/>
    </row>
    <row r="3575" spans="1:4" s="2" customFormat="1">
      <c r="A3575" s="55"/>
      <c r="B3575" s="267" t="s">
        <v>1028</v>
      </c>
      <c r="C3575" s="18" t="s">
        <v>1029</v>
      </c>
      <c r="D3575" s="418"/>
    </row>
    <row r="3576" spans="1:4" s="3" customFormat="1" ht="13.9">
      <c r="A3576" s="55" t="s">
        <v>3951</v>
      </c>
      <c r="B3576" s="77" t="s">
        <v>3952</v>
      </c>
      <c r="C3576" s="18"/>
      <c r="D3576" s="418"/>
    </row>
    <row r="3577" spans="1:4" s="3" customFormat="1">
      <c r="A3577" s="55"/>
      <c r="B3577" s="267" t="s">
        <v>1028</v>
      </c>
      <c r="C3577" s="18" t="s">
        <v>1029</v>
      </c>
      <c r="D3577" s="418"/>
    </row>
    <row r="3578" spans="1:4" s="3" customFormat="1" ht="13.9">
      <c r="A3578" s="55" t="s">
        <v>3953</v>
      </c>
      <c r="B3578" s="77" t="s">
        <v>3954</v>
      </c>
      <c r="C3578" s="18"/>
      <c r="D3578" s="418"/>
    </row>
    <row r="3579" spans="1:4" s="3" customFormat="1">
      <c r="A3579" s="55"/>
      <c r="B3579" s="267" t="s">
        <v>1028</v>
      </c>
      <c r="C3579" s="18" t="s">
        <v>1029</v>
      </c>
      <c r="D3579" s="418"/>
    </row>
    <row r="3580" spans="1:4" s="3" customFormat="1" ht="13.9">
      <c r="A3580" s="55" t="s">
        <v>3955</v>
      </c>
      <c r="B3580" s="77" t="s">
        <v>3956</v>
      </c>
      <c r="C3580" s="18"/>
      <c r="D3580" s="418"/>
    </row>
    <row r="3581" spans="1:4" s="3" customFormat="1">
      <c r="A3581" s="55"/>
      <c r="B3581" s="267" t="s">
        <v>1028</v>
      </c>
      <c r="C3581" s="18" t="s">
        <v>1029</v>
      </c>
      <c r="D3581" s="418"/>
    </row>
    <row r="3582" spans="1:4" s="3" customFormat="1" ht="13.9">
      <c r="A3582" s="55" t="s">
        <v>3957</v>
      </c>
      <c r="B3582" s="77" t="s">
        <v>3958</v>
      </c>
      <c r="C3582" s="18"/>
      <c r="D3582" s="418"/>
    </row>
    <row r="3583" spans="1:4" s="3" customFormat="1">
      <c r="A3583" s="55"/>
      <c r="B3583" s="267" t="s">
        <v>1028</v>
      </c>
      <c r="C3583" s="18" t="s">
        <v>1029</v>
      </c>
      <c r="D3583" s="418"/>
    </row>
    <row r="3584" spans="1:4" s="3" customFormat="1" ht="13.9">
      <c r="A3584" s="55" t="s">
        <v>3959</v>
      </c>
      <c r="B3584" s="77" t="s">
        <v>3960</v>
      </c>
      <c r="C3584" s="18"/>
      <c r="D3584" s="418"/>
    </row>
    <row r="3585" spans="1:4" s="3" customFormat="1">
      <c r="A3585" s="55"/>
      <c r="B3585" s="267" t="s">
        <v>1028</v>
      </c>
      <c r="C3585" s="18" t="s">
        <v>1029</v>
      </c>
      <c r="D3585" s="418"/>
    </row>
    <row r="3586" spans="1:4" s="3" customFormat="1" ht="13.9">
      <c r="A3586" s="55" t="s">
        <v>3961</v>
      </c>
      <c r="B3586" s="77" t="s">
        <v>3962</v>
      </c>
      <c r="C3586" s="18"/>
      <c r="D3586" s="418"/>
    </row>
    <row r="3587" spans="1:4" s="3" customFormat="1">
      <c r="A3587" s="55"/>
      <c r="B3587" s="267" t="s">
        <v>1028</v>
      </c>
      <c r="C3587" s="18" t="s">
        <v>1029</v>
      </c>
      <c r="D3587" s="418"/>
    </row>
    <row r="3588" spans="1:4" s="3" customFormat="1">
      <c r="A3588" s="22" t="s">
        <v>3963</v>
      </c>
      <c r="B3588" s="50" t="s">
        <v>3964</v>
      </c>
      <c r="C3588" s="45" t="s">
        <v>959</v>
      </c>
      <c r="D3588" s="439"/>
    </row>
    <row r="3589" spans="1:4" s="3" customFormat="1">
      <c r="A3589" s="30" t="s">
        <v>3965</v>
      </c>
      <c r="B3589" s="31" t="s">
        <v>3966</v>
      </c>
      <c r="C3589" s="18"/>
      <c r="D3589" s="418"/>
    </row>
    <row r="3590" spans="1:4" s="3" customFormat="1" ht="26.45">
      <c r="A3590" s="111"/>
      <c r="B3590" s="267" t="s">
        <v>3967</v>
      </c>
      <c r="C3590" s="18"/>
      <c r="D3590" s="418"/>
    </row>
    <row r="3591" spans="1:4" s="3" customFormat="1" ht="39.6">
      <c r="A3591" s="111"/>
      <c r="B3591" s="267" t="s">
        <v>3968</v>
      </c>
      <c r="C3591" s="18"/>
      <c r="D3591" s="418"/>
    </row>
    <row r="3592" spans="1:4" s="3" customFormat="1">
      <c r="A3592" s="111"/>
      <c r="B3592" s="267" t="s">
        <v>998</v>
      </c>
      <c r="C3592" s="18" t="s">
        <v>999</v>
      </c>
      <c r="D3592" s="418"/>
    </row>
    <row r="3593" spans="1:4" s="3" customFormat="1">
      <c r="A3593" s="30" t="s">
        <v>3969</v>
      </c>
      <c r="B3593" s="31" t="s">
        <v>3970</v>
      </c>
      <c r="C3593" s="18"/>
      <c r="D3593" s="418"/>
    </row>
    <row r="3594" spans="1:4" s="3" customFormat="1" ht="39.6">
      <c r="A3594" s="111"/>
      <c r="B3594" s="267" t="s">
        <v>3971</v>
      </c>
      <c r="C3594" s="18"/>
      <c r="D3594" s="418"/>
    </row>
    <row r="3595" spans="1:4" s="3" customFormat="1" ht="26.45">
      <c r="A3595" s="111"/>
      <c r="B3595" s="267" t="s">
        <v>3972</v>
      </c>
      <c r="C3595" s="18"/>
      <c r="D3595" s="418"/>
    </row>
    <row r="3596" spans="1:4" s="3" customFormat="1" ht="39.6">
      <c r="A3596" s="111"/>
      <c r="B3596" s="267" t="s">
        <v>3973</v>
      </c>
      <c r="C3596" s="18"/>
      <c r="D3596" s="418"/>
    </row>
    <row r="3597" spans="1:4" s="3" customFormat="1">
      <c r="A3597" s="111"/>
      <c r="B3597" s="267" t="s">
        <v>3974</v>
      </c>
      <c r="C3597" s="18"/>
      <c r="D3597" s="418"/>
    </row>
    <row r="3598" spans="1:4" s="3" customFormat="1">
      <c r="A3598" s="55" t="s">
        <v>3975</v>
      </c>
      <c r="B3598" s="77" t="s">
        <v>3976</v>
      </c>
      <c r="C3598" s="18" t="s">
        <v>959</v>
      </c>
      <c r="D3598" s="418"/>
    </row>
    <row r="3599" spans="1:4" s="3" customFormat="1" ht="13.9">
      <c r="A3599" s="286" t="s">
        <v>3977</v>
      </c>
      <c r="B3599" s="267" t="s">
        <v>3978</v>
      </c>
      <c r="C3599" s="18"/>
      <c r="D3599" s="418"/>
    </row>
    <row r="3600" spans="1:4" s="3" customFormat="1">
      <c r="A3600" s="286"/>
      <c r="B3600" s="267" t="s">
        <v>1076</v>
      </c>
      <c r="C3600" s="18" t="s">
        <v>1077</v>
      </c>
      <c r="D3600" s="418"/>
    </row>
    <row r="3601" spans="1:4" s="3" customFormat="1" ht="13.9">
      <c r="A3601" s="286" t="s">
        <v>3979</v>
      </c>
      <c r="B3601" s="267" t="s">
        <v>3980</v>
      </c>
      <c r="C3601" s="18"/>
      <c r="D3601" s="418"/>
    </row>
    <row r="3602" spans="1:4" s="3" customFormat="1">
      <c r="A3602" s="286"/>
      <c r="B3602" s="267" t="s">
        <v>1076</v>
      </c>
      <c r="C3602" s="18" t="s">
        <v>1077</v>
      </c>
      <c r="D3602" s="418"/>
    </row>
    <row r="3603" spans="1:4" s="2" customFormat="1" ht="13.9">
      <c r="A3603" s="286" t="s">
        <v>3981</v>
      </c>
      <c r="B3603" s="267" t="s">
        <v>3982</v>
      </c>
      <c r="C3603" s="18"/>
      <c r="D3603" s="418"/>
    </row>
    <row r="3604" spans="1:4" s="2" customFormat="1">
      <c r="A3604" s="286"/>
      <c r="B3604" s="267" t="s">
        <v>1076</v>
      </c>
      <c r="C3604" s="18" t="s">
        <v>1077</v>
      </c>
      <c r="D3604" s="418"/>
    </row>
    <row r="3605" spans="1:4" s="2" customFormat="1" ht="13.9">
      <c r="A3605" s="286" t="s">
        <v>3983</v>
      </c>
      <c r="B3605" s="267" t="s">
        <v>3984</v>
      </c>
      <c r="C3605" s="18"/>
      <c r="D3605" s="418"/>
    </row>
    <row r="3606" spans="1:4" s="2" customFormat="1">
      <c r="A3606" s="286"/>
      <c r="B3606" s="267" t="s">
        <v>1076</v>
      </c>
      <c r="C3606" s="18" t="s">
        <v>1077</v>
      </c>
      <c r="D3606" s="418"/>
    </row>
    <row r="3607" spans="1:4" s="2" customFormat="1" ht="13.9">
      <c r="A3607" s="286" t="s">
        <v>3985</v>
      </c>
      <c r="B3607" s="267" t="s">
        <v>3986</v>
      </c>
      <c r="C3607" s="18"/>
      <c r="D3607" s="418"/>
    </row>
    <row r="3608" spans="1:4" s="2" customFormat="1">
      <c r="A3608" s="286"/>
      <c r="B3608" s="267" t="s">
        <v>1076</v>
      </c>
      <c r="C3608" s="18" t="s">
        <v>1077</v>
      </c>
      <c r="D3608" s="418"/>
    </row>
    <row r="3609" spans="1:4" s="2" customFormat="1" ht="13.9">
      <c r="A3609" s="286" t="s">
        <v>3987</v>
      </c>
      <c r="B3609" s="267" t="s">
        <v>3988</v>
      </c>
      <c r="C3609" s="18"/>
      <c r="D3609" s="418"/>
    </row>
    <row r="3610" spans="1:4" s="2" customFormat="1">
      <c r="A3610" s="286"/>
      <c r="B3610" s="267" t="s">
        <v>1076</v>
      </c>
      <c r="C3610" s="18" t="s">
        <v>1077</v>
      </c>
      <c r="D3610" s="418"/>
    </row>
    <row r="3611" spans="1:4" s="2" customFormat="1" ht="13.9">
      <c r="A3611" s="286" t="s">
        <v>3989</v>
      </c>
      <c r="B3611" s="267" t="s">
        <v>3990</v>
      </c>
      <c r="C3611" s="18"/>
      <c r="D3611" s="418"/>
    </row>
    <row r="3612" spans="1:4" s="2" customFormat="1">
      <c r="A3612" s="286"/>
      <c r="B3612" s="267" t="s">
        <v>1076</v>
      </c>
      <c r="C3612" s="18" t="s">
        <v>1077</v>
      </c>
      <c r="D3612" s="418"/>
    </row>
    <row r="3613" spans="1:4" s="2" customFormat="1" ht="13.9">
      <c r="A3613" s="286" t="s">
        <v>3991</v>
      </c>
      <c r="B3613" s="267" t="s">
        <v>3992</v>
      </c>
      <c r="C3613" s="18"/>
      <c r="D3613" s="418"/>
    </row>
    <row r="3614" spans="1:4" s="2" customFormat="1">
      <c r="A3614" s="286"/>
      <c r="B3614" s="267" t="s">
        <v>1076</v>
      </c>
      <c r="C3614" s="18" t="s">
        <v>1077</v>
      </c>
      <c r="D3614" s="418"/>
    </row>
    <row r="3615" spans="1:4" s="2" customFormat="1" ht="13.9">
      <c r="A3615" s="286" t="s">
        <v>3993</v>
      </c>
      <c r="B3615" s="267" t="s">
        <v>3994</v>
      </c>
      <c r="C3615" s="18"/>
      <c r="D3615" s="418"/>
    </row>
    <row r="3616" spans="1:4" s="2" customFormat="1">
      <c r="A3616" s="286"/>
      <c r="B3616" s="267" t="s">
        <v>1076</v>
      </c>
      <c r="C3616" s="18" t="s">
        <v>1077</v>
      </c>
      <c r="D3616" s="418"/>
    </row>
    <row r="3617" spans="1:4" s="2" customFormat="1" ht="13.9">
      <c r="A3617" s="286" t="s">
        <v>3995</v>
      </c>
      <c r="B3617" s="267" t="s">
        <v>3996</v>
      </c>
      <c r="C3617" s="18"/>
      <c r="D3617" s="418"/>
    </row>
    <row r="3618" spans="1:4" s="2" customFormat="1">
      <c r="A3618" s="286"/>
      <c r="B3618" s="267" t="s">
        <v>1076</v>
      </c>
      <c r="C3618" s="18" t="s">
        <v>1077</v>
      </c>
      <c r="D3618" s="418"/>
    </row>
    <row r="3619" spans="1:4" s="2" customFormat="1" ht="13.9">
      <c r="A3619" s="286" t="s">
        <v>3997</v>
      </c>
      <c r="B3619" s="267" t="s">
        <v>3998</v>
      </c>
      <c r="C3619" s="18"/>
      <c r="D3619" s="418"/>
    </row>
    <row r="3620" spans="1:4" s="2" customFormat="1">
      <c r="A3620" s="286"/>
      <c r="B3620" s="267" t="s">
        <v>1076</v>
      </c>
      <c r="C3620" s="18" t="s">
        <v>1077</v>
      </c>
      <c r="D3620" s="418"/>
    </row>
    <row r="3621" spans="1:4" s="2" customFormat="1" ht="13.9">
      <c r="A3621" s="286" t="s">
        <v>3999</v>
      </c>
      <c r="B3621" s="267" t="s">
        <v>4000</v>
      </c>
      <c r="C3621" s="18"/>
      <c r="D3621" s="418"/>
    </row>
    <row r="3622" spans="1:4" s="2" customFormat="1">
      <c r="A3622" s="286"/>
      <c r="B3622" s="267" t="s">
        <v>1076</v>
      </c>
      <c r="C3622" s="18" t="s">
        <v>1077</v>
      </c>
      <c r="D3622" s="418"/>
    </row>
    <row r="3623" spans="1:4" s="2" customFormat="1">
      <c r="A3623" s="55" t="s">
        <v>4001</v>
      </c>
      <c r="B3623" s="77" t="s">
        <v>4002</v>
      </c>
      <c r="C3623" s="18" t="s">
        <v>959</v>
      </c>
      <c r="D3623" s="418"/>
    </row>
    <row r="3624" spans="1:4" s="2" customFormat="1" ht="13.9">
      <c r="A3624" s="286" t="s">
        <v>4003</v>
      </c>
      <c r="B3624" s="267" t="s">
        <v>4004</v>
      </c>
      <c r="C3624" s="18"/>
      <c r="D3624" s="418"/>
    </row>
    <row r="3625" spans="1:4" s="2" customFormat="1">
      <c r="A3625" s="286"/>
      <c r="B3625" s="267" t="s">
        <v>1076</v>
      </c>
      <c r="C3625" s="18" t="s">
        <v>1077</v>
      </c>
      <c r="D3625" s="418"/>
    </row>
    <row r="3626" spans="1:4" s="2" customFormat="1" ht="13.9">
      <c r="A3626" s="286" t="s">
        <v>4005</v>
      </c>
      <c r="B3626" s="267" t="s">
        <v>4006</v>
      </c>
      <c r="C3626" s="18"/>
      <c r="D3626" s="418"/>
    </row>
    <row r="3627" spans="1:4" s="2" customFormat="1">
      <c r="A3627" s="286"/>
      <c r="B3627" s="267" t="s">
        <v>1076</v>
      </c>
      <c r="C3627" s="18" t="s">
        <v>1077</v>
      </c>
      <c r="D3627" s="418"/>
    </row>
    <row r="3628" spans="1:4" s="2" customFormat="1" ht="13.9">
      <c r="A3628" s="286" t="s">
        <v>4007</v>
      </c>
      <c r="B3628" s="267" t="s">
        <v>4008</v>
      </c>
      <c r="C3628" s="18"/>
      <c r="D3628" s="418"/>
    </row>
    <row r="3629" spans="1:4" s="2" customFormat="1">
      <c r="A3629" s="286"/>
      <c r="B3629" s="267" t="s">
        <v>1076</v>
      </c>
      <c r="C3629" s="18" t="s">
        <v>1077</v>
      </c>
      <c r="D3629" s="418"/>
    </row>
    <row r="3630" spans="1:4" s="2" customFormat="1" ht="13.9">
      <c r="A3630" s="286" t="s">
        <v>4009</v>
      </c>
      <c r="B3630" s="267" t="s">
        <v>4010</v>
      </c>
      <c r="C3630" s="18"/>
      <c r="D3630" s="418"/>
    </row>
    <row r="3631" spans="1:4" s="2" customFormat="1">
      <c r="A3631" s="286"/>
      <c r="B3631" s="267" t="s">
        <v>1076</v>
      </c>
      <c r="C3631" s="18" t="s">
        <v>1077</v>
      </c>
      <c r="D3631" s="418"/>
    </row>
    <row r="3632" spans="1:4" s="2" customFormat="1" ht="13.9">
      <c r="A3632" s="286" t="s">
        <v>4011</v>
      </c>
      <c r="B3632" s="267" t="s">
        <v>4012</v>
      </c>
      <c r="C3632" s="18"/>
      <c r="D3632" s="418"/>
    </row>
    <row r="3633" spans="1:4" s="2" customFormat="1">
      <c r="A3633" s="286"/>
      <c r="B3633" s="267" t="s">
        <v>1076</v>
      </c>
      <c r="C3633" s="18" t="s">
        <v>1077</v>
      </c>
      <c r="D3633" s="418"/>
    </row>
    <row r="3634" spans="1:4" s="2" customFormat="1" ht="13.9">
      <c r="A3634" s="286" t="s">
        <v>4013</v>
      </c>
      <c r="B3634" s="267" t="s">
        <v>4014</v>
      </c>
      <c r="C3634" s="18"/>
      <c r="D3634" s="418"/>
    </row>
    <row r="3635" spans="1:4" s="2" customFormat="1">
      <c r="A3635" s="286"/>
      <c r="B3635" s="267" t="s">
        <v>1076</v>
      </c>
      <c r="C3635" s="18" t="s">
        <v>1077</v>
      </c>
      <c r="D3635" s="418"/>
    </row>
    <row r="3636" spans="1:4" s="2" customFormat="1" ht="13.9">
      <c r="A3636" s="286" t="s">
        <v>4015</v>
      </c>
      <c r="B3636" s="267" t="s">
        <v>4016</v>
      </c>
      <c r="C3636" s="18"/>
      <c r="D3636" s="418"/>
    </row>
    <row r="3637" spans="1:4" s="2" customFormat="1">
      <c r="A3637" s="286"/>
      <c r="B3637" s="267" t="s">
        <v>1076</v>
      </c>
      <c r="C3637" s="18" t="s">
        <v>1077</v>
      </c>
      <c r="D3637" s="418"/>
    </row>
    <row r="3638" spans="1:4" s="2" customFormat="1" ht="13.9">
      <c r="A3638" s="286" t="s">
        <v>4017</v>
      </c>
      <c r="B3638" s="267" t="s">
        <v>4018</v>
      </c>
      <c r="C3638" s="18"/>
      <c r="D3638" s="418"/>
    </row>
    <row r="3639" spans="1:4" s="2" customFormat="1">
      <c r="A3639" s="286"/>
      <c r="B3639" s="267" t="s">
        <v>1076</v>
      </c>
      <c r="C3639" s="18" t="s">
        <v>1077</v>
      </c>
      <c r="D3639" s="418"/>
    </row>
    <row r="3640" spans="1:4" s="2" customFormat="1" ht="13.9">
      <c r="A3640" s="286" t="s">
        <v>4019</v>
      </c>
      <c r="B3640" s="267" t="s">
        <v>4020</v>
      </c>
      <c r="C3640" s="18"/>
      <c r="D3640" s="418"/>
    </row>
    <row r="3641" spans="1:4" s="2" customFormat="1">
      <c r="A3641" s="286"/>
      <c r="B3641" s="267" t="s">
        <v>1076</v>
      </c>
      <c r="C3641" s="18" t="s">
        <v>1077</v>
      </c>
      <c r="D3641" s="418"/>
    </row>
    <row r="3642" spans="1:4" s="2" customFormat="1" ht="13.9">
      <c r="A3642" s="286" t="s">
        <v>4021</v>
      </c>
      <c r="B3642" s="267" t="s">
        <v>4022</v>
      </c>
      <c r="C3642" s="18"/>
      <c r="D3642" s="418"/>
    </row>
    <row r="3643" spans="1:4" s="2" customFormat="1">
      <c r="A3643" s="286"/>
      <c r="B3643" s="267" t="s">
        <v>1076</v>
      </c>
      <c r="C3643" s="18" t="s">
        <v>1077</v>
      </c>
      <c r="D3643" s="418"/>
    </row>
    <row r="3644" spans="1:4" s="2" customFormat="1" ht="13.9">
      <c r="A3644" s="286" t="s">
        <v>4023</v>
      </c>
      <c r="B3644" s="267" t="s">
        <v>4024</v>
      </c>
      <c r="C3644" s="18"/>
      <c r="D3644" s="418"/>
    </row>
    <row r="3645" spans="1:4" s="2" customFormat="1">
      <c r="A3645" s="286"/>
      <c r="B3645" s="267" t="s">
        <v>1076</v>
      </c>
      <c r="C3645" s="18" t="s">
        <v>1077</v>
      </c>
      <c r="D3645" s="418"/>
    </row>
    <row r="3646" spans="1:4" s="2" customFormat="1" ht="13.9">
      <c r="A3646" s="286" t="s">
        <v>4025</v>
      </c>
      <c r="B3646" s="267" t="s">
        <v>4026</v>
      </c>
      <c r="C3646" s="18"/>
      <c r="D3646" s="418"/>
    </row>
    <row r="3647" spans="1:4" s="2" customFormat="1">
      <c r="A3647" s="286"/>
      <c r="B3647" s="267" t="s">
        <v>1076</v>
      </c>
      <c r="C3647" s="18" t="s">
        <v>1077</v>
      </c>
      <c r="D3647" s="418"/>
    </row>
    <row r="3648" spans="1:4" s="2" customFormat="1">
      <c r="A3648" s="55" t="s">
        <v>4027</v>
      </c>
      <c r="B3648" s="77" t="s">
        <v>4028</v>
      </c>
      <c r="C3648" s="18" t="s">
        <v>959</v>
      </c>
      <c r="D3648" s="418"/>
    </row>
    <row r="3649" spans="1:4" s="2" customFormat="1" ht="13.9">
      <c r="A3649" s="286" t="s">
        <v>4029</v>
      </c>
      <c r="B3649" s="267" t="s">
        <v>4030</v>
      </c>
      <c r="C3649" s="18"/>
      <c r="D3649" s="418"/>
    </row>
    <row r="3650" spans="1:4" s="2" customFormat="1">
      <c r="A3650" s="286"/>
      <c r="B3650" s="267" t="s">
        <v>1076</v>
      </c>
      <c r="C3650" s="18" t="s">
        <v>1077</v>
      </c>
      <c r="D3650" s="418"/>
    </row>
    <row r="3651" spans="1:4" s="2" customFormat="1" ht="13.9">
      <c r="A3651" s="286" t="s">
        <v>4031</v>
      </c>
      <c r="B3651" s="267" t="s">
        <v>4032</v>
      </c>
      <c r="C3651" s="18"/>
      <c r="D3651" s="418"/>
    </row>
    <row r="3652" spans="1:4" s="2" customFormat="1">
      <c r="A3652" s="286"/>
      <c r="B3652" s="267" t="s">
        <v>1076</v>
      </c>
      <c r="C3652" s="18" t="s">
        <v>1077</v>
      </c>
      <c r="D3652" s="418"/>
    </row>
    <row r="3653" spans="1:4" s="2" customFormat="1" ht="13.9">
      <c r="A3653" s="286" t="s">
        <v>4033</v>
      </c>
      <c r="B3653" s="267" t="s">
        <v>4034</v>
      </c>
      <c r="C3653" s="18"/>
      <c r="D3653" s="418"/>
    </row>
    <row r="3654" spans="1:4" s="2" customFormat="1">
      <c r="A3654" s="286"/>
      <c r="B3654" s="267" t="s">
        <v>1076</v>
      </c>
      <c r="C3654" s="18" t="s">
        <v>1077</v>
      </c>
      <c r="D3654" s="418"/>
    </row>
    <row r="3655" spans="1:4" s="2" customFormat="1" ht="13.9">
      <c r="A3655" s="286" t="s">
        <v>4035</v>
      </c>
      <c r="B3655" s="267" t="s">
        <v>4036</v>
      </c>
      <c r="C3655" s="18"/>
      <c r="D3655" s="418"/>
    </row>
    <row r="3656" spans="1:4" s="2" customFormat="1">
      <c r="A3656" s="286"/>
      <c r="B3656" s="267" t="s">
        <v>1076</v>
      </c>
      <c r="C3656" s="18" t="s">
        <v>1077</v>
      </c>
      <c r="D3656" s="418"/>
    </row>
    <row r="3657" spans="1:4" s="2" customFormat="1" ht="13.9">
      <c r="A3657" s="286" t="s">
        <v>4037</v>
      </c>
      <c r="B3657" s="267" t="s">
        <v>4038</v>
      </c>
      <c r="C3657" s="18"/>
      <c r="D3657" s="418"/>
    </row>
    <row r="3658" spans="1:4" s="2" customFormat="1">
      <c r="A3658" s="286"/>
      <c r="B3658" s="267" t="s">
        <v>1076</v>
      </c>
      <c r="C3658" s="18" t="s">
        <v>1077</v>
      </c>
      <c r="D3658" s="418"/>
    </row>
    <row r="3659" spans="1:4" s="2" customFormat="1" ht="13.9">
      <c r="A3659" s="286" t="s">
        <v>4039</v>
      </c>
      <c r="B3659" s="267" t="s">
        <v>4040</v>
      </c>
      <c r="C3659" s="18"/>
      <c r="D3659" s="418"/>
    </row>
    <row r="3660" spans="1:4" s="2" customFormat="1">
      <c r="A3660" s="286"/>
      <c r="B3660" s="267" t="s">
        <v>1076</v>
      </c>
      <c r="C3660" s="18" t="s">
        <v>1077</v>
      </c>
      <c r="D3660" s="418"/>
    </row>
    <row r="3661" spans="1:4" s="2" customFormat="1" ht="13.9">
      <c r="A3661" s="286" t="s">
        <v>4041</v>
      </c>
      <c r="B3661" s="267" t="s">
        <v>4042</v>
      </c>
      <c r="C3661" s="18"/>
      <c r="D3661" s="418"/>
    </row>
    <row r="3662" spans="1:4" s="2" customFormat="1">
      <c r="A3662" s="286"/>
      <c r="B3662" s="267" t="s">
        <v>1076</v>
      </c>
      <c r="C3662" s="18" t="s">
        <v>1077</v>
      </c>
      <c r="D3662" s="418"/>
    </row>
    <row r="3663" spans="1:4" s="2" customFormat="1" ht="13.9">
      <c r="A3663" s="286" t="s">
        <v>4043</v>
      </c>
      <c r="B3663" s="267" t="s">
        <v>4044</v>
      </c>
      <c r="C3663" s="18"/>
      <c r="D3663" s="418"/>
    </row>
    <row r="3664" spans="1:4" s="2" customFormat="1">
      <c r="A3664" s="286"/>
      <c r="B3664" s="267" t="s">
        <v>1076</v>
      </c>
      <c r="C3664" s="18" t="s">
        <v>1077</v>
      </c>
      <c r="D3664" s="418"/>
    </row>
    <row r="3665" spans="1:4" s="2" customFormat="1" ht="13.9">
      <c r="A3665" s="286" t="s">
        <v>4045</v>
      </c>
      <c r="B3665" s="267" t="s">
        <v>4046</v>
      </c>
      <c r="C3665" s="18"/>
      <c r="D3665" s="418"/>
    </row>
    <row r="3666" spans="1:4" s="2" customFormat="1">
      <c r="A3666" s="286"/>
      <c r="B3666" s="267" t="s">
        <v>1076</v>
      </c>
      <c r="C3666" s="18" t="s">
        <v>1077</v>
      </c>
      <c r="D3666" s="418"/>
    </row>
    <row r="3667" spans="1:4" s="2" customFormat="1" ht="13.9">
      <c r="A3667" s="286" t="s">
        <v>4047</v>
      </c>
      <c r="B3667" s="267" t="s">
        <v>4048</v>
      </c>
      <c r="C3667" s="18"/>
      <c r="D3667" s="418"/>
    </row>
    <row r="3668" spans="1:4" s="2" customFormat="1" ht="12.75" customHeight="1">
      <c r="A3668" s="286"/>
      <c r="B3668" s="267" t="s">
        <v>1076</v>
      </c>
      <c r="C3668" s="18" t="s">
        <v>1077</v>
      </c>
      <c r="D3668" s="418"/>
    </row>
    <row r="3669" spans="1:4" s="2" customFormat="1" ht="13.9">
      <c r="A3669" s="286" t="s">
        <v>4049</v>
      </c>
      <c r="B3669" s="267" t="s">
        <v>4050</v>
      </c>
      <c r="C3669" s="18"/>
      <c r="D3669" s="418"/>
    </row>
    <row r="3670" spans="1:4" s="2" customFormat="1">
      <c r="A3670" s="286"/>
      <c r="B3670" s="267" t="s">
        <v>1076</v>
      </c>
      <c r="C3670" s="18" t="s">
        <v>1077</v>
      </c>
      <c r="D3670" s="418"/>
    </row>
    <row r="3671" spans="1:4" s="2" customFormat="1" ht="13.9">
      <c r="A3671" s="286" t="s">
        <v>4051</v>
      </c>
      <c r="B3671" s="267" t="s">
        <v>4052</v>
      </c>
      <c r="C3671" s="18"/>
      <c r="D3671" s="418"/>
    </row>
    <row r="3672" spans="1:4" s="2" customFormat="1">
      <c r="A3672" s="304"/>
      <c r="B3672" s="303" t="s">
        <v>1076</v>
      </c>
      <c r="C3672" s="109" t="s">
        <v>1077</v>
      </c>
      <c r="D3672" s="418"/>
    </row>
    <row r="3673" spans="1:4" s="2" customFormat="1">
      <c r="A3673" s="22" t="s">
        <v>4053</v>
      </c>
      <c r="B3673" s="50" t="s">
        <v>4054</v>
      </c>
      <c r="C3673" s="45"/>
      <c r="D3673" s="439"/>
    </row>
    <row r="3674" spans="1:4" s="2" customFormat="1">
      <c r="A3674" s="37" t="s">
        <v>4055</v>
      </c>
      <c r="B3674" s="46" t="s">
        <v>4056</v>
      </c>
      <c r="C3674" s="37"/>
      <c r="D3674" s="448"/>
    </row>
    <row r="3675" spans="1:4" s="2" customFormat="1" ht="36.6" customHeight="1">
      <c r="A3675" s="335"/>
      <c r="B3675" s="336" t="s">
        <v>4057</v>
      </c>
      <c r="C3675" s="197"/>
      <c r="D3675" s="449"/>
    </row>
    <row r="3676" spans="1:4" s="2" customFormat="1" ht="39.6">
      <c r="A3676" s="335"/>
      <c r="B3676" s="336" t="s">
        <v>4058</v>
      </c>
      <c r="C3676" s="197"/>
      <c r="D3676" s="449"/>
    </row>
    <row r="3677" spans="1:4" s="2" customFormat="1" ht="13.9">
      <c r="A3677" s="319"/>
      <c r="B3677" s="320" t="s">
        <v>4059</v>
      </c>
      <c r="C3677" s="145" t="s">
        <v>999</v>
      </c>
      <c r="D3677" s="449"/>
    </row>
    <row r="3678" spans="1:4" s="2" customFormat="1" ht="13.9">
      <c r="A3678" s="30" t="s">
        <v>4060</v>
      </c>
      <c r="B3678" s="115" t="s">
        <v>4061</v>
      </c>
      <c r="C3678" s="30"/>
      <c r="D3678" s="449"/>
    </row>
    <row r="3679" spans="1:4" s="3" customFormat="1" ht="79.150000000000006">
      <c r="A3679" s="319"/>
      <c r="B3679" s="320" t="s">
        <v>4062</v>
      </c>
      <c r="C3679" s="165"/>
      <c r="D3679" s="449"/>
    </row>
    <row r="3680" spans="1:4" s="3" customFormat="1" ht="26.45">
      <c r="A3680" s="319"/>
      <c r="B3680" s="319" t="s">
        <v>4063</v>
      </c>
      <c r="C3680" s="165"/>
      <c r="D3680" s="449"/>
    </row>
    <row r="3681" spans="1:4" s="3" customFormat="1" ht="13.9">
      <c r="A3681" s="319"/>
      <c r="B3681" s="185" t="s">
        <v>4061</v>
      </c>
      <c r="C3681" s="165"/>
      <c r="D3681" s="449"/>
    </row>
    <row r="3682" spans="1:4" s="79" customFormat="1" ht="14.45">
      <c r="A3682" s="55" t="s">
        <v>4064</v>
      </c>
      <c r="B3682" s="77" t="s">
        <v>4065</v>
      </c>
      <c r="C3682" s="165"/>
      <c r="D3682" s="449"/>
    </row>
    <row r="3683" spans="1:4" s="79" customFormat="1" ht="14.45">
      <c r="A3683" s="186"/>
      <c r="B3683" s="320" t="s">
        <v>1076</v>
      </c>
      <c r="C3683" s="18" t="s">
        <v>1077</v>
      </c>
      <c r="D3683" s="449"/>
    </row>
    <row r="3684" spans="1:4" s="79" customFormat="1" ht="14.45">
      <c r="A3684" s="337"/>
      <c r="B3684" s="185" t="s">
        <v>4061</v>
      </c>
      <c r="C3684" s="165"/>
      <c r="D3684" s="449"/>
    </row>
    <row r="3685" spans="1:4" s="79" customFormat="1" ht="14.45">
      <c r="A3685" s="55" t="s">
        <v>4066</v>
      </c>
      <c r="B3685" s="77" t="s">
        <v>4067</v>
      </c>
      <c r="C3685" s="165"/>
      <c r="D3685" s="449"/>
    </row>
    <row r="3686" spans="1:4" s="79" customFormat="1" ht="15" customHeight="1">
      <c r="A3686" s="186"/>
      <c r="B3686" s="320" t="s">
        <v>1076</v>
      </c>
      <c r="C3686" s="18" t="s">
        <v>1077</v>
      </c>
      <c r="D3686" s="449"/>
    </row>
    <row r="3687" spans="1:4" s="79" customFormat="1" ht="14.45">
      <c r="A3687" s="337"/>
      <c r="B3687" s="185" t="s">
        <v>4061</v>
      </c>
      <c r="C3687" s="165"/>
      <c r="D3687" s="449"/>
    </row>
    <row r="3688" spans="1:4" s="79" customFormat="1" ht="14.45">
      <c r="A3688" s="55" t="s">
        <v>4068</v>
      </c>
      <c r="B3688" s="77" t="s">
        <v>4069</v>
      </c>
      <c r="C3688" s="165"/>
      <c r="D3688" s="449"/>
    </row>
    <row r="3689" spans="1:4" s="79" customFormat="1" ht="14.45">
      <c r="A3689" s="186"/>
      <c r="B3689" s="320" t="s">
        <v>1076</v>
      </c>
      <c r="C3689" s="18" t="s">
        <v>1077</v>
      </c>
      <c r="D3689" s="449"/>
    </row>
    <row r="3690" spans="1:4" s="79" customFormat="1" ht="14.45">
      <c r="A3690" s="337"/>
      <c r="B3690" s="185" t="s">
        <v>4061</v>
      </c>
      <c r="C3690" s="165"/>
      <c r="D3690" s="449"/>
    </row>
    <row r="3691" spans="1:4" s="79" customFormat="1" ht="14.45">
      <c r="A3691" s="55" t="s">
        <v>4070</v>
      </c>
      <c r="B3691" s="77" t="s">
        <v>4071</v>
      </c>
      <c r="C3691" s="18"/>
      <c r="D3691" s="449"/>
    </row>
    <row r="3692" spans="1:4" s="3" customFormat="1" ht="14.45">
      <c r="A3692" s="186"/>
      <c r="B3692" s="320" t="s">
        <v>1076</v>
      </c>
      <c r="C3692" s="18" t="s">
        <v>1077</v>
      </c>
      <c r="D3692" s="449"/>
    </row>
    <row r="3693" spans="1:4" s="3" customFormat="1" ht="13.9">
      <c r="A3693" s="337"/>
      <c r="B3693" s="185" t="s">
        <v>4061</v>
      </c>
      <c r="C3693" s="165"/>
      <c r="D3693" s="449"/>
    </row>
    <row r="3694" spans="1:4" s="3" customFormat="1" ht="13.9">
      <c r="A3694" s="55" t="s">
        <v>4072</v>
      </c>
      <c r="B3694" s="77" t="s">
        <v>4073</v>
      </c>
      <c r="C3694" s="165"/>
      <c r="D3694" s="449"/>
    </row>
    <row r="3695" spans="1:4" s="3" customFormat="1" ht="14.45">
      <c r="A3695" s="186"/>
      <c r="B3695" s="320" t="s">
        <v>1076</v>
      </c>
      <c r="C3695" s="18" t="s">
        <v>1077</v>
      </c>
      <c r="D3695" s="449"/>
    </row>
    <row r="3696" spans="1:4" s="3" customFormat="1" ht="13.9">
      <c r="A3696" s="337"/>
      <c r="B3696" s="185" t="s">
        <v>4061</v>
      </c>
      <c r="C3696" s="165"/>
      <c r="D3696" s="449"/>
    </row>
    <row r="3697" spans="1:4" s="3" customFormat="1" ht="13.9">
      <c r="A3697" s="55" t="s">
        <v>4074</v>
      </c>
      <c r="B3697" s="77" t="s">
        <v>4075</v>
      </c>
      <c r="C3697" s="165"/>
      <c r="D3697" s="449"/>
    </row>
    <row r="3698" spans="1:4" s="3" customFormat="1" ht="14.45">
      <c r="A3698" s="186"/>
      <c r="B3698" s="320" t="s">
        <v>1076</v>
      </c>
      <c r="C3698" s="18" t="s">
        <v>1077</v>
      </c>
      <c r="D3698" s="449"/>
    </row>
    <row r="3699" spans="1:4" s="3" customFormat="1" ht="13.9">
      <c r="A3699" s="337"/>
      <c r="B3699" s="185" t="s">
        <v>4061</v>
      </c>
      <c r="C3699" s="165"/>
      <c r="D3699" s="449"/>
    </row>
    <row r="3700" spans="1:4" s="3" customFormat="1" ht="13.9">
      <c r="A3700" s="55" t="s">
        <v>4076</v>
      </c>
      <c r="B3700" s="77" t="s">
        <v>4077</v>
      </c>
      <c r="C3700" s="165"/>
      <c r="D3700" s="449"/>
    </row>
    <row r="3701" spans="1:4" s="3" customFormat="1" ht="14.45">
      <c r="A3701" s="182"/>
      <c r="B3701" s="320" t="s">
        <v>1076</v>
      </c>
      <c r="C3701" s="18" t="s">
        <v>1077</v>
      </c>
      <c r="D3701" s="449"/>
    </row>
    <row r="3702" spans="1:4" s="3" customFormat="1">
      <c r="A3702" s="22" t="s">
        <v>4078</v>
      </c>
      <c r="B3702" s="50" t="s">
        <v>4079</v>
      </c>
      <c r="C3702" s="45"/>
      <c r="D3702" s="439"/>
    </row>
    <row r="3703" spans="1:4" s="3" customFormat="1">
      <c r="A3703" s="37" t="s">
        <v>4080</v>
      </c>
      <c r="B3703" s="46" t="s">
        <v>4081</v>
      </c>
      <c r="C3703" s="37"/>
      <c r="D3703" s="448"/>
    </row>
    <row r="3704" spans="1:4" s="3" customFormat="1" ht="39.6">
      <c r="A3704" s="335"/>
      <c r="B3704" s="338" t="s">
        <v>4082</v>
      </c>
      <c r="C3704" s="197"/>
      <c r="D3704" s="449"/>
    </row>
    <row r="3705" spans="1:4" s="3" customFormat="1" ht="39.6">
      <c r="A3705" s="335"/>
      <c r="B3705" s="338" t="s">
        <v>4083</v>
      </c>
      <c r="C3705" s="197"/>
      <c r="D3705" s="449"/>
    </row>
    <row r="3706" spans="1:4" s="3" customFormat="1" ht="13.9">
      <c r="A3706" s="319"/>
      <c r="B3706" s="320" t="s">
        <v>998</v>
      </c>
      <c r="C3706" s="18" t="s">
        <v>999</v>
      </c>
      <c r="D3706" s="449"/>
    </row>
    <row r="3707" spans="1:4" s="3" customFormat="1" ht="13.9">
      <c r="A3707" s="30" t="s">
        <v>4084</v>
      </c>
      <c r="B3707" s="115" t="s">
        <v>4085</v>
      </c>
      <c r="C3707" s="30"/>
      <c r="D3707" s="449"/>
    </row>
    <row r="3708" spans="1:4" s="3" customFormat="1" ht="26.45">
      <c r="A3708" s="319"/>
      <c r="B3708" s="320" t="s">
        <v>4086</v>
      </c>
      <c r="C3708" s="165"/>
      <c r="D3708" s="449"/>
    </row>
    <row r="3709" spans="1:4" s="3" customFormat="1" ht="26.45">
      <c r="A3709" s="335"/>
      <c r="B3709" s="339" t="s">
        <v>4087</v>
      </c>
      <c r="C3709" s="197"/>
      <c r="D3709" s="449"/>
    </row>
    <row r="3710" spans="1:4" s="3" customFormat="1" ht="26.45">
      <c r="A3710" s="335"/>
      <c r="B3710" s="339" t="s">
        <v>4088</v>
      </c>
      <c r="C3710" s="197"/>
      <c r="D3710" s="449"/>
    </row>
    <row r="3711" spans="1:4" s="3" customFormat="1" ht="13.9">
      <c r="A3711" s="335"/>
      <c r="B3711" s="339" t="s">
        <v>4089</v>
      </c>
      <c r="C3711" s="197"/>
      <c r="D3711" s="449"/>
    </row>
    <row r="3712" spans="1:4" s="3" customFormat="1" ht="13.9">
      <c r="A3712" s="335"/>
      <c r="B3712" s="338" t="s">
        <v>4090</v>
      </c>
      <c r="C3712" s="197"/>
      <c r="D3712" s="449"/>
    </row>
    <row r="3713" spans="1:4" s="3" customFormat="1" ht="26.45">
      <c r="A3713" s="335"/>
      <c r="B3713" s="340" t="s">
        <v>4091</v>
      </c>
      <c r="C3713" s="197"/>
      <c r="D3713" s="449"/>
    </row>
    <row r="3714" spans="1:4" s="3" customFormat="1" ht="26.45">
      <c r="A3714" s="335"/>
      <c r="B3714" s="335" t="s">
        <v>4063</v>
      </c>
      <c r="C3714" s="197"/>
      <c r="D3714" s="449"/>
    </row>
    <row r="3715" spans="1:4" s="3" customFormat="1" ht="13.9">
      <c r="A3715" s="341"/>
      <c r="B3715" s="187" t="s">
        <v>4085</v>
      </c>
      <c r="C3715" s="197"/>
      <c r="D3715" s="449"/>
    </row>
    <row r="3716" spans="1:4" s="3" customFormat="1" ht="13.9">
      <c r="A3716" s="187" t="s">
        <v>4092</v>
      </c>
      <c r="B3716" s="187" t="s">
        <v>4065</v>
      </c>
      <c r="C3716" s="197"/>
      <c r="D3716" s="449"/>
    </row>
    <row r="3717" spans="1:4" s="3" customFormat="1" ht="14.45">
      <c r="A3717" s="188"/>
      <c r="B3717" s="338" t="s">
        <v>1076</v>
      </c>
      <c r="C3717" s="18" t="s">
        <v>1077</v>
      </c>
      <c r="D3717" s="449"/>
    </row>
    <row r="3718" spans="1:4" s="2" customFormat="1" ht="13.9">
      <c r="A3718" s="341"/>
      <c r="B3718" s="187" t="s">
        <v>4085</v>
      </c>
      <c r="C3718" s="197"/>
      <c r="D3718" s="449"/>
    </row>
    <row r="3719" spans="1:4" s="2" customFormat="1" ht="13.9">
      <c r="A3719" s="187" t="s">
        <v>4093</v>
      </c>
      <c r="B3719" s="187" t="s">
        <v>4067</v>
      </c>
      <c r="C3719" s="197"/>
      <c r="D3719" s="449"/>
    </row>
    <row r="3720" spans="1:4" s="2" customFormat="1" ht="14.45">
      <c r="A3720" s="188"/>
      <c r="B3720" s="338" t="s">
        <v>1076</v>
      </c>
      <c r="C3720" s="18" t="s">
        <v>1077</v>
      </c>
      <c r="D3720" s="449"/>
    </row>
    <row r="3721" spans="1:4" s="2" customFormat="1" ht="13.9">
      <c r="A3721" s="341"/>
      <c r="B3721" s="187" t="s">
        <v>4085</v>
      </c>
      <c r="C3721" s="197"/>
      <c r="D3721" s="449"/>
    </row>
    <row r="3722" spans="1:4" s="2" customFormat="1" ht="13.9">
      <c r="A3722" s="187" t="s">
        <v>4094</v>
      </c>
      <c r="B3722" s="187" t="s">
        <v>4069</v>
      </c>
      <c r="C3722" s="197"/>
      <c r="D3722" s="449"/>
    </row>
    <row r="3723" spans="1:4" s="2" customFormat="1" ht="14.45">
      <c r="A3723" s="188"/>
      <c r="B3723" s="338" t="s">
        <v>1076</v>
      </c>
      <c r="C3723" s="18" t="s">
        <v>1077</v>
      </c>
      <c r="D3723" s="449"/>
    </row>
    <row r="3724" spans="1:4" s="2" customFormat="1" ht="13.9">
      <c r="A3724" s="341"/>
      <c r="B3724" s="187" t="s">
        <v>4085</v>
      </c>
      <c r="C3724" s="197"/>
      <c r="D3724" s="449"/>
    </row>
    <row r="3725" spans="1:4" s="2" customFormat="1" ht="13.9">
      <c r="A3725" s="187" t="s">
        <v>4095</v>
      </c>
      <c r="B3725" s="187" t="s">
        <v>4071</v>
      </c>
      <c r="C3725" s="197"/>
      <c r="D3725" s="449"/>
    </row>
    <row r="3726" spans="1:4" s="2" customFormat="1" ht="14.45">
      <c r="A3726" s="188"/>
      <c r="B3726" s="338" t="s">
        <v>1076</v>
      </c>
      <c r="C3726" s="18" t="s">
        <v>1077</v>
      </c>
      <c r="D3726" s="449"/>
    </row>
    <row r="3727" spans="1:4" s="2" customFormat="1" ht="13.9">
      <c r="A3727" s="341"/>
      <c r="B3727" s="187" t="s">
        <v>4085</v>
      </c>
      <c r="C3727" s="197"/>
      <c r="D3727" s="449"/>
    </row>
    <row r="3728" spans="1:4" s="2" customFormat="1" ht="13.9">
      <c r="A3728" s="187" t="s">
        <v>4096</v>
      </c>
      <c r="B3728" s="187" t="s">
        <v>4073</v>
      </c>
      <c r="C3728" s="197"/>
      <c r="D3728" s="449"/>
    </row>
    <row r="3729" spans="1:4" s="2" customFormat="1" ht="14.45">
      <c r="A3729" s="188"/>
      <c r="B3729" s="338" t="s">
        <v>1076</v>
      </c>
      <c r="C3729" s="18" t="s">
        <v>1077</v>
      </c>
      <c r="D3729" s="449"/>
    </row>
    <row r="3730" spans="1:4" s="2" customFormat="1" ht="12.75" customHeight="1">
      <c r="A3730" s="341"/>
      <c r="B3730" s="187" t="s">
        <v>4085</v>
      </c>
      <c r="C3730" s="197"/>
      <c r="D3730" s="449"/>
    </row>
    <row r="3731" spans="1:4" s="2" customFormat="1" ht="13.9">
      <c r="A3731" s="187" t="s">
        <v>4097</v>
      </c>
      <c r="B3731" s="187" t="s">
        <v>4075</v>
      </c>
      <c r="C3731" s="197"/>
      <c r="D3731" s="449"/>
    </row>
    <row r="3732" spans="1:4" s="2" customFormat="1" ht="14.45">
      <c r="A3732" s="188"/>
      <c r="B3732" s="338" t="s">
        <v>1076</v>
      </c>
      <c r="C3732" s="18" t="s">
        <v>1077</v>
      </c>
      <c r="D3732" s="449"/>
    </row>
    <row r="3733" spans="1:4" s="2" customFormat="1" ht="13.9">
      <c r="A3733" s="341"/>
      <c r="B3733" s="187" t="s">
        <v>4085</v>
      </c>
      <c r="C3733" s="197"/>
      <c r="D3733" s="449"/>
    </row>
    <row r="3734" spans="1:4" s="2" customFormat="1" ht="27" customHeight="1">
      <c r="A3734" s="187" t="s">
        <v>4098</v>
      </c>
      <c r="B3734" s="187" t="s">
        <v>4077</v>
      </c>
      <c r="C3734" s="197"/>
      <c r="D3734" s="449"/>
    </row>
    <row r="3735" spans="1:4" s="2" customFormat="1" ht="14.45">
      <c r="A3735" s="189"/>
      <c r="B3735" s="342" t="s">
        <v>1076</v>
      </c>
      <c r="C3735" s="109" t="s">
        <v>1077</v>
      </c>
      <c r="D3735" s="418"/>
    </row>
    <row r="3736" spans="1:4" s="2" customFormat="1">
      <c r="A3736" s="22" t="s">
        <v>4099</v>
      </c>
      <c r="B3736" s="50" t="s">
        <v>4100</v>
      </c>
      <c r="C3736" s="45" t="s">
        <v>959</v>
      </c>
      <c r="D3736" s="439"/>
    </row>
    <row r="3737" spans="1:4" s="2" customFormat="1">
      <c r="A3737" s="30" t="s">
        <v>4101</v>
      </c>
      <c r="B3737" s="31" t="s">
        <v>4102</v>
      </c>
      <c r="C3737" s="18"/>
      <c r="D3737" s="418"/>
    </row>
    <row r="3738" spans="1:4" s="2" customFormat="1" ht="12.75" customHeight="1">
      <c r="A3738" s="111" t="s">
        <v>959</v>
      </c>
      <c r="B3738" s="267" t="s">
        <v>4103</v>
      </c>
      <c r="C3738" s="18" t="s">
        <v>959</v>
      </c>
      <c r="D3738" s="418"/>
    </row>
    <row r="3739" spans="1:4" s="2" customFormat="1">
      <c r="A3739" s="111"/>
      <c r="B3739" s="267" t="s">
        <v>998</v>
      </c>
      <c r="C3739" s="18" t="s">
        <v>999</v>
      </c>
      <c r="D3739" s="418"/>
    </row>
    <row r="3740" spans="1:4" s="2" customFormat="1">
      <c r="A3740" s="30" t="s">
        <v>4104</v>
      </c>
      <c r="B3740" s="31" t="s">
        <v>4105</v>
      </c>
      <c r="C3740" s="18"/>
      <c r="D3740" s="418"/>
    </row>
    <row r="3741" spans="1:4" s="2" customFormat="1" ht="26.45">
      <c r="A3741" s="111" t="s">
        <v>959</v>
      </c>
      <c r="B3741" s="267" t="s">
        <v>4106</v>
      </c>
      <c r="C3741" s="18" t="s">
        <v>959</v>
      </c>
      <c r="D3741" s="418"/>
    </row>
    <row r="3742" spans="1:4" s="2" customFormat="1" ht="26.45">
      <c r="A3742" s="111" t="s">
        <v>959</v>
      </c>
      <c r="B3742" s="267" t="s">
        <v>4107</v>
      </c>
      <c r="C3742" s="18" t="s">
        <v>959</v>
      </c>
      <c r="D3742" s="418"/>
    </row>
    <row r="3743" spans="1:4" s="2" customFormat="1" ht="39.6">
      <c r="A3743" s="111" t="s">
        <v>959</v>
      </c>
      <c r="B3743" s="267" t="s">
        <v>4108</v>
      </c>
      <c r="C3743" s="18" t="s">
        <v>959</v>
      </c>
      <c r="D3743" s="418"/>
    </row>
    <row r="3744" spans="1:4" s="2" customFormat="1">
      <c r="A3744" s="111"/>
      <c r="B3744" s="267" t="s">
        <v>1028</v>
      </c>
      <c r="C3744" s="18" t="s">
        <v>1029</v>
      </c>
      <c r="D3744" s="418"/>
    </row>
    <row r="3745" spans="1:4" s="2" customFormat="1">
      <c r="A3745" s="30" t="s">
        <v>4109</v>
      </c>
      <c r="B3745" s="31" t="s">
        <v>4110</v>
      </c>
      <c r="C3745" s="18"/>
      <c r="D3745" s="418"/>
    </row>
    <row r="3746" spans="1:4" s="2" customFormat="1" ht="26.45">
      <c r="A3746" s="111" t="s">
        <v>959</v>
      </c>
      <c r="B3746" s="267" t="s">
        <v>4111</v>
      </c>
      <c r="C3746" s="18" t="s">
        <v>959</v>
      </c>
      <c r="D3746" s="418"/>
    </row>
    <row r="3747" spans="1:4" s="2" customFormat="1" ht="26.45">
      <c r="A3747" s="111" t="s">
        <v>959</v>
      </c>
      <c r="B3747" s="267" t="s">
        <v>4107</v>
      </c>
      <c r="C3747" s="18" t="s">
        <v>959</v>
      </c>
      <c r="D3747" s="418"/>
    </row>
    <row r="3748" spans="1:4" s="2" customFormat="1" ht="39.6">
      <c r="A3748" s="111" t="s">
        <v>959</v>
      </c>
      <c r="B3748" s="267" t="s">
        <v>4112</v>
      </c>
      <c r="C3748" s="18" t="s">
        <v>959</v>
      </c>
      <c r="D3748" s="418"/>
    </row>
    <row r="3749" spans="1:4" s="3" customFormat="1">
      <c r="A3749" s="111"/>
      <c r="B3749" s="267" t="s">
        <v>1028</v>
      </c>
      <c r="C3749" s="18" t="s">
        <v>1029</v>
      </c>
      <c r="D3749" s="418"/>
    </row>
    <row r="3750" spans="1:4" s="3" customFormat="1">
      <c r="A3750" s="22" t="s">
        <v>4113</v>
      </c>
      <c r="B3750" s="50" t="s">
        <v>4114</v>
      </c>
      <c r="C3750" s="45" t="s">
        <v>959</v>
      </c>
      <c r="D3750" s="439"/>
    </row>
    <row r="3751" spans="1:4" s="3" customFormat="1">
      <c r="A3751" s="115" t="s">
        <v>4115</v>
      </c>
      <c r="B3751" s="31" t="s">
        <v>4116</v>
      </c>
      <c r="C3751" s="18"/>
      <c r="D3751" s="418"/>
    </row>
    <row r="3752" spans="1:4" s="3" customFormat="1" ht="26.45">
      <c r="A3752" s="30"/>
      <c r="B3752" s="267" t="s">
        <v>4117</v>
      </c>
      <c r="C3752" s="18"/>
      <c r="D3752" s="418"/>
    </row>
    <row r="3753" spans="1:4" s="3" customFormat="1">
      <c r="A3753" s="30"/>
      <c r="B3753" s="267" t="s">
        <v>4118</v>
      </c>
      <c r="C3753" s="18"/>
      <c r="D3753" s="418"/>
    </row>
    <row r="3754" spans="1:4" s="3" customFormat="1">
      <c r="A3754" s="115"/>
      <c r="B3754" s="267" t="s">
        <v>1056</v>
      </c>
      <c r="C3754" s="18" t="s">
        <v>1057</v>
      </c>
      <c r="D3754" s="418"/>
    </row>
    <row r="3755" spans="1:4" s="2" customFormat="1">
      <c r="A3755" s="30" t="s">
        <v>4119</v>
      </c>
      <c r="B3755" s="31" t="s">
        <v>4120</v>
      </c>
      <c r="C3755" s="18"/>
      <c r="D3755" s="418"/>
    </row>
    <row r="3756" spans="1:4" s="2" customFormat="1" ht="53.25" customHeight="1">
      <c r="A3756" s="111" t="s">
        <v>959</v>
      </c>
      <c r="B3756" s="267" t="s">
        <v>4121</v>
      </c>
      <c r="C3756" s="18" t="s">
        <v>959</v>
      </c>
      <c r="D3756" s="418"/>
    </row>
    <row r="3757" spans="1:4" s="2" customFormat="1">
      <c r="A3757" s="111"/>
      <c r="B3757" s="267" t="s">
        <v>3889</v>
      </c>
      <c r="C3757" s="18" t="s">
        <v>3890</v>
      </c>
      <c r="D3757" s="418"/>
    </row>
    <row r="3758" spans="1:4" s="2" customFormat="1">
      <c r="A3758" s="30" t="s">
        <v>4122</v>
      </c>
      <c r="B3758" s="31" t="s">
        <v>4123</v>
      </c>
      <c r="C3758" s="18"/>
      <c r="D3758" s="418"/>
    </row>
    <row r="3759" spans="1:4" s="2" customFormat="1" ht="39.6">
      <c r="A3759" s="111" t="s">
        <v>959</v>
      </c>
      <c r="B3759" s="267" t="s">
        <v>4124</v>
      </c>
      <c r="C3759" s="18" t="s">
        <v>959</v>
      </c>
      <c r="D3759" s="418"/>
    </row>
    <row r="3760" spans="1:4" s="2" customFormat="1">
      <c r="A3760" s="111"/>
      <c r="B3760" s="267" t="s">
        <v>4125</v>
      </c>
      <c r="C3760" s="18" t="s">
        <v>4126</v>
      </c>
      <c r="D3760" s="418"/>
    </row>
    <row r="3761" spans="1:4" s="2" customFormat="1">
      <c r="A3761" s="30" t="s">
        <v>4127</v>
      </c>
      <c r="B3761" s="31" t="s">
        <v>4128</v>
      </c>
      <c r="C3761" s="18"/>
      <c r="D3761" s="418"/>
    </row>
    <row r="3762" spans="1:4" s="2" customFormat="1" ht="39.6">
      <c r="A3762" s="111" t="s">
        <v>959</v>
      </c>
      <c r="B3762" s="267" t="s">
        <v>4129</v>
      </c>
      <c r="C3762" s="18" t="s">
        <v>959</v>
      </c>
      <c r="D3762" s="418"/>
    </row>
    <row r="3763" spans="1:4" s="2" customFormat="1">
      <c r="A3763" s="111" t="s">
        <v>959</v>
      </c>
      <c r="B3763" s="267" t="s">
        <v>4130</v>
      </c>
      <c r="C3763" s="18" t="s">
        <v>959</v>
      </c>
      <c r="D3763" s="418"/>
    </row>
    <row r="3764" spans="1:4" s="2" customFormat="1" ht="13.9">
      <c r="A3764" s="55" t="s">
        <v>4131</v>
      </c>
      <c r="B3764" s="77" t="s">
        <v>4132</v>
      </c>
      <c r="C3764" s="18"/>
      <c r="D3764" s="418"/>
    </row>
    <row r="3765" spans="1:4" s="3" customFormat="1">
      <c r="A3765" s="286"/>
      <c r="B3765" s="267" t="s">
        <v>1028</v>
      </c>
      <c r="C3765" s="18" t="s">
        <v>1029</v>
      </c>
      <c r="D3765" s="418"/>
    </row>
    <row r="3766" spans="1:4" s="3" customFormat="1" ht="13.9">
      <c r="A3766" s="55" t="s">
        <v>4133</v>
      </c>
      <c r="B3766" s="77" t="s">
        <v>4134</v>
      </c>
      <c r="C3766" s="18"/>
      <c r="D3766" s="418"/>
    </row>
    <row r="3767" spans="1:4" s="3" customFormat="1">
      <c r="A3767" s="304"/>
      <c r="B3767" s="303" t="s">
        <v>1028</v>
      </c>
      <c r="C3767" s="109" t="s">
        <v>1029</v>
      </c>
      <c r="D3767" s="418"/>
    </row>
    <row r="3768" spans="1:4" s="3" customFormat="1" ht="27.6">
      <c r="A3768" s="13" t="s">
        <v>4135</v>
      </c>
      <c r="B3768" s="14" t="s">
        <v>4136</v>
      </c>
      <c r="C3768" s="15"/>
      <c r="D3768" s="254"/>
    </row>
    <row r="3769" spans="1:4" s="3" customFormat="1">
      <c r="A3769" s="22" t="s">
        <v>4137</v>
      </c>
      <c r="B3769" s="23" t="s">
        <v>4138</v>
      </c>
      <c r="C3769" s="24"/>
      <c r="D3769" s="255"/>
    </row>
    <row r="3770" spans="1:4" s="2" customFormat="1">
      <c r="A3770" s="115" t="s">
        <v>4139</v>
      </c>
      <c r="B3770" s="31" t="s">
        <v>4140</v>
      </c>
      <c r="C3770" s="18"/>
      <c r="D3770" s="418"/>
    </row>
    <row r="3771" spans="1:4" s="3" customFormat="1" ht="79.150000000000006">
      <c r="A3771" s="111" t="s">
        <v>959</v>
      </c>
      <c r="B3771" s="267" t="s">
        <v>4141</v>
      </c>
      <c r="C3771" s="18" t="s">
        <v>959</v>
      </c>
      <c r="D3771" s="418"/>
    </row>
    <row r="3772" spans="1:4" s="3" customFormat="1">
      <c r="A3772" s="55"/>
      <c r="B3772" s="267" t="s">
        <v>1428</v>
      </c>
      <c r="C3772" s="18" t="s">
        <v>1429</v>
      </c>
      <c r="D3772" s="418"/>
    </row>
    <row r="3773" spans="1:4" s="3" customFormat="1" ht="26.45">
      <c r="A3773" s="115" t="s">
        <v>4142</v>
      </c>
      <c r="B3773" s="31" t="s">
        <v>4143</v>
      </c>
      <c r="C3773" s="18"/>
      <c r="D3773" s="418"/>
    </row>
    <row r="3774" spans="1:4" s="3" customFormat="1">
      <c r="A3774" s="55"/>
      <c r="B3774" s="267" t="s">
        <v>1428</v>
      </c>
      <c r="C3774" s="18" t="s">
        <v>1429</v>
      </c>
      <c r="D3774" s="418"/>
    </row>
    <row r="3775" spans="1:4" s="2" customFormat="1">
      <c r="A3775" s="115" t="s">
        <v>4144</v>
      </c>
      <c r="B3775" s="31" t="s">
        <v>4145</v>
      </c>
      <c r="C3775" s="18"/>
      <c r="D3775" s="418"/>
    </row>
    <row r="3776" spans="1:4" s="3" customFormat="1" ht="39.6">
      <c r="A3776" s="115"/>
      <c r="B3776" s="267" t="s">
        <v>4146</v>
      </c>
      <c r="C3776" s="18"/>
      <c r="D3776" s="418"/>
    </row>
    <row r="3777" spans="1:4" s="3" customFormat="1">
      <c r="A3777" s="55"/>
      <c r="B3777" s="267" t="s">
        <v>1428</v>
      </c>
      <c r="C3777" s="18" t="s">
        <v>1429</v>
      </c>
      <c r="D3777" s="418"/>
    </row>
    <row r="3778" spans="1:4" s="3" customFormat="1">
      <c r="A3778" s="115" t="s">
        <v>4147</v>
      </c>
      <c r="B3778" s="31" t="s">
        <v>4148</v>
      </c>
      <c r="C3778" s="18"/>
      <c r="D3778" s="418"/>
    </row>
    <row r="3779" spans="1:4" s="2" customFormat="1">
      <c r="A3779" s="55"/>
      <c r="B3779" s="267" t="s">
        <v>1428</v>
      </c>
      <c r="C3779" s="18" t="s">
        <v>1429</v>
      </c>
      <c r="D3779" s="418"/>
    </row>
    <row r="3780" spans="1:4" s="2" customFormat="1">
      <c r="A3780" s="115" t="s">
        <v>4149</v>
      </c>
      <c r="B3780" s="31" t="s">
        <v>4150</v>
      </c>
      <c r="C3780" s="18"/>
      <c r="D3780" s="418"/>
    </row>
    <row r="3781" spans="1:4" s="2" customFormat="1" ht="39.6">
      <c r="A3781" s="115"/>
      <c r="B3781" s="267" t="s">
        <v>4151</v>
      </c>
      <c r="C3781" s="18"/>
      <c r="D3781" s="418"/>
    </row>
    <row r="3782" spans="1:4" s="2" customFormat="1">
      <c r="A3782" s="115"/>
      <c r="B3782" s="267" t="s">
        <v>4152</v>
      </c>
      <c r="C3782" s="18"/>
      <c r="D3782" s="418"/>
    </row>
    <row r="3783" spans="1:4" s="2" customFormat="1">
      <c r="A3783" s="55"/>
      <c r="B3783" s="267" t="s">
        <v>1231</v>
      </c>
      <c r="C3783" s="18" t="s">
        <v>1262</v>
      </c>
      <c r="D3783" s="418"/>
    </row>
    <row r="3784" spans="1:4" s="2" customFormat="1">
      <c r="A3784" s="115" t="s">
        <v>4153</v>
      </c>
      <c r="B3784" s="31" t="s">
        <v>4154</v>
      </c>
      <c r="C3784" s="18"/>
      <c r="D3784" s="418"/>
    </row>
    <row r="3785" spans="1:4" s="2" customFormat="1" ht="66">
      <c r="A3785" s="115"/>
      <c r="B3785" s="267" t="s">
        <v>4155</v>
      </c>
      <c r="C3785" s="18"/>
      <c r="D3785" s="418"/>
    </row>
    <row r="3786" spans="1:4" s="3" customFormat="1">
      <c r="A3786" s="115"/>
      <c r="B3786" s="282" t="s">
        <v>4156</v>
      </c>
      <c r="C3786" s="18"/>
      <c r="D3786" s="418"/>
    </row>
    <row r="3787" spans="1:4" s="3" customFormat="1">
      <c r="A3787" s="55"/>
      <c r="B3787" s="267" t="s">
        <v>1231</v>
      </c>
      <c r="C3787" s="18" t="s">
        <v>1262</v>
      </c>
      <c r="D3787" s="418"/>
    </row>
    <row r="3788" spans="1:4" s="3" customFormat="1">
      <c r="A3788" s="115" t="s">
        <v>4157</v>
      </c>
      <c r="B3788" s="31" t="s">
        <v>4158</v>
      </c>
      <c r="C3788" s="18"/>
      <c r="D3788" s="418"/>
    </row>
    <row r="3789" spans="1:4" s="3" customFormat="1" ht="52.9">
      <c r="A3789" s="115"/>
      <c r="B3789" s="267" t="s">
        <v>4159</v>
      </c>
      <c r="C3789" s="18"/>
      <c r="D3789" s="418"/>
    </row>
    <row r="3790" spans="1:4" s="3" customFormat="1">
      <c r="A3790" s="55"/>
      <c r="B3790" s="267" t="s">
        <v>1076</v>
      </c>
      <c r="C3790" s="18" t="s">
        <v>1077</v>
      </c>
      <c r="D3790" s="418"/>
    </row>
    <row r="3791" spans="1:4" s="3" customFormat="1" ht="26.45">
      <c r="A3791" s="22" t="s">
        <v>4160</v>
      </c>
      <c r="B3791" s="23" t="s">
        <v>4161</v>
      </c>
      <c r="C3791" s="24"/>
      <c r="D3791" s="255"/>
    </row>
    <row r="3792" spans="1:4" s="3" customFormat="1">
      <c r="A3792" s="115" t="s">
        <v>624</v>
      </c>
      <c r="B3792" s="31" t="s">
        <v>4162</v>
      </c>
      <c r="C3792" s="18"/>
      <c r="D3792" s="418"/>
    </row>
    <row r="3793" spans="1:4" s="3" customFormat="1" ht="52.9">
      <c r="A3793" s="111" t="s">
        <v>959</v>
      </c>
      <c r="B3793" s="267" t="s">
        <v>4163</v>
      </c>
      <c r="C3793" s="18" t="s">
        <v>959</v>
      </c>
      <c r="D3793" s="418"/>
    </row>
    <row r="3794" spans="1:4" s="2" customFormat="1">
      <c r="A3794" s="55" t="s">
        <v>4164</v>
      </c>
      <c r="B3794" s="77" t="s">
        <v>4165</v>
      </c>
      <c r="C3794" s="18"/>
      <c r="D3794" s="418"/>
    </row>
    <row r="3795" spans="1:4" s="2" customFormat="1">
      <c r="A3795" s="286"/>
      <c r="B3795" s="267" t="s">
        <v>1076</v>
      </c>
      <c r="C3795" s="18" t="s">
        <v>1077</v>
      </c>
      <c r="D3795" s="418"/>
    </row>
    <row r="3796" spans="1:4" s="2" customFormat="1">
      <c r="A3796" s="55" t="s">
        <v>4166</v>
      </c>
      <c r="B3796" s="77" t="s">
        <v>4167</v>
      </c>
      <c r="C3796" s="18"/>
      <c r="D3796" s="418"/>
    </row>
    <row r="3797" spans="1:4" s="2" customFormat="1">
      <c r="A3797" s="286"/>
      <c r="B3797" s="267" t="s">
        <v>1076</v>
      </c>
      <c r="C3797" s="18" t="s">
        <v>1077</v>
      </c>
      <c r="D3797" s="418"/>
    </row>
    <row r="3798" spans="1:4" s="2" customFormat="1">
      <c r="A3798" s="115" t="s">
        <v>625</v>
      </c>
      <c r="B3798" s="31" t="s">
        <v>4168</v>
      </c>
      <c r="C3798" s="18"/>
      <c r="D3798" s="418"/>
    </row>
    <row r="3799" spans="1:4" s="2" customFormat="1" ht="52.9">
      <c r="A3799" s="111" t="s">
        <v>959</v>
      </c>
      <c r="B3799" s="267" t="s">
        <v>4169</v>
      </c>
      <c r="C3799" s="18" t="s">
        <v>959</v>
      </c>
      <c r="D3799" s="418"/>
    </row>
    <row r="3800" spans="1:4" s="2" customFormat="1" ht="15">
      <c r="A3800" s="55" t="s">
        <v>4170</v>
      </c>
      <c r="B3800" s="77" t="s">
        <v>4171</v>
      </c>
      <c r="C3800" s="18"/>
      <c r="D3800" s="418"/>
    </row>
    <row r="3801" spans="1:4" s="2" customFormat="1">
      <c r="A3801" s="286"/>
      <c r="B3801" s="267" t="s">
        <v>1028</v>
      </c>
      <c r="C3801" s="18" t="s">
        <v>1029</v>
      </c>
      <c r="D3801" s="418"/>
    </row>
    <row r="3802" spans="1:4" s="6" customFormat="1" ht="15">
      <c r="A3802" s="55" t="s">
        <v>4172</v>
      </c>
      <c r="B3802" s="77" t="s">
        <v>4173</v>
      </c>
      <c r="C3802" s="18"/>
      <c r="D3802" s="418"/>
    </row>
    <row r="3803" spans="1:4" s="6" customFormat="1">
      <c r="A3803" s="286"/>
      <c r="B3803" s="267" t="s">
        <v>1028</v>
      </c>
      <c r="C3803" s="18" t="s">
        <v>1029</v>
      </c>
      <c r="D3803" s="418"/>
    </row>
    <row r="3804" spans="1:4" s="6" customFormat="1" ht="15">
      <c r="A3804" s="55" t="s">
        <v>4174</v>
      </c>
      <c r="B3804" s="77" t="s">
        <v>4175</v>
      </c>
      <c r="C3804" s="18"/>
      <c r="D3804" s="418"/>
    </row>
    <row r="3805" spans="1:4" s="6" customFormat="1">
      <c r="A3805" s="286"/>
      <c r="B3805" s="267" t="s">
        <v>1028</v>
      </c>
      <c r="C3805" s="18" t="s">
        <v>1029</v>
      </c>
      <c r="D3805" s="418"/>
    </row>
    <row r="3806" spans="1:4" s="6" customFormat="1">
      <c r="A3806" s="115" t="s">
        <v>626</v>
      </c>
      <c r="B3806" s="31" t="s">
        <v>4176</v>
      </c>
      <c r="C3806" s="18"/>
      <c r="D3806" s="418"/>
    </row>
    <row r="3807" spans="1:4" s="6" customFormat="1" ht="26.45">
      <c r="A3807" s="111" t="s">
        <v>959</v>
      </c>
      <c r="B3807" s="267" t="s">
        <v>4177</v>
      </c>
      <c r="C3807" s="18" t="s">
        <v>959</v>
      </c>
      <c r="D3807" s="418"/>
    </row>
    <row r="3808" spans="1:4" s="2" customFormat="1" ht="39.6">
      <c r="A3808" s="111"/>
      <c r="B3808" s="267" t="s">
        <v>4178</v>
      </c>
      <c r="C3808" s="18"/>
      <c r="D3808" s="418"/>
    </row>
    <row r="3809" spans="1:4" s="2" customFormat="1" ht="26.45">
      <c r="A3809" s="111"/>
      <c r="B3809" s="267" t="s">
        <v>4179</v>
      </c>
      <c r="C3809" s="18"/>
      <c r="D3809" s="418"/>
    </row>
    <row r="3810" spans="1:4" s="2" customFormat="1">
      <c r="A3810" s="55" t="s">
        <v>4180</v>
      </c>
      <c r="B3810" s="77" t="s">
        <v>4181</v>
      </c>
      <c r="C3810" s="18"/>
      <c r="D3810" s="418"/>
    </row>
    <row r="3811" spans="1:4" s="2" customFormat="1">
      <c r="A3811" s="286"/>
      <c r="B3811" s="267" t="s">
        <v>1076</v>
      </c>
      <c r="C3811" s="18" t="s">
        <v>1077</v>
      </c>
      <c r="D3811" s="418"/>
    </row>
    <row r="3812" spans="1:4" s="2" customFormat="1">
      <c r="A3812" s="55" t="s">
        <v>4182</v>
      </c>
      <c r="B3812" s="77" t="s">
        <v>4183</v>
      </c>
      <c r="C3812" s="18"/>
      <c r="D3812" s="418"/>
    </row>
    <row r="3813" spans="1:4" s="2" customFormat="1">
      <c r="A3813" s="286"/>
      <c r="B3813" s="267" t="s">
        <v>1076</v>
      </c>
      <c r="C3813" s="18" t="s">
        <v>1077</v>
      </c>
      <c r="D3813" s="418"/>
    </row>
    <row r="3814" spans="1:4" s="2" customFormat="1">
      <c r="A3814" s="115" t="s">
        <v>627</v>
      </c>
      <c r="B3814" s="31" t="s">
        <v>4184</v>
      </c>
      <c r="C3814" s="18"/>
      <c r="D3814" s="418"/>
    </row>
    <row r="3815" spans="1:4" s="2" customFormat="1" ht="52.9">
      <c r="A3815" s="111" t="s">
        <v>959</v>
      </c>
      <c r="B3815" s="267" t="s">
        <v>4185</v>
      </c>
      <c r="C3815" s="18" t="s">
        <v>959</v>
      </c>
      <c r="D3815" s="418"/>
    </row>
    <row r="3816" spans="1:4" s="2" customFormat="1">
      <c r="A3816" s="286"/>
      <c r="B3816" s="267" t="s">
        <v>1076</v>
      </c>
      <c r="C3816" s="18" t="s">
        <v>1077</v>
      </c>
      <c r="D3816" s="418"/>
    </row>
    <row r="3817" spans="1:4" s="2" customFormat="1">
      <c r="A3817" s="22" t="s">
        <v>4186</v>
      </c>
      <c r="B3817" s="23" t="s">
        <v>4187</v>
      </c>
      <c r="C3817" s="24"/>
      <c r="D3817" s="255"/>
    </row>
    <row r="3818" spans="1:4" s="2" customFormat="1">
      <c r="A3818" s="115" t="s">
        <v>629</v>
      </c>
      <c r="B3818" s="31" t="s">
        <v>4188</v>
      </c>
      <c r="C3818" s="18"/>
      <c r="D3818" s="418"/>
    </row>
    <row r="3819" spans="1:4" s="2" customFormat="1">
      <c r="A3819" s="111" t="s">
        <v>959</v>
      </c>
      <c r="B3819" s="267" t="s">
        <v>4189</v>
      </c>
      <c r="C3819" s="18" t="s">
        <v>959</v>
      </c>
      <c r="D3819" s="418"/>
    </row>
    <row r="3820" spans="1:4" s="2" customFormat="1">
      <c r="A3820" s="111"/>
      <c r="B3820" s="267" t="s">
        <v>4190</v>
      </c>
      <c r="C3820" s="18"/>
      <c r="D3820" s="418"/>
    </row>
    <row r="3821" spans="1:4" s="2" customFormat="1" ht="26.45">
      <c r="A3821" s="111"/>
      <c r="B3821" s="267" t="s">
        <v>4191</v>
      </c>
      <c r="C3821" s="18"/>
      <c r="D3821" s="418"/>
    </row>
    <row r="3822" spans="1:4" s="2" customFormat="1" ht="26.45">
      <c r="A3822" s="111"/>
      <c r="B3822" s="267" t="s">
        <v>4192</v>
      </c>
      <c r="C3822" s="18"/>
      <c r="D3822" s="418"/>
    </row>
    <row r="3823" spans="1:4" s="3" customFormat="1">
      <c r="A3823" s="286"/>
      <c r="B3823" s="267" t="s">
        <v>1231</v>
      </c>
      <c r="C3823" s="18" t="s">
        <v>1262</v>
      </c>
      <c r="D3823" s="418"/>
    </row>
    <row r="3824" spans="1:4" s="3" customFormat="1">
      <c r="A3824" s="115" t="s">
        <v>630</v>
      </c>
      <c r="B3824" s="31" t="s">
        <v>4193</v>
      </c>
      <c r="C3824" s="18"/>
      <c r="D3824" s="418"/>
    </row>
    <row r="3825" spans="1:4" s="3" customFormat="1">
      <c r="A3825" s="111" t="s">
        <v>959</v>
      </c>
      <c r="B3825" s="267" t="s">
        <v>4194</v>
      </c>
      <c r="C3825" s="18" t="s">
        <v>959</v>
      </c>
      <c r="D3825" s="418"/>
    </row>
    <row r="3826" spans="1:4" s="3" customFormat="1">
      <c r="A3826" s="286"/>
      <c r="B3826" s="267" t="s">
        <v>1231</v>
      </c>
      <c r="C3826" s="18" t="s">
        <v>1262</v>
      </c>
      <c r="D3826" s="418"/>
    </row>
    <row r="3827" spans="1:4" s="3" customFormat="1">
      <c r="A3827" s="115" t="s">
        <v>631</v>
      </c>
      <c r="B3827" s="31" t="s">
        <v>4195</v>
      </c>
      <c r="C3827" s="18"/>
      <c r="D3827" s="418"/>
    </row>
    <row r="3828" spans="1:4" s="3" customFormat="1" ht="26.45">
      <c r="A3828" s="111" t="s">
        <v>959</v>
      </c>
      <c r="B3828" s="267" t="s">
        <v>4196</v>
      </c>
      <c r="C3828" s="18" t="s">
        <v>959</v>
      </c>
      <c r="D3828" s="418"/>
    </row>
    <row r="3829" spans="1:4" s="2" customFormat="1">
      <c r="A3829" s="111"/>
      <c r="B3829" s="267" t="s">
        <v>4197</v>
      </c>
      <c r="C3829" s="18"/>
      <c r="D3829" s="418"/>
    </row>
    <row r="3830" spans="1:4" s="2" customFormat="1">
      <c r="A3830" s="286"/>
      <c r="B3830" s="267" t="s">
        <v>4198</v>
      </c>
      <c r="C3830" s="18" t="s">
        <v>4199</v>
      </c>
      <c r="D3830" s="418"/>
    </row>
    <row r="3831" spans="1:4" s="2" customFormat="1">
      <c r="A3831" s="22" t="s">
        <v>4200</v>
      </c>
      <c r="B3831" s="23" t="s">
        <v>4201</v>
      </c>
      <c r="C3831" s="24"/>
      <c r="D3831" s="255"/>
    </row>
    <row r="3832" spans="1:4" s="2" customFormat="1">
      <c r="A3832" s="115" t="s">
        <v>635</v>
      </c>
      <c r="B3832" s="31" t="s">
        <v>4202</v>
      </c>
      <c r="C3832" s="115"/>
      <c r="D3832" s="450"/>
    </row>
    <row r="3833" spans="1:4" s="2" customFormat="1">
      <c r="A3833" s="55" t="s">
        <v>4203</v>
      </c>
      <c r="B3833" s="77" t="s">
        <v>4204</v>
      </c>
      <c r="C3833" s="18"/>
      <c r="D3833" s="418"/>
    </row>
    <row r="3834" spans="1:4" s="2" customFormat="1" ht="105.6">
      <c r="A3834" s="115"/>
      <c r="B3834" s="267" t="s">
        <v>4205</v>
      </c>
      <c r="C3834" s="18"/>
      <c r="D3834" s="418"/>
    </row>
    <row r="3835" spans="1:4" s="3" customFormat="1">
      <c r="A3835" s="55" t="s">
        <v>4206</v>
      </c>
      <c r="B3835" s="77" t="s">
        <v>4207</v>
      </c>
      <c r="C3835" s="18"/>
      <c r="D3835" s="418"/>
    </row>
    <row r="3836" spans="1:4" s="3" customFormat="1">
      <c r="A3836" s="286"/>
      <c r="B3836" s="267" t="s">
        <v>998</v>
      </c>
      <c r="C3836" s="18" t="s">
        <v>999</v>
      </c>
      <c r="D3836" s="418"/>
    </row>
    <row r="3837" spans="1:4" s="3" customFormat="1">
      <c r="A3837" s="55" t="s">
        <v>4208</v>
      </c>
      <c r="B3837" s="77" t="s">
        <v>4209</v>
      </c>
      <c r="C3837" s="18"/>
      <c r="D3837" s="418"/>
    </row>
    <row r="3838" spans="1:4" s="3" customFormat="1">
      <c r="A3838" s="286"/>
      <c r="B3838" s="267" t="s">
        <v>998</v>
      </c>
      <c r="C3838" s="18" t="s">
        <v>999</v>
      </c>
      <c r="D3838" s="418"/>
    </row>
    <row r="3839" spans="1:4" s="3" customFormat="1">
      <c r="A3839" s="55" t="s">
        <v>4210</v>
      </c>
      <c r="B3839" s="77" t="s">
        <v>4211</v>
      </c>
      <c r="C3839" s="18"/>
      <c r="D3839" s="418"/>
    </row>
    <row r="3840" spans="1:4" s="3" customFormat="1" ht="66">
      <c r="A3840" s="115"/>
      <c r="B3840" s="267" t="s">
        <v>4212</v>
      </c>
      <c r="C3840" s="18"/>
      <c r="D3840" s="418"/>
    </row>
    <row r="3841" spans="1:4" s="3" customFormat="1">
      <c r="A3841" s="55" t="s">
        <v>4213</v>
      </c>
      <c r="B3841" s="77" t="s">
        <v>4207</v>
      </c>
      <c r="C3841" s="18"/>
      <c r="D3841" s="418"/>
    </row>
    <row r="3842" spans="1:4" s="3" customFormat="1">
      <c r="A3842" s="286"/>
      <c r="B3842" s="267" t="s">
        <v>1076</v>
      </c>
      <c r="C3842" s="18" t="s">
        <v>1077</v>
      </c>
      <c r="D3842" s="418"/>
    </row>
    <row r="3843" spans="1:4" s="3" customFormat="1">
      <c r="A3843" s="55" t="s">
        <v>4214</v>
      </c>
      <c r="B3843" s="77" t="s">
        <v>4215</v>
      </c>
      <c r="C3843" s="18"/>
      <c r="D3843" s="418"/>
    </row>
    <row r="3844" spans="1:4" s="3" customFormat="1">
      <c r="A3844" s="286"/>
      <c r="B3844" s="267" t="s">
        <v>1076</v>
      </c>
      <c r="C3844" s="18" t="s">
        <v>1077</v>
      </c>
      <c r="D3844" s="418"/>
    </row>
    <row r="3845" spans="1:4" s="3" customFormat="1">
      <c r="A3845" s="55" t="s">
        <v>4216</v>
      </c>
      <c r="B3845" s="77" t="s">
        <v>4217</v>
      </c>
      <c r="C3845" s="18"/>
      <c r="D3845" s="418"/>
    </row>
    <row r="3846" spans="1:4" s="3" customFormat="1">
      <c r="A3846" s="115"/>
      <c r="B3846" s="267" t="s">
        <v>1076</v>
      </c>
      <c r="C3846" s="18" t="s">
        <v>1077</v>
      </c>
      <c r="D3846" s="418"/>
    </row>
    <row r="3847" spans="1:4" s="3" customFormat="1" ht="26.45">
      <c r="A3847" s="55" t="s">
        <v>4218</v>
      </c>
      <c r="B3847" s="77" t="s">
        <v>4219</v>
      </c>
      <c r="C3847" s="18"/>
      <c r="D3847" s="418"/>
    </row>
    <row r="3848" spans="1:4" s="3" customFormat="1" ht="52.9">
      <c r="A3848" s="115"/>
      <c r="B3848" s="267" t="s">
        <v>4220</v>
      </c>
      <c r="C3848" s="18"/>
      <c r="D3848" s="418"/>
    </row>
    <row r="3849" spans="1:4" s="3" customFormat="1" ht="198">
      <c r="A3849" s="115"/>
      <c r="B3849" s="267" t="s">
        <v>4221</v>
      </c>
      <c r="C3849" s="18"/>
      <c r="D3849" s="418"/>
    </row>
    <row r="3850" spans="1:4" s="3" customFormat="1" ht="26.45">
      <c r="A3850" s="115"/>
      <c r="B3850" s="267" t="s">
        <v>4222</v>
      </c>
      <c r="C3850" s="18"/>
      <c r="D3850" s="418"/>
    </row>
    <row r="3851" spans="1:4" s="3" customFormat="1" ht="26.45">
      <c r="A3851" s="115"/>
      <c r="B3851" s="267" t="s">
        <v>4223</v>
      </c>
      <c r="C3851" s="18"/>
      <c r="D3851" s="418"/>
    </row>
    <row r="3852" spans="1:4" s="3" customFormat="1" ht="39.6">
      <c r="A3852" s="115"/>
      <c r="B3852" s="267" t="s">
        <v>4224</v>
      </c>
      <c r="C3852" s="18"/>
      <c r="D3852" s="418"/>
    </row>
    <row r="3853" spans="1:4" s="3" customFormat="1">
      <c r="A3853" s="115"/>
      <c r="B3853" s="267" t="s">
        <v>4225</v>
      </c>
      <c r="C3853" s="18"/>
      <c r="D3853" s="418"/>
    </row>
    <row r="3854" spans="1:4" s="3" customFormat="1">
      <c r="A3854" s="115"/>
      <c r="B3854" s="267" t="s">
        <v>4226</v>
      </c>
      <c r="C3854" s="18"/>
      <c r="D3854" s="418"/>
    </row>
    <row r="3855" spans="1:4" s="3" customFormat="1">
      <c r="A3855" s="55" t="s">
        <v>4227</v>
      </c>
      <c r="B3855" s="77" t="s">
        <v>4228</v>
      </c>
      <c r="C3855" s="18"/>
      <c r="D3855" s="418"/>
    </row>
    <row r="3856" spans="1:4" s="3" customFormat="1">
      <c r="A3856" s="286"/>
      <c r="B3856" s="267" t="s">
        <v>1028</v>
      </c>
      <c r="C3856" s="18" t="s">
        <v>1029</v>
      </c>
      <c r="D3856" s="418"/>
    </row>
    <row r="3857" spans="1:4" s="3" customFormat="1">
      <c r="A3857" s="55" t="s">
        <v>4229</v>
      </c>
      <c r="B3857" s="77" t="s">
        <v>4230</v>
      </c>
      <c r="C3857" s="18"/>
      <c r="D3857" s="418"/>
    </row>
    <row r="3858" spans="1:4" s="3" customFormat="1">
      <c r="A3858" s="286"/>
      <c r="B3858" s="267" t="s">
        <v>1028</v>
      </c>
      <c r="C3858" s="18" t="s">
        <v>1029</v>
      </c>
      <c r="D3858" s="418"/>
    </row>
    <row r="3859" spans="1:4" s="3" customFormat="1">
      <c r="A3859" s="55" t="s">
        <v>4231</v>
      </c>
      <c r="B3859" s="77" t="s">
        <v>4232</v>
      </c>
      <c r="C3859" s="18"/>
      <c r="D3859" s="418"/>
    </row>
    <row r="3860" spans="1:4" s="3" customFormat="1">
      <c r="A3860" s="55" t="s">
        <v>4233</v>
      </c>
      <c r="B3860" s="77" t="s">
        <v>4234</v>
      </c>
      <c r="C3860" s="18"/>
      <c r="D3860" s="418"/>
    </row>
    <row r="3861" spans="1:4" s="3" customFormat="1">
      <c r="A3861" s="286"/>
      <c r="B3861" s="267" t="s">
        <v>1028</v>
      </c>
      <c r="C3861" s="18" t="s">
        <v>1029</v>
      </c>
      <c r="D3861" s="418"/>
    </row>
    <row r="3862" spans="1:4" s="73" customFormat="1">
      <c r="A3862" s="55" t="s">
        <v>4235</v>
      </c>
      <c r="B3862" s="77" t="s">
        <v>4236</v>
      </c>
      <c r="C3862" s="18"/>
      <c r="D3862" s="418"/>
    </row>
    <row r="3863" spans="1:4" s="73" customFormat="1">
      <c r="A3863" s="286"/>
      <c r="B3863" s="267" t="s">
        <v>1028</v>
      </c>
      <c r="C3863" s="18" t="s">
        <v>1029</v>
      </c>
      <c r="D3863" s="418"/>
    </row>
    <row r="3864" spans="1:4" s="73" customFormat="1">
      <c r="A3864" s="55" t="s">
        <v>4237</v>
      </c>
      <c r="B3864" s="77" t="s">
        <v>4238</v>
      </c>
      <c r="C3864" s="18"/>
      <c r="D3864" s="418"/>
    </row>
    <row r="3865" spans="1:4" s="73" customFormat="1">
      <c r="A3865" s="286"/>
      <c r="B3865" s="267" t="s">
        <v>1028</v>
      </c>
      <c r="C3865" s="18" t="s">
        <v>1029</v>
      </c>
      <c r="D3865" s="418"/>
    </row>
    <row r="3866" spans="1:4" s="73" customFormat="1">
      <c r="A3866" s="55" t="s">
        <v>4239</v>
      </c>
      <c r="B3866" s="77" t="s">
        <v>4240</v>
      </c>
      <c r="C3866" s="18"/>
      <c r="D3866" s="418"/>
    </row>
    <row r="3867" spans="1:4" s="2" customFormat="1" ht="26.45">
      <c r="A3867" s="115"/>
      <c r="B3867" s="267" t="s">
        <v>4241</v>
      </c>
      <c r="C3867" s="18"/>
      <c r="D3867" s="418"/>
    </row>
    <row r="3868" spans="1:4" s="2" customFormat="1">
      <c r="A3868" s="115"/>
      <c r="B3868" s="267" t="s">
        <v>4242</v>
      </c>
      <c r="C3868" s="18"/>
      <c r="D3868" s="418"/>
    </row>
    <row r="3869" spans="1:4" s="2" customFormat="1" ht="39.6">
      <c r="A3869" s="115"/>
      <c r="B3869" s="267" t="s">
        <v>4243</v>
      </c>
      <c r="C3869" s="18"/>
      <c r="D3869" s="418"/>
    </row>
    <row r="3870" spans="1:4" s="2" customFormat="1">
      <c r="A3870" s="286"/>
      <c r="B3870" s="267" t="s">
        <v>1028</v>
      </c>
      <c r="C3870" s="18" t="s">
        <v>1029</v>
      </c>
      <c r="D3870" s="418"/>
    </row>
    <row r="3871" spans="1:4" s="2" customFormat="1">
      <c r="A3871" s="55" t="s">
        <v>4244</v>
      </c>
      <c r="B3871" s="77" t="s">
        <v>4245</v>
      </c>
      <c r="C3871" s="18"/>
      <c r="D3871" s="418"/>
    </row>
    <row r="3872" spans="1:4" s="2" customFormat="1" ht="26.45">
      <c r="A3872" s="115"/>
      <c r="B3872" s="267" t="s">
        <v>4246</v>
      </c>
      <c r="C3872" s="18"/>
      <c r="D3872" s="418"/>
    </row>
    <row r="3873" spans="1:4" s="3" customFormat="1" ht="26.45">
      <c r="A3873" s="115"/>
      <c r="B3873" s="267" t="s">
        <v>4247</v>
      </c>
      <c r="C3873" s="18"/>
      <c r="D3873" s="418"/>
    </row>
    <row r="3874" spans="1:4" s="3" customFormat="1" ht="39.6">
      <c r="A3874" s="115"/>
      <c r="B3874" s="267" t="s">
        <v>4248</v>
      </c>
      <c r="C3874" s="18"/>
      <c r="D3874" s="418"/>
    </row>
    <row r="3875" spans="1:4" s="3" customFormat="1">
      <c r="A3875" s="286"/>
      <c r="B3875" s="267" t="s">
        <v>1028</v>
      </c>
      <c r="C3875" s="18" t="s">
        <v>1029</v>
      </c>
      <c r="D3875" s="418"/>
    </row>
    <row r="3876" spans="1:4" s="3" customFormat="1">
      <c r="A3876" s="55" t="s">
        <v>4249</v>
      </c>
      <c r="B3876" s="77" t="s">
        <v>4250</v>
      </c>
      <c r="C3876" s="18"/>
      <c r="D3876" s="418"/>
    </row>
    <row r="3877" spans="1:4" s="3" customFormat="1" ht="26.45">
      <c r="A3877" s="115"/>
      <c r="B3877" s="267" t="s">
        <v>4251</v>
      </c>
      <c r="C3877" s="18"/>
      <c r="D3877" s="418"/>
    </row>
    <row r="3878" spans="1:4" s="3" customFormat="1">
      <c r="A3878" s="286"/>
      <c r="B3878" s="267" t="s">
        <v>1028</v>
      </c>
      <c r="C3878" s="18" t="s">
        <v>1029</v>
      </c>
      <c r="D3878" s="418"/>
    </row>
    <row r="3879" spans="1:4" s="3" customFormat="1">
      <c r="A3879" s="115" t="s">
        <v>4252</v>
      </c>
      <c r="B3879" s="31" t="s">
        <v>4253</v>
      </c>
      <c r="C3879" s="115"/>
      <c r="D3879" s="418"/>
    </row>
    <row r="3880" spans="1:4" s="3" customFormat="1">
      <c r="A3880" s="132" t="s">
        <v>636</v>
      </c>
      <c r="B3880" s="77" t="s">
        <v>4254</v>
      </c>
      <c r="C3880" s="18"/>
      <c r="D3880" s="418"/>
    </row>
    <row r="3881" spans="1:4" s="3" customFormat="1" ht="92.45">
      <c r="A3881" s="115"/>
      <c r="B3881" s="267" t="s">
        <v>4255</v>
      </c>
      <c r="C3881" s="18"/>
      <c r="D3881" s="418"/>
    </row>
    <row r="3882" spans="1:4" s="3" customFormat="1">
      <c r="A3882" s="286"/>
      <c r="B3882" s="267" t="s">
        <v>998</v>
      </c>
      <c r="C3882" s="18" t="s">
        <v>999</v>
      </c>
      <c r="D3882" s="418"/>
    </row>
    <row r="3883" spans="1:4" s="3" customFormat="1">
      <c r="A3883" s="132" t="s">
        <v>637</v>
      </c>
      <c r="B3883" s="77" t="s">
        <v>4256</v>
      </c>
      <c r="C3883" s="18"/>
      <c r="D3883" s="418"/>
    </row>
    <row r="3884" spans="1:4" s="3" customFormat="1" ht="26.45">
      <c r="A3884" s="115"/>
      <c r="B3884" s="267" t="s">
        <v>4257</v>
      </c>
      <c r="C3884" s="18"/>
      <c r="D3884" s="418"/>
    </row>
    <row r="3885" spans="1:4" s="2" customFormat="1">
      <c r="A3885" s="115"/>
      <c r="B3885" s="267" t="s">
        <v>1028</v>
      </c>
      <c r="C3885" s="18" t="s">
        <v>1029</v>
      </c>
      <c r="D3885" s="418"/>
    </row>
    <row r="3886" spans="1:4" s="2" customFormat="1">
      <c r="A3886" s="132" t="s">
        <v>638</v>
      </c>
      <c r="B3886" s="77" t="s">
        <v>4258</v>
      </c>
      <c r="C3886" s="18"/>
      <c r="D3886" s="418"/>
    </row>
    <row r="3887" spans="1:4" s="3" customFormat="1" ht="26.45">
      <c r="A3887" s="115"/>
      <c r="B3887" s="267" t="s">
        <v>4259</v>
      </c>
      <c r="C3887" s="18"/>
      <c r="D3887" s="418"/>
    </row>
    <row r="3888" spans="1:4" s="3" customFormat="1">
      <c r="A3888" s="115"/>
      <c r="B3888" s="267" t="s">
        <v>4260</v>
      </c>
      <c r="C3888" s="18" t="s">
        <v>4261</v>
      </c>
      <c r="D3888" s="418"/>
    </row>
    <row r="3889" spans="1:4" s="3" customFormat="1">
      <c r="A3889" s="132" t="s">
        <v>639</v>
      </c>
      <c r="B3889" s="77" t="s">
        <v>4262</v>
      </c>
      <c r="C3889" s="18"/>
      <c r="D3889" s="418"/>
    </row>
    <row r="3890" spans="1:4" s="3" customFormat="1" ht="26.45">
      <c r="A3890" s="115"/>
      <c r="B3890" s="267" t="s">
        <v>4263</v>
      </c>
      <c r="C3890" s="18"/>
      <c r="D3890" s="418"/>
    </row>
    <row r="3891" spans="1:4" s="3" customFormat="1">
      <c r="A3891" s="115"/>
      <c r="B3891" s="267" t="s">
        <v>4260</v>
      </c>
      <c r="C3891" s="18" t="s">
        <v>4261</v>
      </c>
      <c r="D3891" s="418"/>
    </row>
    <row r="3892" spans="1:4" s="3" customFormat="1">
      <c r="A3892" s="132" t="s">
        <v>640</v>
      </c>
      <c r="B3892" s="77" t="s">
        <v>4264</v>
      </c>
      <c r="C3892" s="18"/>
      <c r="D3892" s="418"/>
    </row>
    <row r="3893" spans="1:4" s="3" customFormat="1" ht="39.6">
      <c r="A3893" s="115"/>
      <c r="B3893" s="267" t="s">
        <v>4265</v>
      </c>
      <c r="C3893" s="18"/>
      <c r="D3893" s="418"/>
    </row>
    <row r="3894" spans="1:4" s="3" customFormat="1">
      <c r="A3894" s="115"/>
      <c r="B3894" s="267" t="s">
        <v>1076</v>
      </c>
      <c r="C3894" s="18" t="s">
        <v>1077</v>
      </c>
      <c r="D3894" s="418"/>
    </row>
    <row r="3895" spans="1:4" s="3" customFormat="1">
      <c r="A3895" s="132" t="s">
        <v>4266</v>
      </c>
      <c r="B3895" s="77" t="s">
        <v>4267</v>
      </c>
      <c r="C3895" s="18"/>
      <c r="D3895" s="418"/>
    </row>
    <row r="3896" spans="1:4" s="3" customFormat="1" ht="39.6">
      <c r="A3896" s="115"/>
      <c r="B3896" s="267" t="s">
        <v>4268</v>
      </c>
      <c r="C3896" s="18"/>
      <c r="D3896" s="418"/>
    </row>
    <row r="3897" spans="1:4" s="3" customFormat="1">
      <c r="A3897" s="115"/>
      <c r="B3897" s="267" t="s">
        <v>1028</v>
      </c>
      <c r="C3897" s="18" t="s">
        <v>1029</v>
      </c>
      <c r="D3897" s="418"/>
    </row>
    <row r="3898" spans="1:4" s="3" customFormat="1">
      <c r="A3898" s="132" t="s">
        <v>4269</v>
      </c>
      <c r="B3898" s="77" t="s">
        <v>4270</v>
      </c>
      <c r="C3898" s="18"/>
      <c r="D3898" s="418"/>
    </row>
    <row r="3899" spans="1:4" s="3" customFormat="1" ht="66">
      <c r="A3899" s="115"/>
      <c r="B3899" s="267" t="s">
        <v>4271</v>
      </c>
      <c r="C3899" s="18"/>
      <c r="D3899" s="418"/>
    </row>
    <row r="3900" spans="1:4" s="3" customFormat="1">
      <c r="A3900" s="115"/>
      <c r="B3900" s="267" t="s">
        <v>4272</v>
      </c>
      <c r="C3900" s="18"/>
      <c r="D3900" s="418"/>
    </row>
    <row r="3901" spans="1:4" s="2" customFormat="1" ht="105.6">
      <c r="A3901" s="115"/>
      <c r="B3901" s="267" t="s">
        <v>4273</v>
      </c>
      <c r="C3901" s="18"/>
      <c r="D3901" s="418"/>
    </row>
    <row r="3902" spans="1:4" s="2" customFormat="1" ht="26.45">
      <c r="A3902" s="115"/>
      <c r="B3902" s="267" t="s">
        <v>4274</v>
      </c>
      <c r="C3902" s="18"/>
      <c r="D3902" s="418"/>
    </row>
    <row r="3903" spans="1:4" s="3" customFormat="1" ht="26.45">
      <c r="A3903" s="115"/>
      <c r="B3903" s="267" t="s">
        <v>4275</v>
      </c>
      <c r="C3903" s="18"/>
      <c r="D3903" s="418"/>
    </row>
    <row r="3904" spans="1:4" s="3" customFormat="1">
      <c r="A3904" s="55" t="s">
        <v>4276</v>
      </c>
      <c r="B3904" s="77" t="s">
        <v>4277</v>
      </c>
      <c r="C3904" s="18"/>
      <c r="D3904" s="418"/>
    </row>
    <row r="3905" spans="1:4" s="3" customFormat="1">
      <c r="A3905" s="286"/>
      <c r="B3905" s="267" t="s">
        <v>1428</v>
      </c>
      <c r="C3905" s="18" t="s">
        <v>1429</v>
      </c>
      <c r="D3905" s="418"/>
    </row>
    <row r="3906" spans="1:4" s="3" customFormat="1">
      <c r="A3906" s="55" t="s">
        <v>4278</v>
      </c>
      <c r="B3906" s="77" t="s">
        <v>4279</v>
      </c>
      <c r="C3906" s="18"/>
      <c r="D3906" s="418"/>
    </row>
    <row r="3907" spans="1:4" s="3" customFormat="1">
      <c r="A3907" s="286"/>
      <c r="B3907" s="267" t="s">
        <v>1428</v>
      </c>
      <c r="C3907" s="18" t="s">
        <v>1429</v>
      </c>
      <c r="D3907" s="418"/>
    </row>
    <row r="3908" spans="1:4" s="3" customFormat="1">
      <c r="A3908" s="55" t="s">
        <v>4280</v>
      </c>
      <c r="B3908" s="77" t="s">
        <v>4281</v>
      </c>
      <c r="C3908" s="18"/>
      <c r="D3908" s="418"/>
    </row>
    <row r="3909" spans="1:4" s="3" customFormat="1">
      <c r="A3909" s="286"/>
      <c r="B3909" s="267" t="s">
        <v>1428</v>
      </c>
      <c r="C3909" s="18" t="s">
        <v>1429</v>
      </c>
      <c r="D3909" s="418"/>
    </row>
    <row r="3910" spans="1:4" s="3" customFormat="1">
      <c r="A3910" s="55" t="s">
        <v>4282</v>
      </c>
      <c r="B3910" s="77" t="s">
        <v>4283</v>
      </c>
      <c r="C3910" s="18"/>
      <c r="D3910" s="418"/>
    </row>
    <row r="3911" spans="1:4" s="3" customFormat="1">
      <c r="A3911" s="286"/>
      <c r="B3911" s="267" t="s">
        <v>1428</v>
      </c>
      <c r="C3911" s="18" t="s">
        <v>1429</v>
      </c>
      <c r="D3911" s="418"/>
    </row>
    <row r="3912" spans="1:4" s="3" customFormat="1">
      <c r="A3912" s="132" t="s">
        <v>4284</v>
      </c>
      <c r="B3912" s="77" t="s">
        <v>4285</v>
      </c>
      <c r="C3912" s="18"/>
      <c r="D3912" s="418"/>
    </row>
    <row r="3913" spans="1:4" s="3" customFormat="1">
      <c r="A3913" s="115"/>
      <c r="B3913" s="267" t="s">
        <v>1428</v>
      </c>
      <c r="C3913" s="18" t="s">
        <v>1429</v>
      </c>
      <c r="D3913" s="418"/>
    </row>
    <row r="3914" spans="1:4" s="3" customFormat="1">
      <c r="A3914" s="132" t="s">
        <v>4286</v>
      </c>
      <c r="B3914" s="77" t="s">
        <v>4287</v>
      </c>
      <c r="C3914" s="18"/>
      <c r="D3914" s="418"/>
    </row>
    <row r="3915" spans="1:4" s="3" customFormat="1" ht="52.9">
      <c r="A3915" s="115"/>
      <c r="B3915" s="267" t="s">
        <v>4288</v>
      </c>
      <c r="C3915" s="18"/>
      <c r="D3915" s="418"/>
    </row>
    <row r="3916" spans="1:4" s="3" customFormat="1">
      <c r="A3916" s="115"/>
      <c r="B3916" s="267" t="s">
        <v>4289</v>
      </c>
      <c r="C3916" s="18"/>
      <c r="D3916" s="418"/>
    </row>
    <row r="3917" spans="1:4" s="3" customFormat="1" ht="92.45">
      <c r="A3917" s="115"/>
      <c r="B3917" s="267" t="s">
        <v>4290</v>
      </c>
      <c r="C3917" s="18"/>
      <c r="D3917" s="418"/>
    </row>
    <row r="3918" spans="1:4" s="3" customFormat="1" ht="26.45">
      <c r="A3918" s="115"/>
      <c r="B3918" s="267" t="s">
        <v>4291</v>
      </c>
      <c r="C3918" s="18"/>
      <c r="D3918" s="418"/>
    </row>
    <row r="3919" spans="1:4" s="2" customFormat="1" ht="26.45">
      <c r="A3919" s="115"/>
      <c r="B3919" s="267" t="s">
        <v>4275</v>
      </c>
      <c r="C3919" s="18"/>
      <c r="D3919" s="418"/>
    </row>
    <row r="3920" spans="1:4" s="2" customFormat="1">
      <c r="A3920" s="115"/>
      <c r="B3920" s="267" t="s">
        <v>1428</v>
      </c>
      <c r="C3920" s="18" t="s">
        <v>1429</v>
      </c>
      <c r="D3920" s="418"/>
    </row>
    <row r="3921" spans="1:4" s="2" customFormat="1">
      <c r="A3921" s="132" t="s">
        <v>4292</v>
      </c>
      <c r="B3921" s="77" t="s">
        <v>4293</v>
      </c>
      <c r="C3921" s="18"/>
      <c r="D3921" s="418"/>
    </row>
    <row r="3922" spans="1:4" s="2" customFormat="1" ht="52.9">
      <c r="A3922" s="115"/>
      <c r="B3922" s="267" t="s">
        <v>4294</v>
      </c>
      <c r="C3922" s="18"/>
      <c r="D3922" s="418"/>
    </row>
    <row r="3923" spans="1:4" s="2" customFormat="1">
      <c r="A3923" s="55" t="s">
        <v>4295</v>
      </c>
      <c r="B3923" s="77" t="s">
        <v>4296</v>
      </c>
      <c r="C3923" s="18"/>
      <c r="D3923" s="418"/>
    </row>
    <row r="3924" spans="1:4" s="2" customFormat="1">
      <c r="A3924" s="286"/>
      <c r="B3924" s="267" t="s">
        <v>4125</v>
      </c>
      <c r="C3924" s="18" t="s">
        <v>4126</v>
      </c>
      <c r="D3924" s="418"/>
    </row>
    <row r="3925" spans="1:4" s="2" customFormat="1" ht="12.75" customHeight="1">
      <c r="A3925" s="55" t="s">
        <v>4297</v>
      </c>
      <c r="B3925" s="77" t="s">
        <v>4298</v>
      </c>
      <c r="C3925" s="18"/>
      <c r="D3925" s="418"/>
    </row>
    <row r="3926" spans="1:4" s="3" customFormat="1">
      <c r="A3926" s="286"/>
      <c r="B3926" s="267" t="s">
        <v>4125</v>
      </c>
      <c r="C3926" s="18" t="s">
        <v>4126</v>
      </c>
      <c r="D3926" s="418"/>
    </row>
    <row r="3927" spans="1:4" s="3" customFormat="1">
      <c r="A3927" s="132" t="s">
        <v>4299</v>
      </c>
      <c r="B3927" s="77" t="s">
        <v>4300</v>
      </c>
      <c r="C3927" s="18"/>
      <c r="D3927" s="418"/>
    </row>
    <row r="3928" spans="1:4" s="3" customFormat="1" ht="39.6">
      <c r="A3928" s="115"/>
      <c r="B3928" s="267" t="s">
        <v>4301</v>
      </c>
      <c r="C3928" s="18"/>
      <c r="D3928" s="418"/>
    </row>
    <row r="3929" spans="1:4" s="3" customFormat="1" ht="39.6">
      <c r="A3929" s="115"/>
      <c r="B3929" s="267" t="s">
        <v>4302</v>
      </c>
      <c r="C3929" s="18"/>
      <c r="D3929" s="418"/>
    </row>
    <row r="3930" spans="1:4" s="3" customFormat="1">
      <c r="A3930" s="115"/>
      <c r="B3930" s="267" t="s">
        <v>4303</v>
      </c>
      <c r="C3930" s="18"/>
      <c r="D3930" s="418"/>
    </row>
    <row r="3931" spans="1:4" s="3" customFormat="1">
      <c r="A3931" s="55" t="s">
        <v>4304</v>
      </c>
      <c r="B3931" s="77" t="s">
        <v>4305</v>
      </c>
      <c r="C3931" s="18"/>
      <c r="D3931" s="418"/>
    </row>
    <row r="3932" spans="1:4" s="3" customFormat="1">
      <c r="A3932" s="286"/>
      <c r="B3932" s="267" t="s">
        <v>2331</v>
      </c>
      <c r="C3932" s="18" t="s">
        <v>2332</v>
      </c>
      <c r="D3932" s="418"/>
    </row>
    <row r="3933" spans="1:4" s="3" customFormat="1">
      <c r="A3933" s="55" t="s">
        <v>4306</v>
      </c>
      <c r="B3933" s="267" t="s">
        <v>4307</v>
      </c>
      <c r="C3933" s="18"/>
      <c r="D3933" s="418"/>
    </row>
    <row r="3934" spans="1:4" s="3" customFormat="1">
      <c r="A3934" s="286"/>
      <c r="B3934" s="267" t="s">
        <v>2331</v>
      </c>
      <c r="C3934" s="18" t="s">
        <v>2332</v>
      </c>
      <c r="D3934" s="418"/>
    </row>
    <row r="3935" spans="1:4" s="3" customFormat="1">
      <c r="A3935" s="55" t="s">
        <v>4308</v>
      </c>
      <c r="B3935" s="267" t="s">
        <v>4309</v>
      </c>
      <c r="C3935" s="18"/>
      <c r="D3935" s="418"/>
    </row>
    <row r="3936" spans="1:4" s="3" customFormat="1">
      <c r="A3936" s="286"/>
      <c r="B3936" s="267" t="s">
        <v>2331</v>
      </c>
      <c r="C3936" s="18" t="s">
        <v>2332</v>
      </c>
      <c r="D3936" s="418"/>
    </row>
    <row r="3937" spans="1:4" s="3" customFormat="1">
      <c r="A3937" s="55" t="s">
        <v>4310</v>
      </c>
      <c r="B3937" s="267" t="s">
        <v>4311</v>
      </c>
      <c r="C3937" s="18"/>
      <c r="D3937" s="418"/>
    </row>
    <row r="3938" spans="1:4" s="2" customFormat="1">
      <c r="A3938" s="286"/>
      <c r="B3938" s="267" t="s">
        <v>2331</v>
      </c>
      <c r="C3938" s="18" t="s">
        <v>2332</v>
      </c>
      <c r="D3938" s="418"/>
    </row>
    <row r="3939" spans="1:4" s="3" customFormat="1">
      <c r="A3939" s="55" t="s">
        <v>4312</v>
      </c>
      <c r="B3939" s="267" t="s">
        <v>4313</v>
      </c>
      <c r="C3939" s="18"/>
      <c r="D3939" s="418"/>
    </row>
    <row r="3940" spans="1:4" s="3" customFormat="1">
      <c r="A3940" s="286"/>
      <c r="B3940" s="267" t="s">
        <v>2331</v>
      </c>
      <c r="C3940" s="18" t="s">
        <v>2332</v>
      </c>
      <c r="D3940" s="418"/>
    </row>
    <row r="3941" spans="1:4" s="3" customFormat="1">
      <c r="A3941" s="55" t="s">
        <v>4314</v>
      </c>
      <c r="B3941" s="267" t="s">
        <v>4315</v>
      </c>
      <c r="C3941" s="18"/>
      <c r="D3941" s="418"/>
    </row>
    <row r="3942" spans="1:4" s="3" customFormat="1">
      <c r="A3942" s="286"/>
      <c r="B3942" s="267" t="s">
        <v>2331</v>
      </c>
      <c r="C3942" s="18" t="s">
        <v>2332</v>
      </c>
      <c r="D3942" s="418"/>
    </row>
    <row r="3943" spans="1:4" s="3" customFormat="1">
      <c r="A3943" s="55" t="s">
        <v>4316</v>
      </c>
      <c r="B3943" s="267" t="s">
        <v>4317</v>
      </c>
      <c r="C3943" s="18"/>
      <c r="D3943" s="418"/>
    </row>
    <row r="3944" spans="1:4" s="3" customFormat="1">
      <c r="A3944" s="286"/>
      <c r="B3944" s="267" t="s">
        <v>2807</v>
      </c>
      <c r="C3944" s="18" t="s">
        <v>2808</v>
      </c>
      <c r="D3944" s="418"/>
    </row>
    <row r="3945" spans="1:4" s="3" customFormat="1">
      <c r="A3945" s="132" t="s">
        <v>4318</v>
      </c>
      <c r="B3945" s="77" t="s">
        <v>4319</v>
      </c>
      <c r="C3945" s="18"/>
      <c r="D3945" s="418"/>
    </row>
    <row r="3946" spans="1:4" s="3" customFormat="1" ht="26.45">
      <c r="A3946" s="115"/>
      <c r="B3946" s="267" t="s">
        <v>4320</v>
      </c>
      <c r="C3946" s="18"/>
      <c r="D3946" s="418"/>
    </row>
    <row r="3947" spans="1:4" s="3" customFormat="1">
      <c r="A3947" s="115"/>
      <c r="B3947" s="267" t="s">
        <v>1028</v>
      </c>
      <c r="C3947" s="18" t="s">
        <v>1029</v>
      </c>
      <c r="D3947" s="418"/>
    </row>
    <row r="3948" spans="1:4" s="3" customFormat="1">
      <c r="A3948" s="132" t="s">
        <v>4321</v>
      </c>
      <c r="B3948" s="77" t="s">
        <v>4322</v>
      </c>
      <c r="C3948" s="18"/>
      <c r="D3948" s="418"/>
    </row>
    <row r="3949" spans="1:4" s="3" customFormat="1" ht="39.6">
      <c r="A3949" s="115"/>
      <c r="B3949" s="267" t="s">
        <v>4323</v>
      </c>
      <c r="C3949" s="18"/>
      <c r="D3949" s="418"/>
    </row>
    <row r="3950" spans="1:4" s="3" customFormat="1" ht="26.45">
      <c r="A3950" s="115"/>
      <c r="B3950" s="267" t="s">
        <v>4324</v>
      </c>
      <c r="C3950" s="18"/>
      <c r="D3950" s="418"/>
    </row>
    <row r="3951" spans="1:4" s="3" customFormat="1">
      <c r="A3951" s="286"/>
      <c r="B3951" s="267" t="s">
        <v>4260</v>
      </c>
      <c r="C3951" s="18" t="s">
        <v>4325</v>
      </c>
      <c r="D3951" s="418"/>
    </row>
    <row r="3952" spans="1:4" s="3" customFormat="1">
      <c r="A3952" s="55" t="s">
        <v>4326</v>
      </c>
      <c r="B3952" s="77" t="s">
        <v>4327</v>
      </c>
      <c r="C3952" s="18"/>
      <c r="D3952" s="418"/>
    </row>
    <row r="3953" spans="1:4" s="3" customFormat="1">
      <c r="A3953" s="286"/>
      <c r="B3953" s="267" t="s">
        <v>4260</v>
      </c>
      <c r="C3953" s="18" t="s">
        <v>4325</v>
      </c>
      <c r="D3953" s="418"/>
    </row>
    <row r="3954" spans="1:4" s="3" customFormat="1">
      <c r="A3954" s="22" t="s">
        <v>4328</v>
      </c>
      <c r="B3954" s="23" t="s">
        <v>4329</v>
      </c>
      <c r="C3954" s="24"/>
      <c r="D3954" s="255"/>
    </row>
    <row r="3955" spans="1:4" s="3" customFormat="1">
      <c r="A3955" s="115" t="s">
        <v>651</v>
      </c>
      <c r="B3955" s="31" t="s">
        <v>4330</v>
      </c>
      <c r="C3955" s="18"/>
      <c r="D3955" s="418"/>
    </row>
    <row r="3956" spans="1:4" s="3" customFormat="1">
      <c r="A3956" s="132" t="s">
        <v>4331</v>
      </c>
      <c r="B3956" s="77" t="s">
        <v>4332</v>
      </c>
      <c r="C3956" s="18"/>
      <c r="D3956" s="418"/>
    </row>
    <row r="3957" spans="1:4" s="3" customFormat="1">
      <c r="A3957" s="55" t="s">
        <v>4333</v>
      </c>
      <c r="B3957" s="77" t="s">
        <v>4334</v>
      </c>
      <c r="C3957" s="18"/>
      <c r="D3957" s="418"/>
    </row>
    <row r="3958" spans="1:4" s="3" customFormat="1" ht="26.45">
      <c r="A3958" s="55"/>
      <c r="B3958" s="267" t="s">
        <v>4335</v>
      </c>
      <c r="C3958" s="18"/>
      <c r="D3958" s="418"/>
    </row>
    <row r="3959" spans="1:4" s="3" customFormat="1" ht="132">
      <c r="A3959" s="55"/>
      <c r="B3959" s="267" t="s">
        <v>4336</v>
      </c>
      <c r="C3959" s="18"/>
      <c r="D3959" s="418"/>
    </row>
    <row r="3960" spans="1:4" s="3" customFormat="1">
      <c r="A3960" s="286"/>
      <c r="B3960" s="267" t="s">
        <v>1076</v>
      </c>
      <c r="C3960" s="18" t="s">
        <v>1077</v>
      </c>
      <c r="D3960" s="418"/>
    </row>
    <row r="3961" spans="1:4" s="2" customFormat="1">
      <c r="A3961" s="55" t="s">
        <v>4337</v>
      </c>
      <c r="B3961" s="267" t="s">
        <v>4338</v>
      </c>
      <c r="C3961" s="18"/>
      <c r="D3961" s="418"/>
    </row>
    <row r="3962" spans="1:4" s="79" customFormat="1" ht="26.45">
      <c r="A3962" s="55"/>
      <c r="B3962" s="267" t="s">
        <v>4335</v>
      </c>
      <c r="C3962" s="18"/>
      <c r="D3962" s="418"/>
    </row>
    <row r="3963" spans="1:4" s="79" customFormat="1" ht="132">
      <c r="A3963" s="55"/>
      <c r="B3963" s="267" t="s">
        <v>4339</v>
      </c>
      <c r="C3963" s="18"/>
      <c r="D3963" s="418"/>
    </row>
    <row r="3964" spans="1:4" s="79" customFormat="1" ht="14.45">
      <c r="A3964" s="286"/>
      <c r="B3964" s="267" t="s">
        <v>1076</v>
      </c>
      <c r="C3964" s="18" t="s">
        <v>1077</v>
      </c>
      <c r="D3964" s="418"/>
    </row>
    <row r="3965" spans="1:4" s="79" customFormat="1" ht="26.45">
      <c r="A3965" s="55" t="s">
        <v>4340</v>
      </c>
      <c r="B3965" s="267" t="s">
        <v>4341</v>
      </c>
      <c r="C3965" s="18"/>
      <c r="D3965" s="418"/>
    </row>
    <row r="3966" spans="1:4" s="79" customFormat="1" ht="26.45">
      <c r="A3966" s="115"/>
      <c r="B3966" s="267" t="s">
        <v>4342</v>
      </c>
      <c r="C3966" s="18"/>
      <c r="D3966" s="418"/>
    </row>
    <row r="3967" spans="1:4" s="79" customFormat="1" ht="39.6">
      <c r="A3967" s="115"/>
      <c r="B3967" s="267" t="s">
        <v>4343</v>
      </c>
      <c r="C3967" s="18"/>
      <c r="D3967" s="418"/>
    </row>
    <row r="3968" spans="1:4" s="79" customFormat="1" ht="14.45">
      <c r="A3968" s="115"/>
      <c r="B3968" s="267" t="s">
        <v>1076</v>
      </c>
      <c r="C3968" s="18" t="s">
        <v>1077</v>
      </c>
      <c r="D3968" s="418"/>
    </row>
    <row r="3969" spans="1:4" s="79" customFormat="1" ht="14.45">
      <c r="A3969" s="132" t="s">
        <v>4344</v>
      </c>
      <c r="B3969" s="77" t="s">
        <v>4345</v>
      </c>
      <c r="C3969" s="18"/>
      <c r="D3969" s="418"/>
    </row>
    <row r="3970" spans="1:4" s="79" customFormat="1" ht="14.45">
      <c r="A3970" s="55" t="s">
        <v>4346</v>
      </c>
      <c r="B3970" s="77" t="s">
        <v>4347</v>
      </c>
      <c r="C3970" s="18"/>
      <c r="D3970" s="418"/>
    </row>
    <row r="3971" spans="1:4" s="79" customFormat="1" ht="26.45">
      <c r="A3971" s="55"/>
      <c r="B3971" s="267" t="s">
        <v>4348</v>
      </c>
      <c r="C3971" s="18"/>
      <c r="D3971" s="418"/>
    </row>
    <row r="3972" spans="1:4" s="84" customFormat="1" ht="12.75" customHeight="1">
      <c r="A3972" s="55"/>
      <c r="B3972" s="267" t="s">
        <v>4349</v>
      </c>
      <c r="C3972" s="18"/>
      <c r="D3972" s="418"/>
    </row>
    <row r="3973" spans="1:4" s="79" customFormat="1" ht="26.45">
      <c r="A3973" s="55"/>
      <c r="B3973" s="267" t="s">
        <v>4350</v>
      </c>
      <c r="C3973" s="18"/>
      <c r="D3973" s="418"/>
    </row>
    <row r="3974" spans="1:4" s="79" customFormat="1" ht="14.45">
      <c r="A3974" s="286"/>
      <c r="B3974" s="267" t="s">
        <v>1231</v>
      </c>
      <c r="C3974" s="18" t="s">
        <v>1262</v>
      </c>
      <c r="D3974" s="418"/>
    </row>
    <row r="3975" spans="1:4" s="79" customFormat="1" ht="14.45">
      <c r="A3975" s="55" t="s">
        <v>4351</v>
      </c>
      <c r="B3975" s="77" t="s">
        <v>4352</v>
      </c>
      <c r="C3975" s="18"/>
      <c r="D3975" s="418"/>
    </row>
    <row r="3976" spans="1:4" s="79" customFormat="1" ht="14.45">
      <c r="A3976" s="286"/>
      <c r="B3976" s="267" t="s">
        <v>4353</v>
      </c>
      <c r="C3976" s="18" t="s">
        <v>4354</v>
      </c>
      <c r="D3976" s="418"/>
    </row>
    <row r="3977" spans="1:4" s="79" customFormat="1" ht="14.45">
      <c r="A3977" s="55" t="s">
        <v>4355</v>
      </c>
      <c r="B3977" s="77" t="s">
        <v>4356</v>
      </c>
      <c r="C3977" s="18"/>
      <c r="D3977" s="418"/>
    </row>
    <row r="3978" spans="1:4" s="79" customFormat="1" ht="39.6">
      <c r="A3978" s="115"/>
      <c r="B3978" s="267" t="s">
        <v>4357</v>
      </c>
      <c r="C3978" s="18"/>
      <c r="D3978" s="418"/>
    </row>
    <row r="3979" spans="1:4" s="79" customFormat="1" ht="12.75" customHeight="1">
      <c r="A3979" s="115"/>
      <c r="B3979" s="267" t="s">
        <v>4358</v>
      </c>
      <c r="C3979" s="18"/>
      <c r="D3979" s="418"/>
    </row>
    <row r="3980" spans="1:4" s="79" customFormat="1" ht="14.45">
      <c r="A3980" s="115"/>
      <c r="B3980" s="267" t="s">
        <v>1231</v>
      </c>
      <c r="C3980" s="18" t="s">
        <v>1262</v>
      </c>
      <c r="D3980" s="418"/>
    </row>
    <row r="3981" spans="1:4" s="79" customFormat="1" ht="14.45">
      <c r="A3981" s="55" t="s">
        <v>4359</v>
      </c>
      <c r="B3981" s="77" t="s">
        <v>4360</v>
      </c>
      <c r="C3981" s="18"/>
      <c r="D3981" s="418"/>
    </row>
    <row r="3982" spans="1:4" s="79" customFormat="1" ht="14.45">
      <c r="A3982" s="115"/>
      <c r="B3982" s="267" t="s">
        <v>4353</v>
      </c>
      <c r="C3982" s="18" t="s">
        <v>4354</v>
      </c>
      <c r="D3982" s="418"/>
    </row>
    <row r="3983" spans="1:4" s="79" customFormat="1" ht="14.45">
      <c r="A3983" s="132" t="s">
        <v>4361</v>
      </c>
      <c r="B3983" s="77" t="s">
        <v>4362</v>
      </c>
      <c r="C3983" s="18"/>
      <c r="D3983" s="418"/>
    </row>
    <row r="3984" spans="1:4" s="79" customFormat="1" ht="39.6">
      <c r="A3984" s="115"/>
      <c r="B3984" s="267" t="s">
        <v>4363</v>
      </c>
      <c r="C3984" s="18"/>
      <c r="D3984" s="418"/>
    </row>
    <row r="3985" spans="1:4" s="79" customFormat="1" ht="79.150000000000006">
      <c r="A3985" s="115"/>
      <c r="B3985" s="267" t="s">
        <v>4364</v>
      </c>
      <c r="C3985" s="18"/>
      <c r="D3985" s="418"/>
    </row>
    <row r="3986" spans="1:4" s="79" customFormat="1" ht="16.5" customHeight="1">
      <c r="A3986" s="115"/>
      <c r="B3986" s="267" t="s">
        <v>4365</v>
      </c>
      <c r="C3986" s="18"/>
      <c r="D3986" s="418"/>
    </row>
    <row r="3987" spans="1:4" s="79" customFormat="1" ht="14.45">
      <c r="A3987" s="55" t="s">
        <v>4366</v>
      </c>
      <c r="B3987" s="267" t="s">
        <v>4367</v>
      </c>
      <c r="C3987" s="18"/>
      <c r="D3987" s="418"/>
    </row>
    <row r="3988" spans="1:4" s="79" customFormat="1" ht="14.45">
      <c r="A3988" s="286"/>
      <c r="B3988" s="267" t="s">
        <v>1028</v>
      </c>
      <c r="C3988" s="18" t="s">
        <v>1029</v>
      </c>
      <c r="D3988" s="418"/>
    </row>
    <row r="3989" spans="1:4" s="79" customFormat="1" ht="14.45">
      <c r="A3989" s="55" t="s">
        <v>4368</v>
      </c>
      <c r="B3989" s="267" t="s">
        <v>4369</v>
      </c>
      <c r="C3989" s="18"/>
      <c r="D3989" s="418"/>
    </row>
    <row r="3990" spans="1:4" s="79" customFormat="1" ht="14.45">
      <c r="A3990" s="286"/>
      <c r="B3990" s="267" t="s">
        <v>1028</v>
      </c>
      <c r="C3990" s="18" t="s">
        <v>1029</v>
      </c>
      <c r="D3990" s="418"/>
    </row>
    <row r="3991" spans="1:4" s="79" customFormat="1" ht="14.45">
      <c r="A3991" s="132" t="s">
        <v>4370</v>
      </c>
      <c r="B3991" s="77" t="s">
        <v>4371</v>
      </c>
      <c r="C3991" s="18"/>
      <c r="D3991" s="418"/>
    </row>
    <row r="3992" spans="1:4" s="79" customFormat="1" ht="39.6">
      <c r="A3992" s="115"/>
      <c r="B3992" s="267" t="s">
        <v>4372</v>
      </c>
      <c r="C3992" s="18"/>
      <c r="D3992" s="418"/>
    </row>
    <row r="3993" spans="1:4" s="79" customFormat="1" ht="43.9" customHeight="1">
      <c r="A3993" s="115"/>
      <c r="B3993" s="267" t="s">
        <v>4373</v>
      </c>
      <c r="C3993" s="18"/>
      <c r="D3993" s="418"/>
    </row>
    <row r="3994" spans="1:4" s="79" customFormat="1" ht="14.45">
      <c r="A3994" s="115"/>
      <c r="B3994" s="267" t="s">
        <v>1428</v>
      </c>
      <c r="C3994" s="18" t="s">
        <v>1429</v>
      </c>
      <c r="D3994" s="418"/>
    </row>
    <row r="3995" spans="1:4" s="79" customFormat="1" ht="14.45">
      <c r="A3995" s="115" t="s">
        <v>652</v>
      </c>
      <c r="B3995" s="31" t="s">
        <v>4374</v>
      </c>
      <c r="C3995" s="18"/>
      <c r="D3995" s="418"/>
    </row>
    <row r="3996" spans="1:4" s="79" customFormat="1" ht="14.45">
      <c r="A3996" s="132" t="s">
        <v>4375</v>
      </c>
      <c r="B3996" s="77" t="s">
        <v>4376</v>
      </c>
      <c r="C3996" s="18"/>
      <c r="D3996" s="418"/>
    </row>
    <row r="3997" spans="1:4" s="79" customFormat="1" ht="26.45">
      <c r="A3997" s="115"/>
      <c r="B3997" s="267" t="s">
        <v>4377</v>
      </c>
      <c r="C3997" s="18"/>
      <c r="D3997" s="418"/>
    </row>
    <row r="3998" spans="1:4" s="79" customFormat="1" ht="14.45">
      <c r="A3998" s="115"/>
      <c r="B3998" s="267" t="s">
        <v>4378</v>
      </c>
      <c r="C3998" s="18"/>
      <c r="D3998" s="418"/>
    </row>
    <row r="3999" spans="1:4" s="79" customFormat="1" ht="79.150000000000006">
      <c r="A3999" s="115"/>
      <c r="B3999" s="267" t="s">
        <v>4379</v>
      </c>
      <c r="C3999" s="18"/>
      <c r="D3999" s="418"/>
    </row>
    <row r="4000" spans="1:4" s="79" customFormat="1" ht="14.45">
      <c r="A4000" s="115"/>
      <c r="B4000" s="267" t="s">
        <v>4380</v>
      </c>
      <c r="C4000" s="18"/>
      <c r="D4000" s="418"/>
    </row>
    <row r="4001" spans="1:4" s="79" customFormat="1" ht="14.45">
      <c r="A4001" s="115"/>
      <c r="B4001" s="267" t="s">
        <v>4381</v>
      </c>
      <c r="C4001" s="18"/>
      <c r="D4001" s="418"/>
    </row>
    <row r="4002" spans="1:4" s="79" customFormat="1" ht="14.45">
      <c r="A4002" s="115"/>
      <c r="B4002" s="267" t="s">
        <v>1076</v>
      </c>
      <c r="C4002" s="18" t="s">
        <v>1077</v>
      </c>
      <c r="D4002" s="418"/>
    </row>
    <row r="4003" spans="1:4" s="79" customFormat="1" ht="14.45">
      <c r="A4003" s="132" t="s">
        <v>4382</v>
      </c>
      <c r="B4003" s="77" t="s">
        <v>4383</v>
      </c>
      <c r="C4003" s="18"/>
      <c r="D4003" s="418"/>
    </row>
    <row r="4004" spans="1:4" s="79" customFormat="1" ht="26.45">
      <c r="A4004" s="115"/>
      <c r="B4004" s="267" t="s">
        <v>4384</v>
      </c>
      <c r="C4004" s="18"/>
      <c r="D4004" s="418"/>
    </row>
    <row r="4005" spans="1:4" s="79" customFormat="1" ht="39.6">
      <c r="A4005" s="115"/>
      <c r="B4005" s="267" t="s">
        <v>4343</v>
      </c>
      <c r="C4005" s="18"/>
      <c r="D4005" s="418"/>
    </row>
    <row r="4006" spans="1:4" s="79" customFormat="1" ht="14.45">
      <c r="A4006" s="115"/>
      <c r="B4006" s="267" t="s">
        <v>1076</v>
      </c>
      <c r="C4006" s="18" t="s">
        <v>1077</v>
      </c>
      <c r="D4006" s="418"/>
    </row>
    <row r="4007" spans="1:4" s="79" customFormat="1" ht="14.45">
      <c r="A4007" s="132" t="s">
        <v>4385</v>
      </c>
      <c r="B4007" s="77" t="s">
        <v>4386</v>
      </c>
      <c r="C4007" s="18"/>
      <c r="D4007" s="418"/>
    </row>
    <row r="4008" spans="1:4" s="79" customFormat="1" ht="39.6">
      <c r="A4008" s="115"/>
      <c r="B4008" s="267" t="s">
        <v>4387</v>
      </c>
      <c r="C4008" s="18"/>
      <c r="D4008" s="418"/>
    </row>
    <row r="4009" spans="1:4" s="79" customFormat="1" ht="14.45">
      <c r="A4009" s="115"/>
      <c r="B4009" s="267" t="s">
        <v>4388</v>
      </c>
      <c r="C4009" s="18"/>
      <c r="D4009" s="418"/>
    </row>
    <row r="4010" spans="1:4" s="79" customFormat="1" ht="26.45">
      <c r="A4010" s="115"/>
      <c r="B4010" s="267" t="s">
        <v>4389</v>
      </c>
      <c r="C4010" s="18"/>
      <c r="D4010" s="418"/>
    </row>
    <row r="4011" spans="1:4" s="79" customFormat="1" ht="39.6">
      <c r="A4011" s="115"/>
      <c r="B4011" s="267" t="s">
        <v>4390</v>
      </c>
      <c r="C4011" s="18"/>
      <c r="D4011" s="418"/>
    </row>
    <row r="4012" spans="1:4" s="79" customFormat="1" ht="14.45">
      <c r="A4012" s="115"/>
      <c r="B4012" s="267" t="s">
        <v>4381</v>
      </c>
      <c r="C4012" s="18"/>
      <c r="D4012" s="418"/>
    </row>
    <row r="4013" spans="1:4" s="79" customFormat="1" ht="14.45">
      <c r="A4013" s="115"/>
      <c r="B4013" s="267" t="s">
        <v>1231</v>
      </c>
      <c r="C4013" s="18" t="s">
        <v>1262</v>
      </c>
      <c r="D4013" s="418"/>
    </row>
    <row r="4014" spans="1:4" s="79" customFormat="1" ht="14.45">
      <c r="A4014" s="132" t="s">
        <v>4391</v>
      </c>
      <c r="B4014" s="77" t="s">
        <v>4392</v>
      </c>
      <c r="C4014" s="18"/>
      <c r="D4014" s="418"/>
    </row>
    <row r="4015" spans="1:4" s="79" customFormat="1" ht="14.45">
      <c r="A4015" s="115"/>
      <c r="B4015" s="267" t="s">
        <v>4353</v>
      </c>
      <c r="C4015" s="18" t="s">
        <v>4354</v>
      </c>
      <c r="D4015" s="418"/>
    </row>
    <row r="4016" spans="1:4" s="79" customFormat="1" ht="14.45">
      <c r="A4016" s="132" t="s">
        <v>4393</v>
      </c>
      <c r="B4016" s="77" t="s">
        <v>4394</v>
      </c>
      <c r="C4016" s="18"/>
      <c r="D4016" s="418"/>
    </row>
    <row r="4017" spans="1:4" s="79" customFormat="1" ht="39.6">
      <c r="A4017" s="115"/>
      <c r="B4017" s="267" t="s">
        <v>4395</v>
      </c>
      <c r="C4017" s="18"/>
      <c r="D4017" s="418"/>
    </row>
    <row r="4018" spans="1:4" s="79" customFormat="1" ht="39.6">
      <c r="A4018" s="115"/>
      <c r="B4018" s="267" t="s">
        <v>4396</v>
      </c>
      <c r="C4018" s="18"/>
      <c r="D4018" s="418"/>
    </row>
    <row r="4019" spans="1:4" s="79" customFormat="1" ht="14.45">
      <c r="A4019" s="115"/>
      <c r="B4019" s="267" t="s">
        <v>4381</v>
      </c>
      <c r="C4019" s="18"/>
      <c r="D4019" s="418"/>
    </row>
    <row r="4020" spans="1:4" s="79" customFormat="1" ht="14.45">
      <c r="A4020" s="115"/>
      <c r="B4020" s="267" t="s">
        <v>998</v>
      </c>
      <c r="C4020" s="18" t="s">
        <v>999</v>
      </c>
      <c r="D4020" s="418"/>
    </row>
    <row r="4021" spans="1:4" s="79" customFormat="1" ht="14.45">
      <c r="A4021" s="132" t="s">
        <v>4397</v>
      </c>
      <c r="B4021" s="77" t="s">
        <v>4398</v>
      </c>
      <c r="C4021" s="18"/>
      <c r="D4021" s="418"/>
    </row>
    <row r="4022" spans="1:4" s="79" customFormat="1" ht="39.6">
      <c r="A4022" s="115"/>
      <c r="B4022" s="267" t="s">
        <v>4399</v>
      </c>
      <c r="C4022" s="18"/>
      <c r="D4022" s="418"/>
    </row>
    <row r="4023" spans="1:4" s="79" customFormat="1" ht="26.45">
      <c r="A4023" s="115"/>
      <c r="B4023" s="267" t="s">
        <v>4400</v>
      </c>
      <c r="C4023" s="18"/>
      <c r="D4023" s="418"/>
    </row>
    <row r="4024" spans="1:4" s="79" customFormat="1" ht="26.45">
      <c r="A4024" s="115"/>
      <c r="B4024" s="267" t="s">
        <v>4401</v>
      </c>
      <c r="C4024" s="18"/>
      <c r="D4024" s="418"/>
    </row>
    <row r="4025" spans="1:4" s="79" customFormat="1" ht="26.45">
      <c r="A4025" s="115"/>
      <c r="B4025" s="267" t="s">
        <v>4402</v>
      </c>
      <c r="C4025" s="18"/>
      <c r="D4025" s="418"/>
    </row>
    <row r="4026" spans="1:4" s="79" customFormat="1" ht="26.45">
      <c r="A4026" s="115"/>
      <c r="B4026" s="267" t="s">
        <v>4403</v>
      </c>
      <c r="C4026" s="18"/>
      <c r="D4026" s="418"/>
    </row>
    <row r="4027" spans="1:4" s="79" customFormat="1" ht="14.45">
      <c r="A4027" s="115"/>
      <c r="B4027" s="267" t="s">
        <v>4404</v>
      </c>
      <c r="C4027" s="18"/>
      <c r="D4027" s="418"/>
    </row>
    <row r="4028" spans="1:4" s="79" customFormat="1" ht="66">
      <c r="A4028" s="115"/>
      <c r="B4028" s="267" t="s">
        <v>4405</v>
      </c>
      <c r="C4028" s="18"/>
      <c r="D4028" s="418"/>
    </row>
    <row r="4029" spans="1:4" s="79" customFormat="1" ht="26.45">
      <c r="A4029" s="115"/>
      <c r="B4029" s="267" t="s">
        <v>4406</v>
      </c>
      <c r="C4029" s="18"/>
      <c r="D4029" s="418"/>
    </row>
    <row r="4030" spans="1:4" s="79" customFormat="1" ht="26.45">
      <c r="A4030" s="115"/>
      <c r="B4030" s="267" t="s">
        <v>4407</v>
      </c>
      <c r="C4030" s="18"/>
      <c r="D4030" s="418"/>
    </row>
    <row r="4031" spans="1:4" s="79" customFormat="1" ht="39.6">
      <c r="A4031" s="115"/>
      <c r="B4031" s="267" t="s">
        <v>4408</v>
      </c>
      <c r="C4031" s="18"/>
      <c r="D4031" s="418"/>
    </row>
    <row r="4032" spans="1:4" s="79" customFormat="1" ht="26.45">
      <c r="A4032" s="115"/>
      <c r="B4032" s="267" t="s">
        <v>4409</v>
      </c>
      <c r="C4032" s="18"/>
      <c r="D4032" s="418"/>
    </row>
    <row r="4033" spans="1:4" s="79" customFormat="1" ht="39.6">
      <c r="A4033" s="115"/>
      <c r="B4033" s="267" t="s">
        <v>4410</v>
      </c>
      <c r="C4033" s="18"/>
      <c r="D4033" s="418"/>
    </row>
    <row r="4034" spans="1:4" s="79" customFormat="1" ht="14.45">
      <c r="A4034" s="115"/>
      <c r="B4034" s="267" t="s">
        <v>4381</v>
      </c>
      <c r="C4034" s="18"/>
      <c r="D4034" s="418"/>
    </row>
    <row r="4035" spans="1:4" s="79" customFormat="1" ht="14.45">
      <c r="A4035" s="115"/>
      <c r="B4035" s="267" t="s">
        <v>1231</v>
      </c>
      <c r="C4035" s="18" t="s">
        <v>1262</v>
      </c>
      <c r="D4035" s="418"/>
    </row>
    <row r="4036" spans="1:4" s="79" customFormat="1" ht="14.45">
      <c r="A4036" s="132" t="s">
        <v>4411</v>
      </c>
      <c r="B4036" s="77" t="s">
        <v>4412</v>
      </c>
      <c r="C4036" s="18"/>
      <c r="D4036" s="418"/>
    </row>
    <row r="4037" spans="1:4" s="79" customFormat="1" ht="14.45">
      <c r="A4037" s="115"/>
      <c r="B4037" s="267" t="s">
        <v>4353</v>
      </c>
      <c r="C4037" s="18" t="s">
        <v>4354</v>
      </c>
      <c r="D4037" s="418"/>
    </row>
    <row r="4038" spans="1:4" s="79" customFormat="1" ht="14.45">
      <c r="A4038" s="132" t="s">
        <v>4413</v>
      </c>
      <c r="B4038" s="77" t="s">
        <v>4414</v>
      </c>
      <c r="C4038" s="18"/>
      <c r="D4038" s="418"/>
    </row>
    <row r="4039" spans="1:4" s="79" customFormat="1" ht="26.45">
      <c r="A4039" s="115"/>
      <c r="B4039" s="267" t="s">
        <v>4415</v>
      </c>
      <c r="C4039" s="18"/>
      <c r="D4039" s="418"/>
    </row>
    <row r="4040" spans="1:4" s="79" customFormat="1" ht="26.45">
      <c r="A4040" s="115"/>
      <c r="B4040" s="267" t="s">
        <v>4416</v>
      </c>
      <c r="C4040" s="18"/>
      <c r="D4040" s="418"/>
    </row>
    <row r="4041" spans="1:4" s="79" customFormat="1" ht="14.45">
      <c r="A4041" s="115"/>
      <c r="B4041" s="267" t="s">
        <v>4417</v>
      </c>
      <c r="C4041" s="18"/>
      <c r="D4041" s="418"/>
    </row>
    <row r="4042" spans="1:4" s="79" customFormat="1" ht="14.45">
      <c r="A4042" s="115"/>
      <c r="B4042" s="267" t="s">
        <v>4381</v>
      </c>
      <c r="C4042" s="18"/>
      <c r="D4042" s="418"/>
    </row>
    <row r="4043" spans="1:4" s="79" customFormat="1" ht="14.45">
      <c r="A4043" s="115"/>
      <c r="B4043" s="267" t="s">
        <v>1231</v>
      </c>
      <c r="C4043" s="18" t="s">
        <v>1262</v>
      </c>
      <c r="D4043" s="418"/>
    </row>
    <row r="4044" spans="1:4" s="79" customFormat="1" ht="14.45">
      <c r="A4044" s="132" t="s">
        <v>4418</v>
      </c>
      <c r="B4044" s="77" t="s">
        <v>4419</v>
      </c>
      <c r="C4044" s="18"/>
      <c r="D4044" s="418"/>
    </row>
    <row r="4045" spans="1:4" s="79" customFormat="1" ht="26.45">
      <c r="A4045" s="115"/>
      <c r="B4045" s="267" t="s">
        <v>4420</v>
      </c>
      <c r="C4045" s="18"/>
      <c r="D4045" s="418"/>
    </row>
    <row r="4046" spans="1:4" s="79" customFormat="1" ht="39.6">
      <c r="A4046" s="115"/>
      <c r="B4046" s="267" t="s">
        <v>4421</v>
      </c>
      <c r="C4046" s="18"/>
      <c r="D4046" s="418"/>
    </row>
    <row r="4047" spans="1:4" s="79" customFormat="1" ht="66">
      <c r="A4047" s="115"/>
      <c r="B4047" s="267" t="s">
        <v>4422</v>
      </c>
      <c r="C4047" s="18"/>
      <c r="D4047" s="418"/>
    </row>
    <row r="4048" spans="1:4" s="79" customFormat="1" ht="26.45">
      <c r="A4048" s="115"/>
      <c r="B4048" s="267" t="s">
        <v>4423</v>
      </c>
      <c r="C4048" s="18"/>
      <c r="D4048" s="418"/>
    </row>
    <row r="4049" spans="1:4" s="79" customFormat="1" ht="14.45">
      <c r="A4049" s="115"/>
      <c r="B4049" s="267" t="s">
        <v>4381</v>
      </c>
      <c r="C4049" s="18"/>
      <c r="D4049" s="418"/>
    </row>
    <row r="4050" spans="1:4" s="79" customFormat="1" ht="14.45">
      <c r="A4050" s="115"/>
      <c r="B4050" s="267" t="s">
        <v>2807</v>
      </c>
      <c r="C4050" s="18" t="s">
        <v>2808</v>
      </c>
      <c r="D4050" s="418"/>
    </row>
    <row r="4051" spans="1:4" s="79" customFormat="1" ht="14.45">
      <c r="A4051" s="115" t="s">
        <v>653</v>
      </c>
      <c r="B4051" s="31" t="s">
        <v>4424</v>
      </c>
      <c r="C4051" s="115"/>
      <c r="D4051" s="418"/>
    </row>
    <row r="4052" spans="1:4" s="79" customFormat="1" ht="26.45">
      <c r="A4052" s="132" t="s">
        <v>4425</v>
      </c>
      <c r="B4052" s="77" t="s">
        <v>4426</v>
      </c>
      <c r="C4052" s="18"/>
      <c r="D4052" s="418"/>
    </row>
    <row r="4053" spans="1:4" s="79" customFormat="1" ht="39.6">
      <c r="A4053" s="115"/>
      <c r="B4053" s="267" t="s">
        <v>4427</v>
      </c>
      <c r="C4053" s="18"/>
      <c r="D4053" s="418"/>
    </row>
    <row r="4054" spans="1:4" s="79" customFormat="1" ht="14.45">
      <c r="A4054" s="115"/>
      <c r="B4054" s="267" t="s">
        <v>4428</v>
      </c>
      <c r="C4054" s="18"/>
      <c r="D4054" s="418"/>
    </row>
    <row r="4055" spans="1:4" s="79" customFormat="1" ht="14.45">
      <c r="A4055" s="115"/>
      <c r="B4055" s="267" t="s">
        <v>4429</v>
      </c>
      <c r="C4055" s="18"/>
      <c r="D4055" s="418"/>
    </row>
    <row r="4056" spans="1:4" s="79" customFormat="1" ht="14.45">
      <c r="A4056" s="115"/>
      <c r="B4056" s="267" t="s">
        <v>4353</v>
      </c>
      <c r="C4056" s="18" t="s">
        <v>4354</v>
      </c>
      <c r="D4056" s="418"/>
    </row>
    <row r="4057" spans="1:4" s="79" customFormat="1" ht="26.45">
      <c r="A4057" s="132" t="s">
        <v>4430</v>
      </c>
      <c r="B4057" s="77" t="s">
        <v>4431</v>
      </c>
      <c r="C4057" s="18"/>
      <c r="D4057" s="418"/>
    </row>
    <row r="4058" spans="1:4" s="79" customFormat="1" ht="26.45">
      <c r="A4058" s="115"/>
      <c r="B4058" s="267" t="s">
        <v>4432</v>
      </c>
      <c r="C4058" s="18"/>
      <c r="D4058" s="418"/>
    </row>
    <row r="4059" spans="1:4" s="79" customFormat="1" ht="39.6">
      <c r="A4059" s="115"/>
      <c r="B4059" s="267" t="s">
        <v>4433</v>
      </c>
      <c r="C4059" s="18"/>
      <c r="D4059" s="418"/>
    </row>
    <row r="4060" spans="1:4" s="79" customFormat="1" ht="14.45">
      <c r="A4060" s="115"/>
      <c r="B4060" s="267" t="s">
        <v>4429</v>
      </c>
      <c r="C4060" s="18"/>
      <c r="D4060" s="418"/>
    </row>
    <row r="4061" spans="1:4" s="79" customFormat="1" ht="14.45">
      <c r="A4061" s="115"/>
      <c r="B4061" s="267" t="s">
        <v>4434</v>
      </c>
      <c r="C4061" s="18"/>
      <c r="D4061" s="418"/>
    </row>
    <row r="4062" spans="1:4" s="79" customFormat="1" ht="14.45">
      <c r="A4062" s="115"/>
      <c r="B4062" s="267" t="s">
        <v>1231</v>
      </c>
      <c r="C4062" s="18" t="s">
        <v>1262</v>
      </c>
      <c r="D4062" s="418"/>
    </row>
    <row r="4063" spans="1:4" s="79" customFormat="1" ht="14.45">
      <c r="A4063" s="22" t="s">
        <v>4435</v>
      </c>
      <c r="B4063" s="23" t="s">
        <v>4436</v>
      </c>
      <c r="C4063" s="24"/>
      <c r="D4063" s="255"/>
    </row>
    <row r="4064" spans="1:4" s="79" customFormat="1" ht="14.45">
      <c r="A4064" s="115" t="s">
        <v>4437</v>
      </c>
      <c r="B4064" s="31" t="s">
        <v>4438</v>
      </c>
      <c r="C4064" s="115"/>
      <c r="D4064" s="450"/>
    </row>
    <row r="4065" spans="1:4" s="79" customFormat="1" ht="14.45">
      <c r="A4065" s="132" t="s">
        <v>658</v>
      </c>
      <c r="B4065" s="77" t="s">
        <v>4439</v>
      </c>
      <c r="C4065" s="18"/>
      <c r="D4065" s="418"/>
    </row>
    <row r="4066" spans="1:4" s="79" customFormat="1" ht="14.45">
      <c r="A4066" s="55" t="s">
        <v>4440</v>
      </c>
      <c r="B4066" s="267" t="s">
        <v>4441</v>
      </c>
      <c r="C4066" s="18"/>
      <c r="D4066" s="418"/>
    </row>
    <row r="4067" spans="1:4" s="79" customFormat="1" ht="39.6">
      <c r="A4067" s="115"/>
      <c r="B4067" s="267" t="s">
        <v>4442</v>
      </c>
      <c r="C4067" s="18"/>
      <c r="D4067" s="418"/>
    </row>
    <row r="4068" spans="1:4" s="79" customFormat="1" ht="14.45">
      <c r="A4068" s="115"/>
      <c r="B4068" s="267" t="s">
        <v>4388</v>
      </c>
      <c r="C4068" s="18"/>
      <c r="D4068" s="418"/>
    </row>
    <row r="4069" spans="1:4" s="79" customFormat="1" ht="26.45">
      <c r="A4069" s="115"/>
      <c r="B4069" s="267" t="s">
        <v>4389</v>
      </c>
      <c r="C4069" s="18"/>
      <c r="D4069" s="418"/>
    </row>
    <row r="4070" spans="1:4" s="79" customFormat="1" ht="39.6">
      <c r="A4070" s="115"/>
      <c r="B4070" s="267" t="s">
        <v>4390</v>
      </c>
      <c r="C4070" s="18"/>
      <c r="D4070" s="418"/>
    </row>
    <row r="4071" spans="1:4" s="79" customFormat="1" ht="14.45">
      <c r="A4071" s="115"/>
      <c r="B4071" s="267" t="s">
        <v>4381</v>
      </c>
      <c r="C4071" s="18"/>
      <c r="D4071" s="418"/>
    </row>
    <row r="4072" spans="1:4" s="79" customFormat="1" ht="14.45">
      <c r="A4072" s="115"/>
      <c r="B4072" s="267" t="s">
        <v>1231</v>
      </c>
      <c r="C4072" s="18" t="s">
        <v>1262</v>
      </c>
      <c r="D4072" s="418"/>
    </row>
    <row r="4073" spans="1:4" s="79" customFormat="1" ht="14.45">
      <c r="A4073" s="55" t="s">
        <v>4443</v>
      </c>
      <c r="B4073" s="267" t="s">
        <v>4444</v>
      </c>
      <c r="C4073" s="18"/>
      <c r="D4073" s="418"/>
    </row>
    <row r="4074" spans="1:4" s="79" customFormat="1" ht="14.45">
      <c r="A4074" s="55"/>
      <c r="B4074" s="267" t="s">
        <v>4353</v>
      </c>
      <c r="C4074" s="18" t="s">
        <v>4354</v>
      </c>
      <c r="D4074" s="418"/>
    </row>
    <row r="4075" spans="1:4" s="79" customFormat="1" ht="14.45">
      <c r="A4075" s="132" t="s">
        <v>659</v>
      </c>
      <c r="B4075" s="77" t="s">
        <v>4445</v>
      </c>
      <c r="C4075" s="18"/>
      <c r="D4075" s="418"/>
    </row>
    <row r="4076" spans="1:4" s="79" customFormat="1" ht="52.9">
      <c r="A4076" s="55"/>
      <c r="B4076" s="267" t="s">
        <v>4446</v>
      </c>
      <c r="C4076" s="18"/>
      <c r="D4076" s="418"/>
    </row>
    <row r="4077" spans="1:4" s="79" customFormat="1" ht="14.45">
      <c r="A4077" s="55" t="s">
        <v>4447</v>
      </c>
      <c r="B4077" s="267" t="s">
        <v>4448</v>
      </c>
      <c r="C4077" s="18"/>
      <c r="D4077" s="418"/>
    </row>
    <row r="4078" spans="1:4" s="79" customFormat="1" ht="14.45">
      <c r="A4078" s="55"/>
      <c r="B4078" s="267" t="s">
        <v>1428</v>
      </c>
      <c r="C4078" s="18" t="s">
        <v>1429</v>
      </c>
      <c r="D4078" s="418"/>
    </row>
    <row r="4079" spans="1:4" s="79" customFormat="1" ht="14.45">
      <c r="A4079" s="55" t="s">
        <v>4449</v>
      </c>
      <c r="B4079" s="267" t="s">
        <v>4450</v>
      </c>
      <c r="C4079" s="18"/>
      <c r="D4079" s="418"/>
    </row>
    <row r="4080" spans="1:4" s="79" customFormat="1" ht="14.45">
      <c r="A4080" s="55"/>
      <c r="B4080" s="267" t="s">
        <v>1428</v>
      </c>
      <c r="C4080" s="18" t="s">
        <v>1429</v>
      </c>
      <c r="D4080" s="418"/>
    </row>
    <row r="4081" spans="1:4" s="79" customFormat="1" ht="14.45">
      <c r="A4081" s="115" t="s">
        <v>4451</v>
      </c>
      <c r="B4081" s="31" t="s">
        <v>4452</v>
      </c>
      <c r="C4081" s="115"/>
      <c r="D4081" s="418"/>
    </row>
    <row r="4082" spans="1:4" s="79" customFormat="1" ht="14.45">
      <c r="A4082" s="132" t="s">
        <v>670</v>
      </c>
      <c r="B4082" s="77" t="s">
        <v>4453</v>
      </c>
      <c r="C4082" s="18"/>
      <c r="D4082" s="418"/>
    </row>
    <row r="4083" spans="1:4" s="79" customFormat="1" ht="39.6">
      <c r="A4083" s="55"/>
      <c r="B4083" s="267" t="s">
        <v>4454</v>
      </c>
      <c r="C4083" s="18"/>
      <c r="D4083" s="418"/>
    </row>
    <row r="4084" spans="1:4" s="79" customFormat="1" ht="14.45">
      <c r="A4084" s="55"/>
      <c r="B4084" s="267" t="s">
        <v>1428</v>
      </c>
      <c r="C4084" s="18" t="s">
        <v>1429</v>
      </c>
      <c r="D4084" s="418"/>
    </row>
    <row r="4085" spans="1:4" s="79" customFormat="1" ht="14.45">
      <c r="A4085" s="132" t="s">
        <v>671</v>
      </c>
      <c r="B4085" s="77" t="s">
        <v>4455</v>
      </c>
      <c r="C4085" s="18"/>
      <c r="D4085" s="418"/>
    </row>
    <row r="4086" spans="1:4" s="79" customFormat="1" ht="26.45">
      <c r="A4086" s="55"/>
      <c r="B4086" s="267" t="s">
        <v>4456</v>
      </c>
      <c r="C4086" s="18"/>
      <c r="D4086" s="418"/>
    </row>
    <row r="4087" spans="1:4" s="79" customFormat="1" ht="14.45">
      <c r="A4087" s="55"/>
      <c r="B4087" s="267" t="s">
        <v>2807</v>
      </c>
      <c r="C4087" s="18" t="s">
        <v>2808</v>
      </c>
      <c r="D4087" s="418"/>
    </row>
    <row r="4088" spans="1:4" s="79" customFormat="1" ht="14.45">
      <c r="A4088" s="132" t="s">
        <v>672</v>
      </c>
      <c r="B4088" s="77" t="s">
        <v>4457</v>
      </c>
      <c r="C4088" s="18"/>
      <c r="D4088" s="418"/>
    </row>
    <row r="4089" spans="1:4" s="79" customFormat="1" ht="26.45">
      <c r="A4089" s="55" t="s">
        <v>4458</v>
      </c>
      <c r="B4089" s="77" t="s">
        <v>4459</v>
      </c>
      <c r="C4089" s="18"/>
      <c r="D4089" s="418"/>
    </row>
    <row r="4090" spans="1:4" s="79" customFormat="1" ht="66">
      <c r="A4090" s="55"/>
      <c r="B4090" s="267" t="s">
        <v>4460</v>
      </c>
      <c r="C4090" s="18"/>
      <c r="D4090" s="418"/>
    </row>
    <row r="4091" spans="1:4" s="79" customFormat="1" ht="14.45">
      <c r="A4091" s="55"/>
      <c r="B4091" s="267" t="s">
        <v>1231</v>
      </c>
      <c r="C4091" s="18" t="s">
        <v>1262</v>
      </c>
      <c r="D4091" s="418"/>
    </row>
    <row r="4092" spans="1:4" s="79" customFormat="1" ht="14.45">
      <c r="A4092" s="55" t="s">
        <v>4461</v>
      </c>
      <c r="B4092" s="77" t="s">
        <v>4462</v>
      </c>
      <c r="C4092" s="18"/>
      <c r="D4092" s="418"/>
    </row>
    <row r="4093" spans="1:4" s="79" customFormat="1" ht="14.45">
      <c r="A4093" s="55"/>
      <c r="B4093" s="267" t="s">
        <v>4353</v>
      </c>
      <c r="C4093" s="18" t="s">
        <v>4354</v>
      </c>
      <c r="D4093" s="418"/>
    </row>
    <row r="4094" spans="1:4" s="79" customFormat="1" ht="14.45">
      <c r="A4094" s="132" t="s">
        <v>673</v>
      </c>
      <c r="B4094" s="77" t="s">
        <v>4463</v>
      </c>
      <c r="C4094" s="18"/>
      <c r="D4094" s="418"/>
    </row>
    <row r="4095" spans="1:4" s="79" customFormat="1" ht="92.45">
      <c r="A4095" s="115"/>
      <c r="B4095" s="267" t="s">
        <v>4464</v>
      </c>
      <c r="C4095" s="18"/>
      <c r="D4095" s="418"/>
    </row>
    <row r="4096" spans="1:4" s="79" customFormat="1" ht="14.45">
      <c r="A4096" s="55" t="s">
        <v>4465</v>
      </c>
      <c r="B4096" s="267" t="s">
        <v>4466</v>
      </c>
      <c r="C4096" s="18"/>
      <c r="D4096" s="418"/>
    </row>
    <row r="4097" spans="1:4" s="79" customFormat="1" ht="14.45">
      <c r="A4097" s="55"/>
      <c r="B4097" s="267" t="s">
        <v>1231</v>
      </c>
      <c r="C4097" s="18" t="s">
        <v>1262</v>
      </c>
      <c r="D4097" s="418"/>
    </row>
    <row r="4098" spans="1:4" s="79" customFormat="1" ht="14.45">
      <c r="A4098" s="55" t="s">
        <v>4467</v>
      </c>
      <c r="B4098" s="267" t="s">
        <v>4468</v>
      </c>
      <c r="C4098" s="18"/>
      <c r="D4098" s="418"/>
    </row>
    <row r="4099" spans="1:4" s="79" customFormat="1" ht="14.45">
      <c r="A4099" s="55"/>
      <c r="B4099" s="267" t="s">
        <v>1231</v>
      </c>
      <c r="C4099" s="18" t="s">
        <v>1262</v>
      </c>
      <c r="D4099" s="418"/>
    </row>
    <row r="4100" spans="1:4" s="79" customFormat="1" ht="14.45">
      <c r="A4100" s="55" t="s">
        <v>4469</v>
      </c>
      <c r="B4100" s="267" t="s">
        <v>4470</v>
      </c>
      <c r="C4100" s="18"/>
      <c r="D4100" s="418"/>
    </row>
    <row r="4101" spans="1:4" s="79" customFormat="1" ht="14.45">
      <c r="A4101" s="148"/>
      <c r="B4101" s="303" t="s">
        <v>1231</v>
      </c>
      <c r="C4101" s="109" t="s">
        <v>1262</v>
      </c>
      <c r="D4101" s="418"/>
    </row>
    <row r="4102" spans="1:4" s="79" customFormat="1" ht="14.45">
      <c r="A4102" s="408" t="s">
        <v>4471</v>
      </c>
      <c r="B4102" s="410" t="s">
        <v>4472</v>
      </c>
      <c r="C4102" s="409"/>
      <c r="D4102" s="441"/>
    </row>
    <row r="4103" spans="1:4" s="79" customFormat="1" ht="14.45">
      <c r="A4103" s="465" t="s">
        <v>682</v>
      </c>
      <c r="B4103" s="466" t="s">
        <v>4473</v>
      </c>
      <c r="C4103" s="126"/>
      <c r="D4103" s="459"/>
    </row>
    <row r="4104" spans="1:4" s="79" customFormat="1" ht="14.45">
      <c r="A4104" s="55"/>
      <c r="B4104" s="395" t="s">
        <v>1028</v>
      </c>
      <c r="C4104" s="18" t="s">
        <v>953</v>
      </c>
      <c r="D4104" s="418"/>
    </row>
    <row r="4105" spans="1:4" s="79" customFormat="1" ht="14.45">
      <c r="A4105" s="467" t="s">
        <v>683</v>
      </c>
      <c r="B4105" s="388" t="s">
        <v>4474</v>
      </c>
      <c r="C4105" s="108"/>
      <c r="D4105" s="418"/>
    </row>
    <row r="4106" spans="1:4" s="79" customFormat="1" ht="14.45">
      <c r="A4106" s="412"/>
      <c r="B4106" s="388" t="s">
        <v>1076</v>
      </c>
      <c r="C4106" s="108" t="s">
        <v>1077</v>
      </c>
      <c r="D4106" s="418"/>
    </row>
    <row r="4107" spans="1:4" s="79" customFormat="1" ht="14.45">
      <c r="A4107" s="467" t="s">
        <v>684</v>
      </c>
      <c r="B4107" s="388" t="s">
        <v>4475</v>
      </c>
      <c r="C4107" s="108"/>
      <c r="D4107" s="418"/>
    </row>
    <row r="4108" spans="1:4" s="79" customFormat="1" ht="14.45">
      <c r="A4108" s="412"/>
      <c r="B4108" s="388" t="s">
        <v>1028</v>
      </c>
      <c r="C4108" s="108" t="s">
        <v>953</v>
      </c>
      <c r="D4108" s="418"/>
    </row>
    <row r="4109" spans="1:4" s="79" customFormat="1" ht="14.45">
      <c r="A4109" s="467" t="s">
        <v>4476</v>
      </c>
      <c r="B4109" s="388" t="s">
        <v>4477</v>
      </c>
      <c r="C4109" s="108"/>
      <c r="D4109" s="418"/>
    </row>
    <row r="4110" spans="1:4" s="79" customFormat="1" ht="14.45">
      <c r="A4110" s="412"/>
      <c r="B4110" s="388" t="s">
        <v>1028</v>
      </c>
      <c r="C4110" s="108" t="s">
        <v>953</v>
      </c>
      <c r="D4110" s="418"/>
    </row>
    <row r="4111" spans="1:4" s="79" customFormat="1" ht="14.45">
      <c r="A4111" s="467" t="s">
        <v>4478</v>
      </c>
      <c r="B4111" s="388" t="s">
        <v>4479</v>
      </c>
      <c r="C4111" s="108"/>
      <c r="D4111" s="418"/>
    </row>
    <row r="4112" spans="1:4" s="79" customFormat="1" ht="14.45">
      <c r="A4112" s="412"/>
      <c r="B4112" s="388" t="s">
        <v>1076</v>
      </c>
      <c r="C4112" s="108" t="s">
        <v>1077</v>
      </c>
      <c r="D4112" s="418"/>
    </row>
    <row r="4113" spans="1:4" s="79" customFormat="1" ht="14.45">
      <c r="A4113" s="467" t="s">
        <v>4480</v>
      </c>
      <c r="B4113" s="388" t="s">
        <v>4481</v>
      </c>
      <c r="C4113" s="108"/>
      <c r="D4113" s="418"/>
    </row>
    <row r="4114" spans="1:4" s="79" customFormat="1" ht="14.45">
      <c r="A4114" s="412"/>
      <c r="B4114" s="388" t="s">
        <v>1028</v>
      </c>
      <c r="C4114" s="108" t="s">
        <v>953</v>
      </c>
      <c r="D4114" s="418"/>
    </row>
    <row r="4115" spans="1:4" s="79" customFormat="1" ht="14.45">
      <c r="A4115" s="412" t="s">
        <v>4482</v>
      </c>
      <c r="B4115" s="388" t="s">
        <v>4483</v>
      </c>
      <c r="C4115" s="108"/>
      <c r="D4115" s="418"/>
    </row>
    <row r="4116" spans="1:4" s="79" customFormat="1" ht="14.45">
      <c r="A4116" s="467" t="s">
        <v>685</v>
      </c>
      <c r="B4116" s="388" t="s">
        <v>4484</v>
      </c>
      <c r="C4116" s="108"/>
      <c r="D4116" s="418"/>
    </row>
    <row r="4117" spans="1:4" s="79" customFormat="1" ht="14.45">
      <c r="A4117" s="412"/>
      <c r="B4117" s="388" t="s">
        <v>1076</v>
      </c>
      <c r="C4117" s="108" t="s">
        <v>1077</v>
      </c>
      <c r="D4117" s="418"/>
    </row>
    <row r="4118" spans="1:4" s="79" customFormat="1" ht="14.45">
      <c r="A4118" s="467" t="s">
        <v>686</v>
      </c>
      <c r="B4118" s="388" t="s">
        <v>4485</v>
      </c>
      <c r="C4118" s="108"/>
      <c r="D4118" s="418"/>
    </row>
    <row r="4119" spans="1:4" s="79" customFormat="1" ht="14.45">
      <c r="A4119" s="412"/>
      <c r="B4119" s="388" t="s">
        <v>1076</v>
      </c>
      <c r="C4119" s="108" t="s">
        <v>1077</v>
      </c>
      <c r="D4119" s="418"/>
    </row>
    <row r="4120" spans="1:4" s="79" customFormat="1" ht="14.45">
      <c r="A4120" s="412" t="s">
        <v>4486</v>
      </c>
      <c r="B4120" s="388" t="s">
        <v>4487</v>
      </c>
      <c r="C4120" s="108"/>
      <c r="D4120" s="418"/>
    </row>
    <row r="4121" spans="1:4" s="79" customFormat="1" ht="14.45">
      <c r="A4121" s="467" t="s">
        <v>4488</v>
      </c>
      <c r="B4121" s="388" t="s">
        <v>4489</v>
      </c>
      <c r="C4121" s="108"/>
      <c r="D4121" s="418"/>
    </row>
    <row r="4122" spans="1:4" s="79" customFormat="1" ht="14.45">
      <c r="A4122" s="412"/>
      <c r="B4122" s="388" t="s">
        <v>1076</v>
      </c>
      <c r="C4122" s="108" t="s">
        <v>1077</v>
      </c>
      <c r="D4122" s="418"/>
    </row>
    <row r="4123" spans="1:4" s="79" customFormat="1" ht="14.45">
      <c r="A4123" s="467" t="s">
        <v>4490</v>
      </c>
      <c r="B4123" s="388" t="s">
        <v>4491</v>
      </c>
      <c r="C4123" s="108"/>
      <c r="D4123" s="418"/>
    </row>
    <row r="4124" spans="1:4" s="79" customFormat="1" ht="14.45">
      <c r="A4124" s="412"/>
      <c r="B4124" s="388" t="s">
        <v>1076</v>
      </c>
      <c r="C4124" s="108" t="s">
        <v>1077</v>
      </c>
      <c r="D4124" s="418"/>
    </row>
    <row r="4125" spans="1:4" s="79" customFormat="1" ht="14.45">
      <c r="A4125" s="412" t="s">
        <v>4492</v>
      </c>
      <c r="B4125" s="388" t="s">
        <v>4493</v>
      </c>
      <c r="C4125" s="108"/>
      <c r="D4125" s="418"/>
    </row>
    <row r="4126" spans="1:4" s="79" customFormat="1" ht="14.45">
      <c r="A4126" s="467" t="s">
        <v>4494</v>
      </c>
      <c r="B4126" s="388" t="s">
        <v>4495</v>
      </c>
      <c r="C4126" s="108"/>
      <c r="D4126" s="418"/>
    </row>
    <row r="4127" spans="1:4" s="79" customFormat="1" ht="14.45">
      <c r="A4127" s="412"/>
      <c r="B4127" s="388" t="s">
        <v>1028</v>
      </c>
      <c r="C4127" s="108" t="s">
        <v>953</v>
      </c>
      <c r="D4127" s="418"/>
    </row>
    <row r="4128" spans="1:4" s="79" customFormat="1" ht="26.45">
      <c r="A4128" s="467" t="s">
        <v>4496</v>
      </c>
      <c r="B4128" s="388" t="s">
        <v>4497</v>
      </c>
      <c r="C4128" s="108"/>
      <c r="D4128" s="418"/>
    </row>
    <row r="4129" spans="1:4" s="79" customFormat="1" ht="14.45">
      <c r="A4129" s="412"/>
      <c r="B4129" s="388" t="s">
        <v>1076</v>
      </c>
      <c r="C4129" s="108" t="s">
        <v>1077</v>
      </c>
      <c r="D4129" s="418"/>
    </row>
    <row r="4130" spans="1:4" s="79" customFormat="1" ht="14.45">
      <c r="A4130" s="467" t="s">
        <v>4498</v>
      </c>
      <c r="B4130" s="388" t="s">
        <v>4499</v>
      </c>
      <c r="C4130" s="108"/>
      <c r="D4130" s="418"/>
    </row>
    <row r="4131" spans="1:4" s="79" customFormat="1" ht="14.45">
      <c r="A4131" s="412"/>
      <c r="B4131" s="388" t="s">
        <v>1028</v>
      </c>
      <c r="C4131" s="108" t="s">
        <v>953</v>
      </c>
      <c r="D4131" s="418"/>
    </row>
    <row r="4132" spans="1:4" s="79" customFormat="1" ht="14.45">
      <c r="A4132" s="467" t="s">
        <v>4500</v>
      </c>
      <c r="B4132" s="388" t="s">
        <v>4501</v>
      </c>
      <c r="C4132" s="108"/>
      <c r="D4132" s="418"/>
    </row>
    <row r="4133" spans="1:4" s="79" customFormat="1" ht="14.45">
      <c r="A4133" s="412"/>
      <c r="B4133" s="388" t="s">
        <v>1028</v>
      </c>
      <c r="C4133" s="108" t="s">
        <v>953</v>
      </c>
      <c r="D4133" s="418"/>
    </row>
    <row r="4134" spans="1:4" s="79" customFormat="1" ht="26.45">
      <c r="A4134" s="467" t="s">
        <v>4502</v>
      </c>
      <c r="B4134" s="388" t="s">
        <v>4503</v>
      </c>
      <c r="C4134" s="108"/>
      <c r="D4134" s="418"/>
    </row>
    <row r="4135" spans="1:4" s="79" customFormat="1" ht="14.45">
      <c r="A4135" s="412"/>
      <c r="B4135" s="388" t="s">
        <v>1076</v>
      </c>
      <c r="C4135" s="108" t="s">
        <v>1077</v>
      </c>
      <c r="D4135" s="418"/>
    </row>
    <row r="4136" spans="1:4" s="79" customFormat="1" ht="14.45">
      <c r="A4136" s="467" t="s">
        <v>4504</v>
      </c>
      <c r="B4136" s="388" t="s">
        <v>4505</v>
      </c>
      <c r="C4136" s="108"/>
      <c r="D4136" s="418"/>
    </row>
    <row r="4137" spans="1:4" s="79" customFormat="1" ht="14.45">
      <c r="A4137" s="412"/>
      <c r="B4137" s="388" t="s">
        <v>1028</v>
      </c>
      <c r="C4137" s="108" t="s">
        <v>953</v>
      </c>
      <c r="D4137" s="418"/>
    </row>
    <row r="4138" spans="1:4" s="79" customFormat="1" ht="14.45">
      <c r="A4138" s="467" t="s">
        <v>4506</v>
      </c>
      <c r="B4138" s="388" t="s">
        <v>4507</v>
      </c>
      <c r="C4138" s="108"/>
      <c r="D4138" s="418"/>
    </row>
    <row r="4139" spans="1:4" s="79" customFormat="1" ht="14.45">
      <c r="A4139" s="412"/>
      <c r="B4139" s="388" t="s">
        <v>1028</v>
      </c>
      <c r="C4139" s="108" t="s">
        <v>953</v>
      </c>
      <c r="D4139" s="418"/>
    </row>
    <row r="4140" spans="1:4" s="79" customFormat="1" ht="26.45">
      <c r="A4140" s="467" t="s">
        <v>4508</v>
      </c>
      <c r="B4140" s="388" t="s">
        <v>4509</v>
      </c>
      <c r="C4140" s="108"/>
      <c r="D4140" s="418"/>
    </row>
    <row r="4141" spans="1:4" s="79" customFormat="1" ht="14.45">
      <c r="A4141" s="412"/>
      <c r="B4141" s="388" t="s">
        <v>1076</v>
      </c>
      <c r="C4141" s="108" t="s">
        <v>1077</v>
      </c>
      <c r="D4141" s="418"/>
    </row>
    <row r="4142" spans="1:4" s="79" customFormat="1" ht="14.45">
      <c r="A4142" s="467" t="s">
        <v>4510</v>
      </c>
      <c r="B4142" s="388" t="s">
        <v>4511</v>
      </c>
      <c r="C4142" s="108"/>
      <c r="D4142" s="418"/>
    </row>
    <row r="4143" spans="1:4" s="79" customFormat="1" ht="14.45">
      <c r="A4143" s="412"/>
      <c r="B4143" s="388" t="s">
        <v>1028</v>
      </c>
      <c r="C4143" s="108" t="s">
        <v>953</v>
      </c>
      <c r="D4143" s="421"/>
    </row>
    <row r="4144" spans="1:4" s="79" customFormat="1" ht="14.45">
      <c r="A4144" s="86" t="s">
        <v>4512</v>
      </c>
      <c r="B4144" s="411" t="s">
        <v>4513</v>
      </c>
      <c r="C4144" s="88" t="s">
        <v>959</v>
      </c>
      <c r="D4144" s="451"/>
    </row>
    <row r="4145" spans="1:4" s="79" customFormat="1" ht="14.45">
      <c r="A4145" s="22" t="s">
        <v>4514</v>
      </c>
      <c r="B4145" s="50" t="s">
        <v>4515</v>
      </c>
      <c r="C4145" s="45" t="s">
        <v>959</v>
      </c>
      <c r="D4145" s="439"/>
    </row>
    <row r="4146" spans="1:4" s="79" customFormat="1" ht="14.45">
      <c r="A4146" s="55" t="s">
        <v>690</v>
      </c>
      <c r="B4146" s="77" t="s">
        <v>4516</v>
      </c>
      <c r="C4146" s="18"/>
      <c r="D4146" s="418"/>
    </row>
    <row r="4147" spans="1:4" s="79" customFormat="1" ht="26.45">
      <c r="A4147" s="55"/>
      <c r="B4147" s="267" t="s">
        <v>4517</v>
      </c>
      <c r="C4147" s="18"/>
      <c r="D4147" s="418"/>
    </row>
    <row r="4148" spans="1:4" s="79" customFormat="1" ht="14.45">
      <c r="A4148" s="55"/>
      <c r="B4148" s="320" t="s">
        <v>2401</v>
      </c>
      <c r="C4148" s="133"/>
      <c r="D4148" s="418"/>
    </row>
    <row r="4149" spans="1:4" s="79" customFormat="1" ht="14.45">
      <c r="A4149" s="55"/>
      <c r="B4149" s="321" t="s">
        <v>4518</v>
      </c>
      <c r="C4149" s="133"/>
      <c r="D4149" s="418"/>
    </row>
    <row r="4150" spans="1:4" s="79" customFormat="1" ht="14.45">
      <c r="A4150" s="55"/>
      <c r="B4150" s="321" t="s">
        <v>4519</v>
      </c>
      <c r="C4150" s="133"/>
      <c r="D4150" s="418"/>
    </row>
    <row r="4151" spans="1:4" s="79" customFormat="1" ht="14.45">
      <c r="A4151" s="55"/>
      <c r="B4151" s="321" t="s">
        <v>4520</v>
      </c>
      <c r="C4151" s="133"/>
      <c r="D4151" s="418"/>
    </row>
    <row r="4152" spans="1:4" s="79" customFormat="1" ht="14.45">
      <c r="A4152" s="55"/>
      <c r="B4152" s="321" t="s">
        <v>4521</v>
      </c>
      <c r="C4152" s="133"/>
      <c r="D4152" s="418"/>
    </row>
    <row r="4153" spans="1:4" s="79" customFormat="1" ht="14.45">
      <c r="A4153" s="55"/>
      <c r="B4153" s="321" t="s">
        <v>4522</v>
      </c>
      <c r="C4153" s="133"/>
      <c r="D4153" s="418"/>
    </row>
    <row r="4154" spans="1:4" s="79" customFormat="1" ht="14.45">
      <c r="A4154" s="55"/>
      <c r="B4154" s="321" t="s">
        <v>4523</v>
      </c>
      <c r="C4154" s="133"/>
      <c r="D4154" s="418"/>
    </row>
    <row r="4155" spans="1:4" s="79" customFormat="1" ht="14.45">
      <c r="A4155" s="55"/>
      <c r="B4155" s="320" t="s">
        <v>4524</v>
      </c>
      <c r="C4155" s="133"/>
      <c r="D4155" s="418"/>
    </row>
    <row r="4156" spans="1:4" s="79" customFormat="1" ht="14.45">
      <c r="A4156" s="55" t="s">
        <v>4525</v>
      </c>
      <c r="B4156" s="132" t="s">
        <v>4526</v>
      </c>
      <c r="C4156" s="133"/>
      <c r="D4156" s="418"/>
    </row>
    <row r="4157" spans="1:4" s="79" customFormat="1" ht="14.45">
      <c r="A4157" s="55"/>
      <c r="B4157" s="267" t="s">
        <v>1231</v>
      </c>
      <c r="C4157" s="18" t="s">
        <v>1262</v>
      </c>
      <c r="D4157" s="418"/>
    </row>
    <row r="4158" spans="1:4" s="79" customFormat="1" ht="14.45">
      <c r="A4158" s="55" t="s">
        <v>4527</v>
      </c>
      <c r="B4158" s="77" t="s">
        <v>4528</v>
      </c>
      <c r="C4158" s="18"/>
      <c r="D4158" s="418"/>
    </row>
    <row r="4159" spans="1:4" s="79" customFormat="1" ht="14.45">
      <c r="A4159" s="55"/>
      <c r="B4159" s="267" t="s">
        <v>1231</v>
      </c>
      <c r="C4159" s="18" t="s">
        <v>1262</v>
      </c>
      <c r="D4159" s="418"/>
    </row>
    <row r="4160" spans="1:4" s="79" customFormat="1" ht="14.45">
      <c r="A4160" s="55" t="s">
        <v>4529</v>
      </c>
      <c r="B4160" s="77" t="s">
        <v>4530</v>
      </c>
      <c r="C4160" s="18"/>
      <c r="D4160" s="418"/>
    </row>
    <row r="4161" spans="1:4" s="79" customFormat="1" ht="14.45">
      <c r="A4161" s="55"/>
      <c r="B4161" s="267" t="s">
        <v>1231</v>
      </c>
      <c r="C4161" s="18" t="s">
        <v>1262</v>
      </c>
      <c r="D4161" s="418"/>
    </row>
    <row r="4162" spans="1:4" s="79" customFormat="1" ht="14.45">
      <c r="A4162" s="55" t="s">
        <v>691</v>
      </c>
      <c r="B4162" s="77" t="s">
        <v>4531</v>
      </c>
      <c r="C4162" s="18"/>
      <c r="D4162" s="418"/>
    </row>
    <row r="4163" spans="1:4" s="79" customFormat="1" ht="26.45">
      <c r="A4163" s="55"/>
      <c r="B4163" s="267" t="s">
        <v>4532</v>
      </c>
      <c r="C4163" s="18"/>
      <c r="D4163" s="418"/>
    </row>
    <row r="4164" spans="1:4" s="79" customFormat="1" ht="14.45">
      <c r="A4164" s="55"/>
      <c r="B4164" s="267" t="s">
        <v>2401</v>
      </c>
      <c r="C4164" s="18"/>
      <c r="D4164" s="418"/>
    </row>
    <row r="4165" spans="1:4" s="79" customFormat="1" ht="14.45">
      <c r="A4165" s="55"/>
      <c r="B4165" s="267" t="s">
        <v>4518</v>
      </c>
      <c r="C4165" s="18"/>
      <c r="D4165" s="418"/>
    </row>
    <row r="4166" spans="1:4" s="79" customFormat="1" ht="14.45">
      <c r="A4166" s="55"/>
      <c r="B4166" s="267" t="s">
        <v>4533</v>
      </c>
      <c r="C4166" s="18"/>
      <c r="D4166" s="418"/>
    </row>
    <row r="4167" spans="1:4" s="79" customFormat="1" ht="14.45">
      <c r="A4167" s="55"/>
      <c r="B4167" s="267" t="s">
        <v>4519</v>
      </c>
      <c r="C4167" s="18"/>
      <c r="D4167" s="418"/>
    </row>
    <row r="4168" spans="1:4" s="79" customFormat="1" ht="14.45">
      <c r="A4168" s="55"/>
      <c r="B4168" s="267" t="s">
        <v>4521</v>
      </c>
      <c r="C4168" s="18"/>
      <c r="D4168" s="418"/>
    </row>
    <row r="4169" spans="1:4" s="79" customFormat="1" ht="14.45">
      <c r="A4169" s="55"/>
      <c r="B4169" s="267" t="s">
        <v>4522</v>
      </c>
      <c r="C4169" s="18"/>
      <c r="D4169" s="418"/>
    </row>
    <row r="4170" spans="1:4" s="79" customFormat="1" ht="14.45">
      <c r="A4170" s="55"/>
      <c r="B4170" s="267" t="s">
        <v>4523</v>
      </c>
      <c r="C4170" s="18"/>
      <c r="D4170" s="418"/>
    </row>
    <row r="4171" spans="1:4" s="79" customFormat="1" ht="14.45">
      <c r="A4171" s="55"/>
      <c r="B4171" s="267" t="s">
        <v>4524</v>
      </c>
      <c r="C4171" s="18"/>
      <c r="D4171" s="418"/>
    </row>
    <row r="4172" spans="1:4" s="79" customFormat="1" ht="14.45">
      <c r="A4172" s="55" t="s">
        <v>4534</v>
      </c>
      <c r="B4172" s="132" t="s">
        <v>4526</v>
      </c>
      <c r="C4172" s="133"/>
      <c r="D4172" s="418"/>
    </row>
    <row r="4173" spans="1:4" s="79" customFormat="1" ht="14.45">
      <c r="A4173" s="55"/>
      <c r="B4173" s="267" t="s">
        <v>1231</v>
      </c>
      <c r="C4173" s="18" t="s">
        <v>1262</v>
      </c>
      <c r="D4173" s="418"/>
    </row>
    <row r="4174" spans="1:4" s="79" customFormat="1" ht="14.45">
      <c r="A4174" s="55" t="s">
        <v>4535</v>
      </c>
      <c r="B4174" s="77" t="s">
        <v>4528</v>
      </c>
      <c r="C4174" s="18"/>
      <c r="D4174" s="418"/>
    </row>
    <row r="4175" spans="1:4" s="79" customFormat="1" ht="14.45">
      <c r="A4175" s="55"/>
      <c r="B4175" s="267" t="s">
        <v>1231</v>
      </c>
      <c r="C4175" s="18" t="s">
        <v>1262</v>
      </c>
      <c r="D4175" s="418"/>
    </row>
    <row r="4176" spans="1:4" s="79" customFormat="1" ht="14.45">
      <c r="A4176" s="55" t="s">
        <v>4536</v>
      </c>
      <c r="B4176" s="77" t="s">
        <v>4530</v>
      </c>
      <c r="C4176" s="18"/>
      <c r="D4176" s="418"/>
    </row>
    <row r="4177" spans="1:4" s="79" customFormat="1" ht="14.45">
      <c r="A4177" s="55"/>
      <c r="B4177" s="267" t="s">
        <v>1231</v>
      </c>
      <c r="C4177" s="18" t="s">
        <v>1262</v>
      </c>
      <c r="D4177" s="418"/>
    </row>
    <row r="4178" spans="1:4" s="79" customFormat="1" ht="14.45">
      <c r="A4178" s="55" t="s">
        <v>692</v>
      </c>
      <c r="B4178" s="77" t="s">
        <v>4537</v>
      </c>
      <c r="C4178" s="18"/>
      <c r="D4178" s="418"/>
    </row>
    <row r="4179" spans="1:4" s="79" customFormat="1" ht="26.45">
      <c r="A4179" s="55"/>
      <c r="B4179" s="267" t="s">
        <v>4538</v>
      </c>
      <c r="C4179" s="18"/>
      <c r="D4179" s="418"/>
    </row>
    <row r="4180" spans="1:4" s="79" customFormat="1" ht="14.45">
      <c r="A4180" s="55"/>
      <c r="B4180" s="267" t="s">
        <v>2401</v>
      </c>
      <c r="C4180" s="18"/>
      <c r="D4180" s="418"/>
    </row>
    <row r="4181" spans="1:4" s="79" customFormat="1" ht="14.45">
      <c r="A4181" s="55"/>
      <c r="B4181" s="267" t="s">
        <v>4518</v>
      </c>
      <c r="C4181" s="18"/>
      <c r="D4181" s="418"/>
    </row>
    <row r="4182" spans="1:4" s="79" customFormat="1" ht="14.45">
      <c r="A4182" s="55"/>
      <c r="B4182" s="267" t="s">
        <v>4533</v>
      </c>
      <c r="C4182" s="18"/>
      <c r="D4182" s="418"/>
    </row>
    <row r="4183" spans="1:4" s="79" customFormat="1" ht="14.45">
      <c r="A4183" s="55"/>
      <c r="B4183" s="267" t="s">
        <v>4519</v>
      </c>
      <c r="C4183" s="18"/>
      <c r="D4183" s="418"/>
    </row>
    <row r="4184" spans="1:4" s="79" customFormat="1" ht="14.45">
      <c r="A4184" s="55"/>
      <c r="B4184" s="267" t="s">
        <v>4521</v>
      </c>
      <c r="C4184" s="18"/>
      <c r="D4184" s="418"/>
    </row>
    <row r="4185" spans="1:4" s="79" customFormat="1" ht="14.45">
      <c r="A4185" s="55"/>
      <c r="B4185" s="267" t="s">
        <v>4522</v>
      </c>
      <c r="C4185" s="18"/>
      <c r="D4185" s="418"/>
    </row>
    <row r="4186" spans="1:4" s="79" customFormat="1" ht="14.45">
      <c r="A4186" s="55"/>
      <c r="B4186" s="267" t="s">
        <v>4523</v>
      </c>
      <c r="C4186" s="18"/>
      <c r="D4186" s="418"/>
    </row>
    <row r="4187" spans="1:4" s="79" customFormat="1" ht="14.45">
      <c r="A4187" s="55"/>
      <c r="B4187" s="267" t="s">
        <v>4524</v>
      </c>
      <c r="C4187" s="18"/>
      <c r="D4187" s="418"/>
    </row>
    <row r="4188" spans="1:4" s="79" customFormat="1" ht="14.45">
      <c r="A4188" s="55" t="s">
        <v>4539</v>
      </c>
      <c r="B4188" s="132" t="s">
        <v>4526</v>
      </c>
      <c r="C4188" s="133"/>
      <c r="D4188" s="418"/>
    </row>
    <row r="4189" spans="1:4" s="79" customFormat="1" ht="14.45">
      <c r="A4189" s="55"/>
      <c r="B4189" s="267" t="s">
        <v>1231</v>
      </c>
      <c r="C4189" s="18" t="s">
        <v>1262</v>
      </c>
      <c r="D4189" s="418"/>
    </row>
    <row r="4190" spans="1:4" s="79" customFormat="1" ht="14.45">
      <c r="A4190" s="55" t="s">
        <v>4540</v>
      </c>
      <c r="B4190" s="77" t="s">
        <v>4528</v>
      </c>
      <c r="C4190" s="18"/>
      <c r="D4190" s="418"/>
    </row>
    <row r="4191" spans="1:4" s="79" customFormat="1" ht="14.45">
      <c r="A4191" s="55"/>
      <c r="B4191" s="267" t="s">
        <v>1231</v>
      </c>
      <c r="C4191" s="18" t="s">
        <v>1262</v>
      </c>
      <c r="D4191" s="418"/>
    </row>
    <row r="4192" spans="1:4" s="79" customFormat="1" ht="14.45">
      <c r="A4192" s="55" t="s">
        <v>4541</v>
      </c>
      <c r="B4192" s="77" t="s">
        <v>4530</v>
      </c>
      <c r="C4192" s="18"/>
      <c r="D4192" s="418"/>
    </row>
    <row r="4193" spans="1:4" s="79" customFormat="1" ht="14.45">
      <c r="A4193" s="148"/>
      <c r="B4193" s="303" t="s">
        <v>1231</v>
      </c>
      <c r="C4193" s="109" t="s">
        <v>1262</v>
      </c>
      <c r="D4193" s="418"/>
    </row>
    <row r="4194" spans="1:4" s="79" customFormat="1" ht="14.45">
      <c r="A4194" s="22" t="s">
        <v>4542</v>
      </c>
      <c r="B4194" s="59" t="s">
        <v>4543</v>
      </c>
      <c r="C4194" s="45" t="s">
        <v>959</v>
      </c>
      <c r="D4194" s="439"/>
    </row>
    <row r="4195" spans="1:4" s="79" customFormat="1" ht="14.45">
      <c r="A4195" s="30" t="s">
        <v>4544</v>
      </c>
      <c r="B4195" s="31" t="s">
        <v>4545</v>
      </c>
      <c r="C4195" s="18"/>
      <c r="D4195" s="418"/>
    </row>
    <row r="4196" spans="1:4" s="79" customFormat="1" ht="14.45">
      <c r="A4196" s="111" t="s">
        <v>959</v>
      </c>
      <c r="B4196" s="267" t="s">
        <v>4546</v>
      </c>
      <c r="C4196" s="18" t="s">
        <v>959</v>
      </c>
      <c r="D4196" s="418"/>
    </row>
    <row r="4197" spans="1:4" s="79" customFormat="1" ht="14.45">
      <c r="A4197" s="111" t="s">
        <v>959</v>
      </c>
      <c r="B4197" s="267" t="s">
        <v>1150</v>
      </c>
      <c r="C4197" s="18" t="s">
        <v>959</v>
      </c>
      <c r="D4197" s="418"/>
    </row>
    <row r="4198" spans="1:4" s="79" customFormat="1" ht="14.45">
      <c r="A4198" s="111" t="s">
        <v>959</v>
      </c>
      <c r="B4198" s="267" t="s">
        <v>1542</v>
      </c>
      <c r="C4198" s="18" t="s">
        <v>959</v>
      </c>
      <c r="D4198" s="418"/>
    </row>
    <row r="4199" spans="1:4" s="79" customFormat="1" ht="14.45">
      <c r="A4199" s="111" t="s">
        <v>959</v>
      </c>
      <c r="B4199" s="267" t="s">
        <v>4547</v>
      </c>
      <c r="C4199" s="18" t="s">
        <v>959</v>
      </c>
      <c r="D4199" s="418"/>
    </row>
    <row r="4200" spans="1:4" s="79" customFormat="1" ht="14.45">
      <c r="A4200" s="111" t="s">
        <v>959</v>
      </c>
      <c r="B4200" s="267" t="s">
        <v>4548</v>
      </c>
      <c r="C4200" s="18" t="s">
        <v>959</v>
      </c>
      <c r="D4200" s="418"/>
    </row>
    <row r="4201" spans="1:4" s="79" customFormat="1" ht="14.45">
      <c r="A4201" s="111" t="s">
        <v>959</v>
      </c>
      <c r="B4201" s="267" t="s">
        <v>4549</v>
      </c>
      <c r="C4201" s="18" t="s">
        <v>959</v>
      </c>
      <c r="D4201" s="418"/>
    </row>
    <row r="4202" spans="1:4" s="79" customFormat="1" ht="14.45">
      <c r="A4202" s="55" t="s">
        <v>694</v>
      </c>
      <c r="B4202" s="77" t="s">
        <v>4550</v>
      </c>
      <c r="C4202" s="18"/>
      <c r="D4202" s="418"/>
    </row>
    <row r="4203" spans="1:4" s="79" customFormat="1" ht="14.45">
      <c r="A4203" s="30"/>
      <c r="B4203" s="267" t="s">
        <v>2807</v>
      </c>
      <c r="C4203" s="18" t="s">
        <v>2808</v>
      </c>
      <c r="D4203" s="418"/>
    </row>
    <row r="4204" spans="1:4" s="79" customFormat="1" ht="14.45">
      <c r="A4204" s="55" t="s">
        <v>695</v>
      </c>
      <c r="B4204" s="77" t="s">
        <v>4551</v>
      </c>
      <c r="C4204" s="18"/>
      <c r="D4204" s="418"/>
    </row>
    <row r="4205" spans="1:4" s="79" customFormat="1" ht="14.45">
      <c r="A4205" s="30"/>
      <c r="B4205" s="267" t="s">
        <v>2807</v>
      </c>
      <c r="C4205" s="18" t="s">
        <v>2808</v>
      </c>
      <c r="D4205" s="418"/>
    </row>
    <row r="4206" spans="1:4" s="79" customFormat="1" ht="14.45">
      <c r="A4206" s="55" t="s">
        <v>696</v>
      </c>
      <c r="B4206" s="77" t="s">
        <v>4552</v>
      </c>
      <c r="C4206" s="18"/>
      <c r="D4206" s="418"/>
    </row>
    <row r="4207" spans="1:4" s="79" customFormat="1" ht="14.45">
      <c r="A4207" s="116"/>
      <c r="B4207" s="303" t="s">
        <v>2807</v>
      </c>
      <c r="C4207" s="109" t="s">
        <v>2808</v>
      </c>
      <c r="D4207" s="418"/>
    </row>
    <row r="4208" spans="1:4" s="79" customFormat="1" ht="14.45">
      <c r="A4208" s="30" t="s">
        <v>4553</v>
      </c>
      <c r="B4208" s="31" t="s">
        <v>4554</v>
      </c>
      <c r="C4208" s="18"/>
      <c r="D4208" s="418"/>
    </row>
    <row r="4209" spans="1:4" s="79" customFormat="1" ht="14.45">
      <c r="A4209" s="111" t="s">
        <v>959</v>
      </c>
      <c r="B4209" s="267" t="s">
        <v>4555</v>
      </c>
      <c r="C4209" s="18" t="s">
        <v>959</v>
      </c>
      <c r="D4209" s="418"/>
    </row>
    <row r="4210" spans="1:4" s="79" customFormat="1" ht="14.45">
      <c r="A4210" s="111" t="s">
        <v>959</v>
      </c>
      <c r="B4210" s="267" t="s">
        <v>1150</v>
      </c>
      <c r="C4210" s="18" t="s">
        <v>959</v>
      </c>
      <c r="D4210" s="418"/>
    </row>
    <row r="4211" spans="1:4" s="79" customFormat="1" ht="14.45">
      <c r="A4211" s="111" t="s">
        <v>959</v>
      </c>
      <c r="B4211" s="267" t="s">
        <v>1542</v>
      </c>
      <c r="C4211" s="18" t="s">
        <v>959</v>
      </c>
      <c r="D4211" s="418"/>
    </row>
    <row r="4212" spans="1:4" s="79" customFormat="1" ht="14.45">
      <c r="A4212" s="111" t="s">
        <v>959</v>
      </c>
      <c r="B4212" s="267" t="s">
        <v>4547</v>
      </c>
      <c r="C4212" s="18" t="s">
        <v>959</v>
      </c>
      <c r="D4212" s="418"/>
    </row>
    <row r="4213" spans="1:4" s="79" customFormat="1" ht="14.45">
      <c r="A4213" s="111" t="s">
        <v>959</v>
      </c>
      <c r="B4213" s="267" t="s">
        <v>4548</v>
      </c>
      <c r="C4213" s="18" t="s">
        <v>959</v>
      </c>
      <c r="D4213" s="418"/>
    </row>
    <row r="4214" spans="1:4" s="79" customFormat="1" ht="14.45">
      <c r="A4214" s="111" t="s">
        <v>959</v>
      </c>
      <c r="B4214" s="267" t="s">
        <v>4549</v>
      </c>
      <c r="C4214" s="18" t="s">
        <v>959</v>
      </c>
      <c r="D4214" s="418"/>
    </row>
    <row r="4215" spans="1:4" s="79" customFormat="1" ht="14.45">
      <c r="A4215" s="55" t="s">
        <v>703</v>
      </c>
      <c r="B4215" s="77" t="s">
        <v>4550</v>
      </c>
      <c r="C4215" s="18"/>
      <c r="D4215" s="418"/>
    </row>
    <row r="4216" spans="1:4" s="79" customFormat="1" ht="14.45">
      <c r="A4216" s="30"/>
      <c r="B4216" s="267" t="s">
        <v>2807</v>
      </c>
      <c r="C4216" s="18" t="s">
        <v>2808</v>
      </c>
      <c r="D4216" s="418"/>
    </row>
    <row r="4217" spans="1:4" s="79" customFormat="1" ht="14.45">
      <c r="A4217" s="55" t="s">
        <v>704</v>
      </c>
      <c r="B4217" s="77" t="s">
        <v>4551</v>
      </c>
      <c r="C4217" s="18"/>
      <c r="D4217" s="418"/>
    </row>
    <row r="4218" spans="1:4" s="79" customFormat="1" ht="14.45">
      <c r="A4218" s="30"/>
      <c r="B4218" s="267" t="s">
        <v>2807</v>
      </c>
      <c r="C4218" s="18" t="s">
        <v>2808</v>
      </c>
      <c r="D4218" s="418"/>
    </row>
    <row r="4219" spans="1:4" s="79" customFormat="1" ht="14.45">
      <c r="A4219" s="55" t="s">
        <v>705</v>
      </c>
      <c r="B4219" s="77" t="s">
        <v>4552</v>
      </c>
      <c r="C4219" s="18"/>
      <c r="D4219" s="418"/>
    </row>
    <row r="4220" spans="1:4" s="79" customFormat="1" ht="14.45">
      <c r="A4220" s="30"/>
      <c r="B4220" s="267" t="s">
        <v>2807</v>
      </c>
      <c r="C4220" s="18" t="s">
        <v>2808</v>
      </c>
      <c r="D4220" s="418"/>
    </row>
    <row r="4221" spans="1:4" s="79" customFormat="1" ht="14.45">
      <c r="A4221" s="30" t="s">
        <v>708</v>
      </c>
      <c r="B4221" s="31" t="s">
        <v>4556</v>
      </c>
      <c r="C4221" s="18"/>
      <c r="D4221" s="418"/>
    </row>
    <row r="4222" spans="1:4" s="79" customFormat="1" ht="14.45">
      <c r="A4222" s="111" t="s">
        <v>959</v>
      </c>
      <c r="B4222" s="267" t="s">
        <v>4557</v>
      </c>
      <c r="C4222" s="18" t="s">
        <v>959</v>
      </c>
      <c r="D4222" s="418"/>
    </row>
    <row r="4223" spans="1:4" s="79" customFormat="1" ht="14.45">
      <c r="A4223" s="111" t="s">
        <v>959</v>
      </c>
      <c r="B4223" s="267" t="s">
        <v>1150</v>
      </c>
      <c r="C4223" s="18" t="s">
        <v>959</v>
      </c>
      <c r="D4223" s="418"/>
    </row>
    <row r="4224" spans="1:4" s="79" customFormat="1" ht="14.45">
      <c r="A4224" s="111" t="s">
        <v>959</v>
      </c>
      <c r="B4224" s="267" t="s">
        <v>1542</v>
      </c>
      <c r="C4224" s="18" t="s">
        <v>959</v>
      </c>
      <c r="D4224" s="418"/>
    </row>
    <row r="4225" spans="1:4" s="79" customFormat="1" ht="14.45">
      <c r="A4225" s="111" t="s">
        <v>959</v>
      </c>
      <c r="B4225" s="267" t="s">
        <v>4547</v>
      </c>
      <c r="C4225" s="18" t="s">
        <v>959</v>
      </c>
      <c r="D4225" s="418"/>
    </row>
    <row r="4226" spans="1:4" s="79" customFormat="1" ht="14.45">
      <c r="A4226" s="111" t="s">
        <v>959</v>
      </c>
      <c r="B4226" s="267" t="s">
        <v>4548</v>
      </c>
      <c r="C4226" s="18" t="s">
        <v>959</v>
      </c>
      <c r="D4226" s="418"/>
    </row>
    <row r="4227" spans="1:4" s="79" customFormat="1" ht="14.45">
      <c r="A4227" s="111" t="s">
        <v>959</v>
      </c>
      <c r="B4227" s="267" t="s">
        <v>4549</v>
      </c>
      <c r="C4227" s="18" t="s">
        <v>959</v>
      </c>
      <c r="D4227" s="418"/>
    </row>
    <row r="4228" spans="1:4" s="79" customFormat="1" ht="14.45">
      <c r="A4228" s="55" t="s">
        <v>4558</v>
      </c>
      <c r="B4228" s="55" t="s">
        <v>4550</v>
      </c>
      <c r="C4228" s="18"/>
      <c r="D4228" s="418"/>
    </row>
    <row r="4229" spans="1:4" s="79" customFormat="1" ht="14.45">
      <c r="A4229" s="30"/>
      <c r="B4229" s="267" t="s">
        <v>2807</v>
      </c>
      <c r="C4229" s="18" t="s">
        <v>2808</v>
      </c>
      <c r="D4229" s="418"/>
    </row>
    <row r="4230" spans="1:4" s="79" customFormat="1" ht="14.45">
      <c r="A4230" s="55" t="s">
        <v>4559</v>
      </c>
      <c r="B4230" s="55" t="s">
        <v>4551</v>
      </c>
      <c r="C4230" s="18"/>
      <c r="D4230" s="418"/>
    </row>
    <row r="4231" spans="1:4" s="79" customFormat="1" ht="14.45">
      <c r="A4231" s="30"/>
      <c r="B4231" s="267" t="s">
        <v>2807</v>
      </c>
      <c r="C4231" s="18" t="s">
        <v>2808</v>
      </c>
      <c r="D4231" s="418"/>
    </row>
    <row r="4232" spans="1:4" s="79" customFormat="1" ht="14.45">
      <c r="A4232" s="55" t="s">
        <v>4560</v>
      </c>
      <c r="B4232" s="55" t="s">
        <v>4552</v>
      </c>
      <c r="C4232" s="18"/>
      <c r="D4232" s="418"/>
    </row>
    <row r="4233" spans="1:4" s="79" customFormat="1" ht="14.45">
      <c r="A4233" s="30"/>
      <c r="B4233" s="267" t="s">
        <v>2807</v>
      </c>
      <c r="C4233" s="18" t="s">
        <v>2808</v>
      </c>
      <c r="D4233" s="418"/>
    </row>
    <row r="4234" spans="1:4" s="79" customFormat="1" ht="14.45">
      <c r="A4234" s="22" t="s">
        <v>4561</v>
      </c>
      <c r="B4234" s="50" t="s">
        <v>4562</v>
      </c>
      <c r="C4234" s="45" t="s">
        <v>959</v>
      </c>
      <c r="D4234" s="439"/>
    </row>
    <row r="4235" spans="1:4" s="79" customFormat="1" ht="39.6">
      <c r="A4235" s="111" t="s">
        <v>959</v>
      </c>
      <c r="B4235" s="267" t="s">
        <v>4563</v>
      </c>
      <c r="C4235" s="18" t="s">
        <v>959</v>
      </c>
      <c r="D4235" s="418"/>
    </row>
    <row r="4236" spans="1:4" s="79" customFormat="1" ht="14.45">
      <c r="A4236" s="111"/>
      <c r="B4236" s="267" t="s">
        <v>2322</v>
      </c>
      <c r="C4236" s="18"/>
      <c r="D4236" s="418"/>
    </row>
    <row r="4237" spans="1:4" s="79" customFormat="1" ht="14.45">
      <c r="A4237" s="111"/>
      <c r="B4237" s="267" t="s">
        <v>4564</v>
      </c>
      <c r="C4237" s="18"/>
      <c r="D4237" s="418"/>
    </row>
    <row r="4238" spans="1:4" s="79" customFormat="1" ht="14.45">
      <c r="A4238" s="111"/>
      <c r="B4238" s="267" t="s">
        <v>4565</v>
      </c>
      <c r="C4238" s="18"/>
      <c r="D4238" s="418"/>
    </row>
    <row r="4239" spans="1:4" s="79" customFormat="1" ht="14.45">
      <c r="A4239" s="111"/>
      <c r="B4239" s="267" t="s">
        <v>4566</v>
      </c>
      <c r="C4239" s="18"/>
      <c r="D4239" s="418"/>
    </row>
    <row r="4240" spans="1:4" s="79" customFormat="1" ht="14.45">
      <c r="A4240" s="111"/>
      <c r="B4240" s="267" t="s">
        <v>4567</v>
      </c>
      <c r="C4240" s="18"/>
      <c r="D4240" s="418"/>
    </row>
    <row r="4241" spans="1:4" s="79" customFormat="1" ht="14.45">
      <c r="A4241" s="111"/>
      <c r="B4241" s="267" t="s">
        <v>4568</v>
      </c>
      <c r="C4241" s="18"/>
      <c r="D4241" s="418"/>
    </row>
    <row r="4242" spans="1:4" s="79" customFormat="1" ht="14.45">
      <c r="A4242" s="111"/>
      <c r="B4242" s="267" t="s">
        <v>4569</v>
      </c>
      <c r="C4242" s="18"/>
      <c r="D4242" s="418"/>
    </row>
    <row r="4243" spans="1:4" s="79" customFormat="1" ht="26.45">
      <c r="A4243" s="111"/>
      <c r="B4243" s="267" t="s">
        <v>4570</v>
      </c>
      <c r="C4243" s="18"/>
      <c r="D4243" s="418"/>
    </row>
    <row r="4244" spans="1:4" s="79" customFormat="1" ht="14.45">
      <c r="A4244" s="111"/>
      <c r="B4244" s="267" t="s">
        <v>4571</v>
      </c>
      <c r="C4244" s="18"/>
      <c r="D4244" s="418"/>
    </row>
    <row r="4245" spans="1:4" s="79" customFormat="1" ht="14.45">
      <c r="A4245" s="30" t="s">
        <v>710</v>
      </c>
      <c r="B4245" s="31" t="s">
        <v>4572</v>
      </c>
      <c r="C4245" s="18"/>
      <c r="D4245" s="418"/>
    </row>
    <row r="4246" spans="1:4" s="79" customFormat="1" ht="14.45">
      <c r="A4246" s="30"/>
      <c r="B4246" s="267" t="s">
        <v>1428</v>
      </c>
      <c r="C4246" s="18" t="s">
        <v>1429</v>
      </c>
      <c r="D4246" s="418"/>
    </row>
    <row r="4247" spans="1:4" s="79" customFormat="1" ht="14.45">
      <c r="A4247" s="30" t="s">
        <v>711</v>
      </c>
      <c r="B4247" s="31" t="s">
        <v>4573</v>
      </c>
      <c r="C4247" s="18"/>
      <c r="D4247" s="418"/>
    </row>
    <row r="4248" spans="1:4" s="79" customFormat="1" ht="14.45">
      <c r="A4248" s="30"/>
      <c r="B4248" s="267" t="s">
        <v>1428</v>
      </c>
      <c r="C4248" s="18" t="s">
        <v>1429</v>
      </c>
      <c r="D4248" s="418"/>
    </row>
    <row r="4249" spans="1:4" s="79" customFormat="1" ht="14.45">
      <c r="A4249" s="30" t="s">
        <v>712</v>
      </c>
      <c r="B4249" s="31" t="s">
        <v>4574</v>
      </c>
      <c r="C4249" s="18"/>
      <c r="D4249" s="418"/>
    </row>
    <row r="4250" spans="1:4" s="79" customFormat="1" ht="14.45">
      <c r="A4250" s="30"/>
      <c r="B4250" s="267" t="s">
        <v>1428</v>
      </c>
      <c r="C4250" s="18" t="s">
        <v>1429</v>
      </c>
      <c r="D4250" s="418"/>
    </row>
    <row r="4251" spans="1:4" s="79" customFormat="1" ht="14.45">
      <c r="A4251" s="30" t="s">
        <v>713</v>
      </c>
      <c r="B4251" s="31" t="s">
        <v>4575</v>
      </c>
      <c r="C4251" s="18"/>
      <c r="D4251" s="418"/>
    </row>
    <row r="4252" spans="1:4" s="79" customFormat="1" ht="14.45">
      <c r="A4252" s="30"/>
      <c r="B4252" s="267" t="s">
        <v>1428</v>
      </c>
      <c r="C4252" s="18" t="s">
        <v>1429</v>
      </c>
      <c r="D4252" s="418"/>
    </row>
    <row r="4253" spans="1:4" s="79" customFormat="1" ht="14.45">
      <c r="A4253" s="30" t="s">
        <v>4576</v>
      </c>
      <c r="B4253" s="31" t="s">
        <v>4577</v>
      </c>
      <c r="C4253" s="18"/>
      <c r="D4253" s="418"/>
    </row>
    <row r="4254" spans="1:4" s="79" customFormat="1" ht="14.45">
      <c r="A4254" s="30"/>
      <c r="B4254" s="267" t="s">
        <v>1428</v>
      </c>
      <c r="C4254" s="18" t="s">
        <v>1429</v>
      </c>
      <c r="D4254" s="418"/>
    </row>
    <row r="4255" spans="1:4" s="79" customFormat="1" ht="14.45">
      <c r="A4255" s="30" t="s">
        <v>4578</v>
      </c>
      <c r="B4255" s="31" t="s">
        <v>4579</v>
      </c>
      <c r="C4255" s="18"/>
      <c r="D4255" s="418"/>
    </row>
    <row r="4256" spans="1:4" s="79" customFormat="1" ht="14.45">
      <c r="A4256" s="116"/>
      <c r="B4256" s="303" t="s">
        <v>1428</v>
      </c>
      <c r="C4256" s="109" t="s">
        <v>1429</v>
      </c>
      <c r="D4256" s="418"/>
    </row>
    <row r="4257" spans="1:4" s="79" customFormat="1" ht="14.45">
      <c r="A4257" s="22" t="s">
        <v>4580</v>
      </c>
      <c r="B4257" s="50" t="s">
        <v>4581</v>
      </c>
      <c r="C4257" s="45" t="s">
        <v>959</v>
      </c>
      <c r="D4257" s="439"/>
    </row>
    <row r="4258" spans="1:4" s="79" customFormat="1" ht="14.45">
      <c r="A4258" s="30" t="s">
        <v>714</v>
      </c>
      <c r="B4258" s="31" t="s">
        <v>4582</v>
      </c>
      <c r="C4258" s="18"/>
      <c r="D4258" s="418"/>
    </row>
    <row r="4259" spans="1:4" s="79" customFormat="1" ht="39.6">
      <c r="A4259" s="30"/>
      <c r="B4259" s="267" t="s">
        <v>4583</v>
      </c>
      <c r="C4259" s="18"/>
      <c r="D4259" s="418"/>
    </row>
    <row r="4260" spans="1:4" s="79" customFormat="1" ht="14.45">
      <c r="A4260" s="30"/>
      <c r="B4260" s="267" t="s">
        <v>1231</v>
      </c>
      <c r="C4260" s="18" t="s">
        <v>1262</v>
      </c>
      <c r="D4260" s="418"/>
    </row>
    <row r="4261" spans="1:4" s="79" customFormat="1" ht="26.45">
      <c r="A4261" s="30" t="s">
        <v>715</v>
      </c>
      <c r="B4261" s="31" t="s">
        <v>4584</v>
      </c>
      <c r="C4261" s="18"/>
      <c r="D4261" s="418"/>
    </row>
    <row r="4262" spans="1:4" s="79" customFormat="1" ht="39.6">
      <c r="A4262" s="30"/>
      <c r="B4262" s="267" t="s">
        <v>4585</v>
      </c>
      <c r="C4262" s="18"/>
      <c r="D4262" s="418"/>
    </row>
    <row r="4263" spans="1:4" s="79" customFormat="1" ht="14.45">
      <c r="A4263" s="30"/>
      <c r="B4263" s="267" t="s">
        <v>1231</v>
      </c>
      <c r="C4263" s="18" t="s">
        <v>1262</v>
      </c>
      <c r="D4263" s="418"/>
    </row>
    <row r="4264" spans="1:4" s="79" customFormat="1" ht="26.45">
      <c r="A4264" s="30" t="s">
        <v>716</v>
      </c>
      <c r="B4264" s="31" t="s">
        <v>4586</v>
      </c>
      <c r="C4264" s="18"/>
      <c r="D4264" s="418"/>
    </row>
    <row r="4265" spans="1:4" s="79" customFormat="1" ht="39.6">
      <c r="A4265" s="30"/>
      <c r="B4265" s="267" t="s">
        <v>4587</v>
      </c>
      <c r="C4265" s="18"/>
      <c r="D4265" s="418"/>
    </row>
    <row r="4266" spans="1:4" s="79" customFormat="1" ht="14.45">
      <c r="A4266" s="116"/>
      <c r="B4266" s="303" t="s">
        <v>1231</v>
      </c>
      <c r="C4266" s="109" t="s">
        <v>1262</v>
      </c>
      <c r="D4266" s="418"/>
    </row>
    <row r="4267" spans="1:4" s="79" customFormat="1" ht="14.45">
      <c r="A4267" s="22" t="s">
        <v>4588</v>
      </c>
      <c r="B4267" s="50" t="s">
        <v>4589</v>
      </c>
      <c r="C4267" s="45" t="s">
        <v>959</v>
      </c>
      <c r="D4267" s="439"/>
    </row>
    <row r="4268" spans="1:4" s="79" customFormat="1" ht="14.45">
      <c r="A4268" s="30" t="s">
        <v>722</v>
      </c>
      <c r="B4268" s="31" t="s">
        <v>4590</v>
      </c>
      <c r="C4268" s="18"/>
      <c r="D4268" s="418"/>
    </row>
    <row r="4269" spans="1:4" s="79" customFormat="1" ht="26.45">
      <c r="A4269" s="30"/>
      <c r="B4269" s="267" t="s">
        <v>4591</v>
      </c>
      <c r="C4269" s="18"/>
      <c r="D4269" s="418"/>
    </row>
    <row r="4270" spans="1:4" s="79" customFormat="1" ht="39.6">
      <c r="A4270" s="30"/>
      <c r="B4270" s="267" t="s">
        <v>4592</v>
      </c>
      <c r="C4270" s="18"/>
      <c r="D4270" s="418"/>
    </row>
    <row r="4271" spans="1:4" s="79" customFormat="1" ht="14.45">
      <c r="A4271" s="30"/>
      <c r="B4271" s="267" t="s">
        <v>1076</v>
      </c>
      <c r="C4271" s="18" t="s">
        <v>1077</v>
      </c>
      <c r="D4271" s="418"/>
    </row>
    <row r="4272" spans="1:4" s="79" customFormat="1" ht="14.45">
      <c r="A4272" s="30" t="s">
        <v>723</v>
      </c>
      <c r="B4272" s="31" t="s">
        <v>4593</v>
      </c>
      <c r="C4272" s="18"/>
      <c r="D4272" s="418"/>
    </row>
    <row r="4273" spans="1:4" s="79" customFormat="1" ht="14.45">
      <c r="A4273" s="30"/>
      <c r="B4273" s="267" t="s">
        <v>4594</v>
      </c>
      <c r="C4273" s="18"/>
      <c r="D4273" s="418"/>
    </row>
    <row r="4274" spans="1:4" s="79" customFormat="1" ht="26.45">
      <c r="A4274" s="30"/>
      <c r="B4274" s="267" t="s">
        <v>4595</v>
      </c>
      <c r="C4274" s="18"/>
      <c r="D4274" s="418"/>
    </row>
    <row r="4275" spans="1:4" s="79" customFormat="1" ht="14.45">
      <c r="A4275" s="30"/>
      <c r="B4275" s="267" t="s">
        <v>1076</v>
      </c>
      <c r="C4275" s="18" t="s">
        <v>1077</v>
      </c>
      <c r="D4275" s="418"/>
    </row>
    <row r="4276" spans="1:4" s="79" customFormat="1" ht="14.45">
      <c r="A4276" s="30" t="s">
        <v>724</v>
      </c>
      <c r="B4276" s="31" t="s">
        <v>4596</v>
      </c>
      <c r="C4276" s="18"/>
      <c r="D4276" s="418"/>
    </row>
    <row r="4277" spans="1:4" s="79" customFormat="1" ht="26.45">
      <c r="A4277" s="30"/>
      <c r="B4277" s="267" t="s">
        <v>4597</v>
      </c>
      <c r="C4277" s="18"/>
      <c r="D4277" s="418"/>
    </row>
    <row r="4278" spans="1:4" s="79" customFormat="1" ht="14.45">
      <c r="A4278" s="30"/>
      <c r="B4278" s="267" t="s">
        <v>4598</v>
      </c>
      <c r="C4278" s="18"/>
      <c r="D4278" s="418"/>
    </row>
    <row r="4279" spans="1:4" s="79" customFormat="1" ht="14.45">
      <c r="A4279" s="55"/>
      <c r="B4279" s="267" t="s">
        <v>1076</v>
      </c>
      <c r="C4279" s="18" t="s">
        <v>1077</v>
      </c>
      <c r="D4279" s="418"/>
    </row>
    <row r="4280" spans="1:4" s="79" customFormat="1" ht="14.45">
      <c r="A4280" s="22" t="s">
        <v>4599</v>
      </c>
      <c r="B4280" s="23" t="s">
        <v>4600</v>
      </c>
      <c r="C4280" s="24"/>
      <c r="D4280" s="255"/>
    </row>
    <row r="4281" spans="1:4" s="79" customFormat="1" ht="14.45">
      <c r="A4281" s="30" t="s">
        <v>728</v>
      </c>
      <c r="B4281" s="31" t="s">
        <v>4601</v>
      </c>
      <c r="C4281" s="18" t="s">
        <v>959</v>
      </c>
      <c r="D4281" s="418"/>
    </row>
    <row r="4282" spans="1:4" s="79" customFormat="1" ht="26.45">
      <c r="A4282" s="111" t="s">
        <v>959</v>
      </c>
      <c r="B4282" s="267" t="s">
        <v>4602</v>
      </c>
      <c r="C4282" s="18" t="s">
        <v>959</v>
      </c>
      <c r="D4282" s="418"/>
    </row>
    <row r="4283" spans="1:4" s="79" customFormat="1" ht="14.45">
      <c r="A4283" s="111" t="s">
        <v>959</v>
      </c>
      <c r="B4283" s="267" t="s">
        <v>1150</v>
      </c>
      <c r="C4283" s="18" t="s">
        <v>959</v>
      </c>
      <c r="D4283" s="418"/>
    </row>
    <row r="4284" spans="1:4" s="79" customFormat="1" ht="14.45">
      <c r="A4284" s="111" t="s">
        <v>959</v>
      </c>
      <c r="B4284" s="267" t="s">
        <v>1542</v>
      </c>
      <c r="C4284" s="18" t="s">
        <v>959</v>
      </c>
      <c r="D4284" s="418"/>
    </row>
    <row r="4285" spans="1:4" s="79" customFormat="1" ht="14.45">
      <c r="A4285" s="111" t="s">
        <v>959</v>
      </c>
      <c r="B4285" s="267" t="s">
        <v>4603</v>
      </c>
      <c r="C4285" s="18" t="s">
        <v>959</v>
      </c>
      <c r="D4285" s="418"/>
    </row>
    <row r="4286" spans="1:4" s="79" customFormat="1" ht="14.45">
      <c r="A4286" s="111"/>
      <c r="B4286" s="267" t="s">
        <v>4604</v>
      </c>
      <c r="C4286" s="18" t="s">
        <v>959</v>
      </c>
      <c r="D4286" s="418"/>
    </row>
    <row r="4287" spans="1:4" s="79" customFormat="1" ht="14.45">
      <c r="A4287" s="111" t="s">
        <v>959</v>
      </c>
      <c r="B4287" s="267" t="s">
        <v>4605</v>
      </c>
      <c r="C4287" s="18" t="s">
        <v>959</v>
      </c>
      <c r="D4287" s="418"/>
    </row>
    <row r="4288" spans="1:4" s="79" customFormat="1" ht="14.45">
      <c r="A4288" s="55" t="s">
        <v>4606</v>
      </c>
      <c r="B4288" s="77" t="s">
        <v>4607</v>
      </c>
      <c r="C4288" s="18"/>
      <c r="D4288" s="418"/>
    </row>
    <row r="4289" spans="1:4" s="79" customFormat="1" ht="14.45">
      <c r="A4289" s="55" t="s">
        <v>4608</v>
      </c>
      <c r="B4289" s="77" t="s">
        <v>4609</v>
      </c>
      <c r="C4289" s="18"/>
      <c r="D4289" s="418"/>
    </row>
    <row r="4290" spans="1:4" s="79" customFormat="1" ht="14.45">
      <c r="A4290" s="55"/>
      <c r="B4290" s="267" t="s">
        <v>1028</v>
      </c>
      <c r="C4290" s="18" t="s">
        <v>1029</v>
      </c>
      <c r="D4290" s="418"/>
    </row>
    <row r="4291" spans="1:4" s="79" customFormat="1" ht="14.45">
      <c r="A4291" s="55" t="s">
        <v>4610</v>
      </c>
      <c r="B4291" s="77" t="s">
        <v>4611</v>
      </c>
      <c r="C4291" s="18"/>
      <c r="D4291" s="418"/>
    </row>
    <row r="4292" spans="1:4" s="79" customFormat="1" ht="14.45">
      <c r="A4292" s="55"/>
      <c r="B4292" s="267" t="s">
        <v>1028</v>
      </c>
      <c r="C4292" s="18" t="s">
        <v>1029</v>
      </c>
      <c r="D4292" s="418"/>
    </row>
    <row r="4293" spans="1:4" s="79" customFormat="1" ht="14.45">
      <c r="A4293" s="55" t="s">
        <v>4612</v>
      </c>
      <c r="B4293" s="77" t="s">
        <v>4613</v>
      </c>
      <c r="C4293" s="18"/>
      <c r="D4293" s="418"/>
    </row>
    <row r="4294" spans="1:4" s="79" customFormat="1" ht="14.45">
      <c r="A4294" s="55" t="s">
        <v>4614</v>
      </c>
      <c r="B4294" s="77" t="s">
        <v>4609</v>
      </c>
      <c r="C4294" s="18"/>
      <c r="D4294" s="418"/>
    </row>
    <row r="4295" spans="1:4" s="79" customFormat="1" ht="14.45">
      <c r="A4295" s="55"/>
      <c r="B4295" s="267" t="s">
        <v>1028</v>
      </c>
      <c r="C4295" s="18" t="s">
        <v>1029</v>
      </c>
      <c r="D4295" s="418"/>
    </row>
    <row r="4296" spans="1:4" s="79" customFormat="1" ht="14.45">
      <c r="A4296" s="55" t="s">
        <v>4615</v>
      </c>
      <c r="B4296" s="77" t="s">
        <v>4611</v>
      </c>
      <c r="C4296" s="18"/>
      <c r="D4296" s="418"/>
    </row>
    <row r="4297" spans="1:4" s="79" customFormat="1" ht="14.45">
      <c r="A4297" s="55"/>
      <c r="B4297" s="267" t="s">
        <v>1028</v>
      </c>
      <c r="C4297" s="18" t="s">
        <v>1029</v>
      </c>
      <c r="D4297" s="418"/>
    </row>
    <row r="4298" spans="1:4" s="79" customFormat="1" ht="14.45">
      <c r="A4298" s="55" t="s">
        <v>4616</v>
      </c>
      <c r="B4298" s="77" t="s">
        <v>4617</v>
      </c>
      <c r="C4298" s="18"/>
      <c r="D4298" s="418"/>
    </row>
    <row r="4299" spans="1:4" s="79" customFormat="1" ht="14.45">
      <c r="A4299" s="55"/>
      <c r="B4299" s="267" t="s">
        <v>1028</v>
      </c>
      <c r="C4299" s="18" t="s">
        <v>1029</v>
      </c>
      <c r="D4299" s="418"/>
    </row>
    <row r="4300" spans="1:4" s="79" customFormat="1" ht="14.45">
      <c r="A4300" s="55" t="s">
        <v>4618</v>
      </c>
      <c r="B4300" s="77" t="s">
        <v>4619</v>
      </c>
      <c r="C4300" s="18"/>
      <c r="D4300" s="418"/>
    </row>
    <row r="4301" spans="1:4" s="79" customFormat="1" ht="14.45">
      <c r="A4301" s="55"/>
      <c r="B4301" s="267" t="s">
        <v>1028</v>
      </c>
      <c r="C4301" s="18" t="s">
        <v>1029</v>
      </c>
      <c r="D4301" s="418"/>
    </row>
    <row r="4302" spans="1:4" s="79" customFormat="1" ht="14.45">
      <c r="A4302" s="30" t="s">
        <v>729</v>
      </c>
      <c r="B4302" s="31" t="s">
        <v>4620</v>
      </c>
      <c r="C4302" s="18"/>
      <c r="D4302" s="418"/>
    </row>
    <row r="4303" spans="1:4" s="79" customFormat="1" ht="26.45">
      <c r="A4303" s="111" t="s">
        <v>959</v>
      </c>
      <c r="B4303" s="267" t="s">
        <v>4621</v>
      </c>
      <c r="C4303" s="18" t="s">
        <v>959</v>
      </c>
      <c r="D4303" s="418"/>
    </row>
    <row r="4304" spans="1:4" s="79" customFormat="1" ht="14.45">
      <c r="A4304" s="111" t="s">
        <v>959</v>
      </c>
      <c r="B4304" s="267" t="s">
        <v>1150</v>
      </c>
      <c r="C4304" s="18" t="s">
        <v>959</v>
      </c>
      <c r="D4304" s="418"/>
    </row>
    <row r="4305" spans="1:4" s="79" customFormat="1" ht="14.45">
      <c r="A4305" s="111" t="s">
        <v>959</v>
      </c>
      <c r="B4305" s="267" t="s">
        <v>1542</v>
      </c>
      <c r="C4305" s="18" t="s">
        <v>959</v>
      </c>
      <c r="D4305" s="418"/>
    </row>
    <row r="4306" spans="1:4" s="79" customFormat="1" ht="39.6">
      <c r="A4306" s="111" t="s">
        <v>959</v>
      </c>
      <c r="B4306" s="267" t="s">
        <v>4622</v>
      </c>
      <c r="C4306" s="18" t="s">
        <v>959</v>
      </c>
      <c r="D4306" s="418"/>
    </row>
    <row r="4307" spans="1:4" s="79" customFormat="1" ht="14.45">
      <c r="A4307" s="111" t="s">
        <v>959</v>
      </c>
      <c r="B4307" s="267" t="s">
        <v>2890</v>
      </c>
      <c r="C4307" s="18" t="s">
        <v>959</v>
      </c>
      <c r="D4307" s="418"/>
    </row>
    <row r="4308" spans="1:4" s="79" customFormat="1" ht="14.45">
      <c r="A4308" s="111" t="s">
        <v>959</v>
      </c>
      <c r="B4308" s="267" t="s">
        <v>4623</v>
      </c>
      <c r="C4308" s="18" t="s">
        <v>959</v>
      </c>
      <c r="D4308" s="418"/>
    </row>
    <row r="4309" spans="1:4" s="79" customFormat="1" ht="14.45">
      <c r="A4309" s="55" t="s">
        <v>4624</v>
      </c>
      <c r="B4309" s="77" t="s">
        <v>4625</v>
      </c>
      <c r="C4309" s="18"/>
      <c r="D4309" s="418"/>
    </row>
    <row r="4310" spans="1:4" s="79" customFormat="1" ht="14.45">
      <c r="A4310" s="55"/>
      <c r="B4310" s="267" t="s">
        <v>1076</v>
      </c>
      <c r="C4310" s="18" t="s">
        <v>1077</v>
      </c>
      <c r="D4310" s="418"/>
    </row>
    <row r="4311" spans="1:4" s="79" customFormat="1" ht="14.45">
      <c r="A4311" s="55" t="s">
        <v>4626</v>
      </c>
      <c r="B4311" s="77" t="s">
        <v>4627</v>
      </c>
      <c r="C4311" s="18"/>
      <c r="D4311" s="418"/>
    </row>
    <row r="4312" spans="1:4" s="79" customFormat="1" ht="14.45">
      <c r="A4312" s="55"/>
      <c r="B4312" s="267" t="s">
        <v>1076</v>
      </c>
      <c r="C4312" s="18" t="s">
        <v>1077</v>
      </c>
      <c r="D4312" s="418"/>
    </row>
    <row r="4313" spans="1:4" s="79" customFormat="1" ht="14.45">
      <c r="A4313" s="55" t="s">
        <v>4628</v>
      </c>
      <c r="B4313" s="77" t="s">
        <v>4629</v>
      </c>
      <c r="C4313" s="18"/>
      <c r="D4313" s="418"/>
    </row>
    <row r="4314" spans="1:4" s="79" customFormat="1" ht="14.45">
      <c r="A4314" s="55"/>
      <c r="B4314" s="267" t="s">
        <v>1076</v>
      </c>
      <c r="C4314" s="18" t="s">
        <v>1077</v>
      </c>
      <c r="D4314" s="418"/>
    </row>
    <row r="4315" spans="1:4" s="79" customFormat="1" ht="14.45">
      <c r="A4315" s="55" t="s">
        <v>4630</v>
      </c>
      <c r="B4315" s="77" t="s">
        <v>4631</v>
      </c>
      <c r="C4315" s="18"/>
      <c r="D4315" s="418"/>
    </row>
    <row r="4316" spans="1:4" s="79" customFormat="1" ht="14.45">
      <c r="A4316" s="55"/>
      <c r="B4316" s="267" t="s">
        <v>1076</v>
      </c>
      <c r="C4316" s="18" t="s">
        <v>1077</v>
      </c>
      <c r="D4316" s="418"/>
    </row>
    <row r="4317" spans="1:4" s="79" customFormat="1" ht="26.45">
      <c r="A4317" s="55" t="s">
        <v>4632</v>
      </c>
      <c r="B4317" s="77" t="s">
        <v>4633</v>
      </c>
      <c r="C4317" s="18"/>
      <c r="D4317" s="418"/>
    </row>
    <row r="4318" spans="1:4" s="79" customFormat="1" ht="14.45">
      <c r="A4318" s="55"/>
      <c r="B4318" s="267" t="s">
        <v>1028</v>
      </c>
      <c r="C4318" s="18" t="s">
        <v>1029</v>
      </c>
      <c r="D4318" s="418"/>
    </row>
    <row r="4319" spans="1:4" s="79" customFormat="1" ht="14.45">
      <c r="A4319" s="55" t="s">
        <v>4634</v>
      </c>
      <c r="B4319" s="77" t="s">
        <v>4635</v>
      </c>
      <c r="C4319" s="18"/>
      <c r="D4319" s="418"/>
    </row>
    <row r="4320" spans="1:4" s="79" customFormat="1" ht="14.45">
      <c r="A4320" s="148"/>
      <c r="B4320" s="303" t="s">
        <v>1028</v>
      </c>
      <c r="C4320" s="109" t="s">
        <v>1029</v>
      </c>
      <c r="D4320" s="418"/>
    </row>
    <row r="4321" spans="1:4" s="79" customFormat="1" ht="14.45">
      <c r="A4321" s="22" t="s">
        <v>4636</v>
      </c>
      <c r="B4321" s="50" t="s">
        <v>4637</v>
      </c>
      <c r="C4321" s="45" t="s">
        <v>959</v>
      </c>
      <c r="D4321" s="439"/>
    </row>
    <row r="4322" spans="1:4" s="79" customFormat="1" ht="14.45">
      <c r="A4322" s="30" t="s">
        <v>737</v>
      </c>
      <c r="B4322" s="31" t="s">
        <v>4638</v>
      </c>
      <c r="C4322" s="18"/>
      <c r="D4322" s="418"/>
    </row>
    <row r="4323" spans="1:4" s="79" customFormat="1" ht="26.45">
      <c r="A4323" s="343" t="s">
        <v>959</v>
      </c>
      <c r="B4323" s="267" t="s">
        <v>4639</v>
      </c>
      <c r="C4323" s="18" t="s">
        <v>959</v>
      </c>
      <c r="D4323" s="418"/>
    </row>
    <row r="4324" spans="1:4" s="79" customFormat="1" ht="14.45">
      <c r="A4324" s="111" t="s">
        <v>959</v>
      </c>
      <c r="B4324" s="267" t="s">
        <v>1150</v>
      </c>
      <c r="C4324" s="18" t="s">
        <v>959</v>
      </c>
      <c r="D4324" s="418"/>
    </row>
    <row r="4325" spans="1:4" s="79" customFormat="1" ht="14.45">
      <c r="A4325" s="111" t="s">
        <v>959</v>
      </c>
      <c r="B4325" s="267" t="s">
        <v>1542</v>
      </c>
      <c r="C4325" s="18" t="s">
        <v>959</v>
      </c>
      <c r="D4325" s="418"/>
    </row>
    <row r="4326" spans="1:4" s="79" customFormat="1" ht="14.45">
      <c r="A4326" s="111" t="s">
        <v>959</v>
      </c>
      <c r="B4326" s="267" t="s">
        <v>4640</v>
      </c>
      <c r="C4326" s="18" t="s">
        <v>959</v>
      </c>
      <c r="D4326" s="418"/>
    </row>
    <row r="4327" spans="1:4" s="79" customFormat="1" ht="14.45">
      <c r="A4327" s="111"/>
      <c r="B4327" s="267" t="s">
        <v>4604</v>
      </c>
      <c r="C4327" s="18" t="s">
        <v>959</v>
      </c>
      <c r="D4327" s="418"/>
    </row>
    <row r="4328" spans="1:4" s="79" customFormat="1" ht="14.45">
      <c r="A4328" s="111" t="s">
        <v>959</v>
      </c>
      <c r="B4328" s="267" t="s">
        <v>4605</v>
      </c>
      <c r="C4328" s="18" t="s">
        <v>959</v>
      </c>
      <c r="D4328" s="418"/>
    </row>
    <row r="4329" spans="1:4" s="79" customFormat="1" ht="14.45">
      <c r="A4329" s="55" t="s">
        <v>4641</v>
      </c>
      <c r="B4329" s="77" t="s">
        <v>4642</v>
      </c>
      <c r="C4329" s="18"/>
      <c r="D4329" s="418"/>
    </row>
    <row r="4330" spans="1:4" s="79" customFormat="1" ht="14.45">
      <c r="A4330" s="55"/>
      <c r="B4330" s="267" t="s">
        <v>1028</v>
      </c>
      <c r="C4330" s="18" t="s">
        <v>1029</v>
      </c>
      <c r="D4330" s="418"/>
    </row>
    <row r="4331" spans="1:4" s="79" customFormat="1" ht="14.45">
      <c r="A4331" s="55" t="s">
        <v>4643</v>
      </c>
      <c r="B4331" s="77" t="s">
        <v>4644</v>
      </c>
      <c r="C4331" s="18"/>
      <c r="D4331" s="418"/>
    </row>
    <row r="4332" spans="1:4" s="79" customFormat="1" ht="14.45">
      <c r="A4332" s="55"/>
      <c r="B4332" s="267" t="s">
        <v>1028</v>
      </c>
      <c r="C4332" s="18" t="s">
        <v>1029</v>
      </c>
      <c r="D4332" s="418"/>
    </row>
    <row r="4333" spans="1:4" s="79" customFormat="1" ht="14.45">
      <c r="A4333" s="55" t="s">
        <v>4645</v>
      </c>
      <c r="B4333" s="77" t="s">
        <v>4646</v>
      </c>
      <c r="C4333" s="18"/>
      <c r="D4333" s="418"/>
    </row>
    <row r="4334" spans="1:4" s="79" customFormat="1" ht="14.45">
      <c r="A4334" s="55"/>
      <c r="B4334" s="267" t="s">
        <v>1028</v>
      </c>
      <c r="C4334" s="18" t="s">
        <v>1029</v>
      </c>
      <c r="D4334" s="418"/>
    </row>
    <row r="4335" spans="1:4" s="79" customFormat="1" ht="14.45">
      <c r="A4335" s="55" t="s">
        <v>4647</v>
      </c>
      <c r="B4335" s="77" t="s">
        <v>4648</v>
      </c>
      <c r="C4335" s="18"/>
      <c r="D4335" s="418"/>
    </row>
    <row r="4336" spans="1:4" s="79" customFormat="1" ht="14.45">
      <c r="A4336" s="55"/>
      <c r="B4336" s="267" t="s">
        <v>1028</v>
      </c>
      <c r="C4336" s="18" t="s">
        <v>1029</v>
      </c>
      <c r="D4336" s="418"/>
    </row>
    <row r="4337" spans="1:4" s="79" customFormat="1" ht="14.45">
      <c r="A4337" s="30" t="s">
        <v>738</v>
      </c>
      <c r="B4337" s="31" t="s">
        <v>4649</v>
      </c>
      <c r="C4337" s="18"/>
      <c r="D4337" s="418"/>
    </row>
    <row r="4338" spans="1:4" s="79" customFormat="1" ht="26.45">
      <c r="A4338" s="286"/>
      <c r="B4338" s="267" t="s">
        <v>4650</v>
      </c>
      <c r="C4338" s="18"/>
      <c r="D4338" s="418"/>
    </row>
    <row r="4339" spans="1:4" s="79" customFormat="1" ht="14.45">
      <c r="A4339" s="111" t="s">
        <v>959</v>
      </c>
      <c r="B4339" s="267" t="s">
        <v>1150</v>
      </c>
      <c r="C4339" s="18" t="s">
        <v>959</v>
      </c>
      <c r="D4339" s="418"/>
    </row>
    <row r="4340" spans="1:4" s="79" customFormat="1" ht="14.45">
      <c r="A4340" s="111" t="s">
        <v>959</v>
      </c>
      <c r="B4340" s="267" t="s">
        <v>1542</v>
      </c>
      <c r="C4340" s="18" t="s">
        <v>959</v>
      </c>
      <c r="D4340" s="418"/>
    </row>
    <row r="4341" spans="1:4" s="79" customFormat="1" ht="14.45">
      <c r="A4341" s="111" t="s">
        <v>959</v>
      </c>
      <c r="B4341" s="267" t="s">
        <v>4651</v>
      </c>
      <c r="C4341" s="18" t="s">
        <v>959</v>
      </c>
      <c r="D4341" s="418"/>
    </row>
    <row r="4342" spans="1:4" s="79" customFormat="1" ht="14.45">
      <c r="A4342" s="111"/>
      <c r="B4342" s="267" t="s">
        <v>4604</v>
      </c>
      <c r="C4342" s="18" t="s">
        <v>959</v>
      </c>
      <c r="D4342" s="418"/>
    </row>
    <row r="4343" spans="1:4" s="79" customFormat="1" ht="14.45">
      <c r="A4343" s="111" t="s">
        <v>959</v>
      </c>
      <c r="B4343" s="267" t="s">
        <v>4605</v>
      </c>
      <c r="C4343" s="18" t="s">
        <v>959</v>
      </c>
      <c r="D4343" s="418"/>
    </row>
    <row r="4344" spans="1:4" s="79" customFormat="1" ht="14.45">
      <c r="A4344" s="286" t="s">
        <v>4652</v>
      </c>
      <c r="B4344" s="267" t="s">
        <v>4653</v>
      </c>
      <c r="C4344" s="18"/>
      <c r="D4344" s="418"/>
    </row>
    <row r="4345" spans="1:4" s="79" customFormat="1" ht="14.45">
      <c r="A4345" s="286"/>
      <c r="B4345" s="267" t="s">
        <v>1076</v>
      </c>
      <c r="C4345" s="18" t="s">
        <v>1077</v>
      </c>
      <c r="D4345" s="418"/>
    </row>
    <row r="4346" spans="1:4" s="79" customFormat="1" ht="14.45">
      <c r="A4346" s="286" t="s">
        <v>4654</v>
      </c>
      <c r="B4346" s="267" t="s">
        <v>4655</v>
      </c>
      <c r="C4346" s="18"/>
      <c r="D4346" s="418"/>
    </row>
    <row r="4347" spans="1:4" s="79" customFormat="1" ht="14.45">
      <c r="A4347" s="286"/>
      <c r="B4347" s="267" t="s">
        <v>1076</v>
      </c>
      <c r="C4347" s="18" t="s">
        <v>1077</v>
      </c>
      <c r="D4347" s="418"/>
    </row>
    <row r="4348" spans="1:4" s="79" customFormat="1" ht="14.45">
      <c r="A4348" s="286" t="s">
        <v>4656</v>
      </c>
      <c r="B4348" s="267" t="s">
        <v>4657</v>
      </c>
      <c r="C4348" s="18"/>
      <c r="D4348" s="418"/>
    </row>
    <row r="4349" spans="1:4" s="79" customFormat="1" ht="14.45">
      <c r="A4349" s="286"/>
      <c r="B4349" s="267" t="s">
        <v>1076</v>
      </c>
      <c r="C4349" s="18" t="s">
        <v>1077</v>
      </c>
      <c r="D4349" s="418"/>
    </row>
    <row r="4350" spans="1:4" s="79" customFormat="1" ht="14.45">
      <c r="A4350" s="286" t="s">
        <v>4658</v>
      </c>
      <c r="B4350" s="267" t="s">
        <v>4659</v>
      </c>
      <c r="C4350" s="18"/>
      <c r="D4350" s="418"/>
    </row>
    <row r="4351" spans="1:4" s="79" customFormat="1" ht="14.45">
      <c r="A4351" s="286"/>
      <c r="B4351" s="267" t="s">
        <v>1076</v>
      </c>
      <c r="C4351" s="18" t="s">
        <v>1077</v>
      </c>
      <c r="D4351" s="418"/>
    </row>
    <row r="4352" spans="1:4" s="79" customFormat="1" ht="14.45">
      <c r="A4352" s="30" t="s">
        <v>739</v>
      </c>
      <c r="B4352" s="31" t="s">
        <v>4660</v>
      </c>
      <c r="C4352" s="18"/>
      <c r="D4352" s="418"/>
    </row>
    <row r="4353" spans="1:4" s="79" customFormat="1" ht="26.45">
      <c r="A4353" s="30"/>
      <c r="B4353" s="267" t="s">
        <v>4661</v>
      </c>
      <c r="C4353" s="18"/>
      <c r="D4353" s="418"/>
    </row>
    <row r="4354" spans="1:4" s="79" customFormat="1" ht="14.45">
      <c r="A4354" s="111" t="s">
        <v>959</v>
      </c>
      <c r="B4354" s="267" t="s">
        <v>1150</v>
      </c>
      <c r="C4354" s="18" t="s">
        <v>959</v>
      </c>
      <c r="D4354" s="418"/>
    </row>
    <row r="4355" spans="1:4" s="79" customFormat="1" ht="12.75" customHeight="1">
      <c r="A4355" s="111" t="s">
        <v>959</v>
      </c>
      <c r="B4355" s="267" t="s">
        <v>1542</v>
      </c>
      <c r="C4355" s="18" t="s">
        <v>959</v>
      </c>
      <c r="D4355" s="418"/>
    </row>
    <row r="4356" spans="1:4" s="79" customFormat="1" ht="14.45">
      <c r="A4356" s="111" t="s">
        <v>959</v>
      </c>
      <c r="B4356" s="267" t="s">
        <v>4662</v>
      </c>
      <c r="C4356" s="18" t="s">
        <v>959</v>
      </c>
      <c r="D4356" s="418"/>
    </row>
    <row r="4357" spans="1:4" s="79" customFormat="1" ht="14.45">
      <c r="A4357" s="111"/>
      <c r="B4357" s="267" t="s">
        <v>4604</v>
      </c>
      <c r="C4357" s="18" t="s">
        <v>959</v>
      </c>
      <c r="D4357" s="418"/>
    </row>
    <row r="4358" spans="1:4" s="79" customFormat="1" ht="14.45">
      <c r="A4358" s="111" t="s">
        <v>959</v>
      </c>
      <c r="B4358" s="267" t="s">
        <v>4605</v>
      </c>
      <c r="C4358" s="18" t="s">
        <v>959</v>
      </c>
      <c r="D4358" s="418"/>
    </row>
    <row r="4359" spans="1:4" s="79" customFormat="1" ht="14.45">
      <c r="A4359" s="55" t="s">
        <v>4663</v>
      </c>
      <c r="B4359" s="77" t="s">
        <v>4664</v>
      </c>
      <c r="C4359" s="18"/>
      <c r="D4359" s="418"/>
    </row>
    <row r="4360" spans="1:4" s="79" customFormat="1" ht="14.45">
      <c r="A4360" s="55"/>
      <c r="B4360" s="267" t="s">
        <v>1028</v>
      </c>
      <c r="C4360" s="18" t="s">
        <v>1029</v>
      </c>
      <c r="D4360" s="418"/>
    </row>
    <row r="4361" spans="1:4" s="79" customFormat="1" ht="14.45">
      <c r="A4361" s="55" t="s">
        <v>4665</v>
      </c>
      <c r="B4361" s="77" t="s">
        <v>4666</v>
      </c>
      <c r="C4361" s="18"/>
      <c r="D4361" s="418"/>
    </row>
    <row r="4362" spans="1:4" s="79" customFormat="1" ht="14.45">
      <c r="A4362" s="55"/>
      <c r="B4362" s="267" t="s">
        <v>1028</v>
      </c>
      <c r="C4362" s="18" t="s">
        <v>1029</v>
      </c>
      <c r="D4362" s="418"/>
    </row>
    <row r="4363" spans="1:4" s="79" customFormat="1" ht="14.45">
      <c r="A4363" s="55" t="s">
        <v>4667</v>
      </c>
      <c r="B4363" s="77" t="s">
        <v>4668</v>
      </c>
      <c r="C4363" s="18"/>
      <c r="D4363" s="418"/>
    </row>
    <row r="4364" spans="1:4" s="79" customFormat="1" ht="14.45">
      <c r="A4364" s="55"/>
      <c r="B4364" s="267" t="s">
        <v>1028</v>
      </c>
      <c r="C4364" s="18" t="s">
        <v>1029</v>
      </c>
      <c r="D4364" s="418"/>
    </row>
    <row r="4365" spans="1:4" s="79" customFormat="1" ht="14.45">
      <c r="A4365" s="30" t="s">
        <v>740</v>
      </c>
      <c r="B4365" s="31" t="s">
        <v>4669</v>
      </c>
      <c r="C4365" s="18"/>
      <c r="D4365" s="418"/>
    </row>
    <row r="4366" spans="1:4" s="79" customFormat="1" ht="26.45">
      <c r="A4366" s="30"/>
      <c r="B4366" s="267" t="s">
        <v>4670</v>
      </c>
      <c r="C4366" s="18"/>
      <c r="D4366" s="418"/>
    </row>
    <row r="4367" spans="1:4" s="79" customFormat="1" ht="14.45">
      <c r="A4367" s="111" t="s">
        <v>959</v>
      </c>
      <c r="B4367" s="267" t="s">
        <v>2257</v>
      </c>
      <c r="C4367" s="18" t="s">
        <v>959</v>
      </c>
      <c r="D4367" s="418"/>
    </row>
    <row r="4368" spans="1:4" s="79" customFormat="1" ht="14.45">
      <c r="A4368" s="111" t="s">
        <v>959</v>
      </c>
      <c r="B4368" s="267" t="s">
        <v>1542</v>
      </c>
      <c r="C4368" s="18" t="s">
        <v>959</v>
      </c>
      <c r="D4368" s="418"/>
    </row>
    <row r="4369" spans="1:11" s="79" customFormat="1" ht="14.45">
      <c r="A4369" s="111" t="s">
        <v>959</v>
      </c>
      <c r="B4369" s="267" t="s">
        <v>4671</v>
      </c>
      <c r="C4369" s="18" t="s">
        <v>959</v>
      </c>
      <c r="D4369" s="418"/>
    </row>
    <row r="4370" spans="1:11" s="79" customFormat="1" ht="14.45">
      <c r="A4370" s="111"/>
      <c r="B4370" s="267" t="s">
        <v>4604</v>
      </c>
      <c r="C4370" s="18" t="s">
        <v>959</v>
      </c>
      <c r="D4370" s="418"/>
    </row>
    <row r="4371" spans="1:11" s="79" customFormat="1" ht="14.45">
      <c r="A4371" s="111" t="s">
        <v>959</v>
      </c>
      <c r="B4371" s="267" t="s">
        <v>4605</v>
      </c>
      <c r="C4371" s="18" t="s">
        <v>959</v>
      </c>
      <c r="D4371" s="418"/>
    </row>
    <row r="4372" spans="1:11" s="79" customFormat="1" ht="14.45">
      <c r="A4372" s="30"/>
      <c r="B4372" s="267" t="s">
        <v>1028</v>
      </c>
      <c r="C4372" s="18" t="s">
        <v>1029</v>
      </c>
      <c r="D4372" s="418"/>
    </row>
    <row r="4373" spans="1:11" s="79" customFormat="1" ht="14.45">
      <c r="A4373" s="22" t="s">
        <v>4672</v>
      </c>
      <c r="B4373" s="50" t="s">
        <v>4673</v>
      </c>
      <c r="C4373" s="45" t="s">
        <v>959</v>
      </c>
      <c r="D4373" s="439"/>
    </row>
    <row r="4374" spans="1:11" s="70" customFormat="1" ht="12.75" customHeight="1">
      <c r="A4374" s="111" t="s">
        <v>959</v>
      </c>
      <c r="B4374" s="267" t="s">
        <v>4674</v>
      </c>
      <c r="C4374" s="18" t="s">
        <v>959</v>
      </c>
      <c r="D4374" s="418"/>
    </row>
    <row r="4375" spans="1:11" s="70" customFormat="1">
      <c r="A4375" s="111" t="s">
        <v>959</v>
      </c>
      <c r="B4375" s="267" t="s">
        <v>1150</v>
      </c>
      <c r="C4375" s="18" t="s">
        <v>959</v>
      </c>
      <c r="D4375" s="418"/>
    </row>
    <row r="4376" spans="1:11" s="70" customFormat="1">
      <c r="A4376" s="111" t="s">
        <v>959</v>
      </c>
      <c r="B4376" s="267" t="s">
        <v>1542</v>
      </c>
      <c r="C4376" s="18" t="s">
        <v>959</v>
      </c>
      <c r="D4376" s="418"/>
      <c r="E4376" s="69"/>
      <c r="F4376" s="69"/>
      <c r="G4376" s="69"/>
      <c r="H4376" s="69"/>
      <c r="I4376" s="69"/>
      <c r="J4376" s="69"/>
      <c r="K4376" s="69"/>
    </row>
    <row r="4377" spans="1:11" s="70" customFormat="1">
      <c r="A4377" s="111" t="s">
        <v>959</v>
      </c>
      <c r="B4377" s="267" t="s">
        <v>4675</v>
      </c>
      <c r="C4377" s="18" t="s">
        <v>959</v>
      </c>
      <c r="D4377" s="418"/>
    </row>
    <row r="4378" spans="1:11" s="72" customFormat="1">
      <c r="A4378" s="111" t="s">
        <v>959</v>
      </c>
      <c r="B4378" s="267" t="s">
        <v>4676</v>
      </c>
      <c r="C4378" s="18" t="s">
        <v>959</v>
      </c>
      <c r="D4378" s="418"/>
    </row>
    <row r="4379" spans="1:11" s="70" customFormat="1">
      <c r="A4379" s="111" t="s">
        <v>959</v>
      </c>
      <c r="B4379" s="267" t="s">
        <v>4677</v>
      </c>
      <c r="C4379" s="18" t="s">
        <v>959</v>
      </c>
      <c r="D4379" s="418"/>
    </row>
    <row r="4380" spans="1:11" s="79" customFormat="1" ht="14.45">
      <c r="A4380" s="111" t="s">
        <v>959</v>
      </c>
      <c r="B4380" s="267" t="s">
        <v>4678</v>
      </c>
      <c r="C4380" s="18" t="s">
        <v>959</v>
      </c>
      <c r="D4380" s="418"/>
    </row>
    <row r="4381" spans="1:11" s="79" customFormat="1" ht="14.45">
      <c r="A4381" s="111" t="s">
        <v>959</v>
      </c>
      <c r="B4381" s="267" t="s">
        <v>4679</v>
      </c>
      <c r="C4381" s="18" t="s">
        <v>959</v>
      </c>
      <c r="D4381" s="418"/>
    </row>
    <row r="4382" spans="1:11" s="79" customFormat="1" ht="14.45">
      <c r="A4382" s="55" t="s">
        <v>747</v>
      </c>
      <c r="B4382" s="77" t="s">
        <v>4680</v>
      </c>
      <c r="C4382" s="18"/>
      <c r="D4382" s="418"/>
    </row>
    <row r="4383" spans="1:11" s="79" customFormat="1" ht="14.45">
      <c r="A4383" s="286"/>
      <c r="B4383" s="267" t="s">
        <v>1028</v>
      </c>
      <c r="C4383" s="18" t="s">
        <v>1029</v>
      </c>
      <c r="D4383" s="418"/>
    </row>
    <row r="4384" spans="1:11" s="79" customFormat="1" ht="14.45">
      <c r="A4384" s="55" t="s">
        <v>748</v>
      </c>
      <c r="B4384" s="77" t="s">
        <v>4681</v>
      </c>
      <c r="C4384" s="18"/>
      <c r="D4384" s="418"/>
    </row>
    <row r="4385" spans="1:4" s="79" customFormat="1" ht="14.45">
      <c r="A4385" s="286"/>
      <c r="B4385" s="267" t="s">
        <v>1028</v>
      </c>
      <c r="C4385" s="18" t="s">
        <v>1029</v>
      </c>
      <c r="D4385" s="418"/>
    </row>
    <row r="4386" spans="1:4" s="79" customFormat="1" ht="14.45">
      <c r="A4386" s="55" t="s">
        <v>749</v>
      </c>
      <c r="B4386" s="77" t="s">
        <v>4682</v>
      </c>
      <c r="C4386" s="18"/>
      <c r="D4386" s="418"/>
    </row>
    <row r="4387" spans="1:4" s="79" customFormat="1" ht="14.45">
      <c r="A4387" s="286"/>
      <c r="B4387" s="267" t="s">
        <v>1028</v>
      </c>
      <c r="C4387" s="18" t="s">
        <v>1029</v>
      </c>
      <c r="D4387" s="418"/>
    </row>
    <row r="4388" spans="1:4" s="79" customFormat="1" ht="14.45">
      <c r="A4388" s="55" t="s">
        <v>750</v>
      </c>
      <c r="B4388" s="77" t="s">
        <v>4683</v>
      </c>
      <c r="C4388" s="18"/>
      <c r="D4388" s="418"/>
    </row>
    <row r="4389" spans="1:4" s="79" customFormat="1" ht="14.45">
      <c r="A4389" s="286"/>
      <c r="B4389" s="267" t="s">
        <v>1076</v>
      </c>
      <c r="C4389" s="18" t="s">
        <v>1077</v>
      </c>
      <c r="D4389" s="418"/>
    </row>
    <row r="4390" spans="1:4" s="79" customFormat="1" ht="14.45">
      <c r="A4390" s="55" t="s">
        <v>4684</v>
      </c>
      <c r="B4390" s="77" t="s">
        <v>4685</v>
      </c>
      <c r="C4390" s="18"/>
      <c r="D4390" s="418"/>
    </row>
    <row r="4391" spans="1:4" s="79" customFormat="1" ht="14.45">
      <c r="A4391" s="286"/>
      <c r="B4391" s="267" t="s">
        <v>1076</v>
      </c>
      <c r="C4391" s="18" t="s">
        <v>1077</v>
      </c>
      <c r="D4391" s="418"/>
    </row>
    <row r="4392" spans="1:4" s="79" customFormat="1" ht="14.45">
      <c r="A4392" s="55" t="s">
        <v>4686</v>
      </c>
      <c r="B4392" s="77" t="s">
        <v>4687</v>
      </c>
      <c r="C4392" s="18"/>
      <c r="D4392" s="418"/>
    </row>
    <row r="4393" spans="1:4" s="79" customFormat="1" ht="14.45">
      <c r="A4393" s="286"/>
      <c r="B4393" s="267" t="s">
        <v>1076</v>
      </c>
      <c r="C4393" s="18" t="s">
        <v>1077</v>
      </c>
      <c r="D4393" s="418"/>
    </row>
    <row r="4394" spans="1:4" s="79" customFormat="1" ht="14.45">
      <c r="A4394" s="22" t="s">
        <v>4688</v>
      </c>
      <c r="B4394" s="50" t="s">
        <v>4689</v>
      </c>
      <c r="C4394" s="45" t="s">
        <v>959</v>
      </c>
      <c r="D4394" s="439"/>
    </row>
    <row r="4395" spans="1:4" s="79" customFormat="1" ht="14.45">
      <c r="A4395" s="30" t="s">
        <v>4690</v>
      </c>
      <c r="B4395" s="31" t="s">
        <v>4691</v>
      </c>
      <c r="C4395" s="18"/>
      <c r="D4395" s="418"/>
    </row>
    <row r="4396" spans="1:4" s="79" customFormat="1" ht="39.6">
      <c r="A4396" s="111" t="s">
        <v>959</v>
      </c>
      <c r="B4396" s="267" t="s">
        <v>4692</v>
      </c>
      <c r="C4396" s="18" t="s">
        <v>959</v>
      </c>
      <c r="D4396" s="418"/>
    </row>
    <row r="4397" spans="1:4" s="79" customFormat="1" ht="26.45">
      <c r="A4397" s="111"/>
      <c r="B4397" s="267" t="s">
        <v>4693</v>
      </c>
      <c r="C4397" s="18"/>
      <c r="D4397" s="418"/>
    </row>
    <row r="4398" spans="1:4" s="79" customFormat="1" ht="14.45">
      <c r="A4398" s="55" t="s">
        <v>751</v>
      </c>
      <c r="B4398" s="77" t="s">
        <v>4694</v>
      </c>
      <c r="C4398" s="18"/>
      <c r="D4398" s="418"/>
    </row>
    <row r="4399" spans="1:4" s="79" customFormat="1" ht="14.45">
      <c r="A4399" s="286"/>
      <c r="B4399" s="267" t="s">
        <v>1076</v>
      </c>
      <c r="C4399" s="18" t="s">
        <v>1077</v>
      </c>
      <c r="D4399" s="418"/>
    </row>
    <row r="4400" spans="1:4" s="79" customFormat="1" ht="14.45">
      <c r="A4400" s="55" t="s">
        <v>752</v>
      </c>
      <c r="B4400" s="77" t="s">
        <v>4695</v>
      </c>
      <c r="C4400" s="18"/>
      <c r="D4400" s="418"/>
    </row>
    <row r="4401" spans="1:4" s="79" customFormat="1" ht="14.45">
      <c r="A4401" s="286"/>
      <c r="B4401" s="267" t="s">
        <v>1076</v>
      </c>
      <c r="C4401" s="18" t="s">
        <v>1077</v>
      </c>
      <c r="D4401" s="418"/>
    </row>
    <row r="4402" spans="1:4" s="79" customFormat="1" ht="14.45">
      <c r="A4402" s="55" t="s">
        <v>753</v>
      </c>
      <c r="B4402" s="77" t="s">
        <v>4696</v>
      </c>
      <c r="C4402" s="18"/>
      <c r="D4402" s="418"/>
    </row>
    <row r="4403" spans="1:4" s="79" customFormat="1" ht="14.45">
      <c r="A4403" s="286"/>
      <c r="B4403" s="267" t="s">
        <v>1076</v>
      </c>
      <c r="C4403" s="18" t="s">
        <v>1077</v>
      </c>
      <c r="D4403" s="418"/>
    </row>
    <row r="4404" spans="1:4" s="79" customFormat="1" ht="14.45">
      <c r="A4404" s="55" t="s">
        <v>754</v>
      </c>
      <c r="B4404" s="77" t="s">
        <v>4697</v>
      </c>
      <c r="C4404" s="18"/>
      <c r="D4404" s="418"/>
    </row>
    <row r="4405" spans="1:4" s="79" customFormat="1" ht="14.45">
      <c r="A4405" s="286"/>
      <c r="B4405" s="267" t="s">
        <v>1076</v>
      </c>
      <c r="C4405" s="18" t="s">
        <v>1077</v>
      </c>
      <c r="D4405" s="418"/>
    </row>
    <row r="4406" spans="1:4" s="79" customFormat="1" ht="14.45">
      <c r="A4406" s="55" t="s">
        <v>755</v>
      </c>
      <c r="B4406" s="77" t="s">
        <v>4698</v>
      </c>
      <c r="C4406" s="18"/>
      <c r="D4406" s="418"/>
    </row>
    <row r="4407" spans="1:4" s="79" customFormat="1" ht="14.45">
      <c r="A4407" s="286"/>
      <c r="B4407" s="267" t="s">
        <v>1076</v>
      </c>
      <c r="C4407" s="18" t="s">
        <v>1077</v>
      </c>
      <c r="D4407" s="418"/>
    </row>
    <row r="4408" spans="1:4" s="79" customFormat="1" ht="14.45">
      <c r="A4408" s="55" t="s">
        <v>4699</v>
      </c>
      <c r="B4408" s="77" t="s">
        <v>4700</v>
      </c>
      <c r="C4408" s="18"/>
      <c r="D4408" s="418"/>
    </row>
    <row r="4409" spans="1:4" s="79" customFormat="1" ht="14.45">
      <c r="A4409" s="286"/>
      <c r="B4409" s="267" t="s">
        <v>1076</v>
      </c>
      <c r="C4409" s="18" t="s">
        <v>1077</v>
      </c>
      <c r="D4409" s="418"/>
    </row>
    <row r="4410" spans="1:4" s="79" customFormat="1" ht="14.45">
      <c r="A4410" s="55" t="s">
        <v>4701</v>
      </c>
      <c r="B4410" s="77" t="s">
        <v>4702</v>
      </c>
      <c r="C4410" s="18"/>
      <c r="D4410" s="418"/>
    </row>
    <row r="4411" spans="1:4" s="79" customFormat="1" ht="14.45">
      <c r="A4411" s="286"/>
      <c r="B4411" s="267" t="s">
        <v>1076</v>
      </c>
      <c r="C4411" s="18" t="s">
        <v>1077</v>
      </c>
      <c r="D4411" s="418"/>
    </row>
    <row r="4412" spans="1:4" s="79" customFormat="1" ht="14.45">
      <c r="A4412" s="55" t="s">
        <v>4703</v>
      </c>
      <c r="B4412" s="77" t="s">
        <v>4704</v>
      </c>
      <c r="C4412" s="18"/>
      <c r="D4412" s="418"/>
    </row>
    <row r="4413" spans="1:4" s="79" customFormat="1" ht="14.45">
      <c r="A4413" s="286"/>
      <c r="B4413" s="267" t="s">
        <v>1076</v>
      </c>
      <c r="C4413" s="18" t="s">
        <v>1077</v>
      </c>
      <c r="D4413" s="418"/>
    </row>
    <row r="4414" spans="1:4" s="79" customFormat="1" ht="14.45">
      <c r="A4414" s="55" t="s">
        <v>4705</v>
      </c>
      <c r="B4414" s="77" t="s">
        <v>4706</v>
      </c>
      <c r="C4414" s="18"/>
      <c r="D4414" s="418"/>
    </row>
    <row r="4415" spans="1:4" s="79" customFormat="1" ht="26.45">
      <c r="A4415" s="55"/>
      <c r="B4415" s="267" t="s">
        <v>4707</v>
      </c>
      <c r="C4415" s="18"/>
      <c r="D4415" s="418"/>
    </row>
    <row r="4416" spans="1:4" s="79" customFormat="1" ht="14.45">
      <c r="A4416" s="55"/>
      <c r="B4416" s="267" t="s">
        <v>2016</v>
      </c>
      <c r="C4416" s="18"/>
      <c r="D4416" s="418"/>
    </row>
    <row r="4417" spans="1:4" s="79" customFormat="1" ht="26.45">
      <c r="A4417" s="55"/>
      <c r="B4417" s="267" t="s">
        <v>4708</v>
      </c>
      <c r="C4417" s="18"/>
      <c r="D4417" s="418"/>
    </row>
    <row r="4418" spans="1:4" s="79" customFormat="1" ht="14.45">
      <c r="A4418" s="55"/>
      <c r="B4418" s="267" t="s">
        <v>4709</v>
      </c>
      <c r="C4418" s="18"/>
      <c r="D4418" s="418"/>
    </row>
    <row r="4419" spans="1:4" s="79" customFormat="1" ht="14.45">
      <c r="A4419" s="55"/>
      <c r="B4419" s="267" t="s">
        <v>4710</v>
      </c>
      <c r="C4419" s="18"/>
      <c r="D4419" s="418"/>
    </row>
    <row r="4420" spans="1:4" s="79" customFormat="1" ht="14.45">
      <c r="A4420" s="55"/>
      <c r="B4420" s="267" t="s">
        <v>4711</v>
      </c>
      <c r="C4420" s="18"/>
      <c r="D4420" s="418"/>
    </row>
    <row r="4421" spans="1:4" s="79" customFormat="1" ht="14.45">
      <c r="A4421" s="55"/>
      <c r="B4421" s="267" t="s">
        <v>4712</v>
      </c>
      <c r="C4421" s="18"/>
      <c r="D4421" s="418"/>
    </row>
    <row r="4422" spans="1:4" s="79" customFormat="1" ht="14.45">
      <c r="A4422" s="55"/>
      <c r="B4422" s="267" t="s">
        <v>4713</v>
      </c>
      <c r="C4422" s="18"/>
      <c r="D4422" s="418"/>
    </row>
    <row r="4423" spans="1:4" s="79" customFormat="1" ht="14.45">
      <c r="A4423" s="55"/>
      <c r="B4423" s="267" t="s">
        <v>4714</v>
      </c>
      <c r="C4423" s="18"/>
      <c r="D4423" s="418"/>
    </row>
    <row r="4424" spans="1:4" s="79" customFormat="1" ht="14.45">
      <c r="A4424" s="55"/>
      <c r="B4424" s="267" t="s">
        <v>1076</v>
      </c>
      <c r="C4424" s="18" t="s">
        <v>1077</v>
      </c>
      <c r="D4424" s="418"/>
    </row>
    <row r="4425" spans="1:4" s="79" customFormat="1" ht="14.45">
      <c r="A4425" s="22" t="s">
        <v>4715</v>
      </c>
      <c r="B4425" s="50" t="s">
        <v>4716</v>
      </c>
      <c r="C4425" s="45" t="s">
        <v>959</v>
      </c>
      <c r="D4425" s="439"/>
    </row>
    <row r="4426" spans="1:4" s="79" customFormat="1" ht="14.45">
      <c r="A4426" s="30" t="s">
        <v>833</v>
      </c>
      <c r="B4426" s="31" t="s">
        <v>4717</v>
      </c>
      <c r="C4426" s="18"/>
      <c r="D4426" s="418"/>
    </row>
    <row r="4427" spans="1:4" s="79" customFormat="1" ht="26.45">
      <c r="A4427" s="111"/>
      <c r="B4427" s="267" t="s">
        <v>4718</v>
      </c>
      <c r="C4427" s="18"/>
      <c r="D4427" s="418"/>
    </row>
    <row r="4428" spans="1:4" s="79" customFormat="1" ht="14.45">
      <c r="A4428" s="111"/>
      <c r="B4428" s="267" t="s">
        <v>2104</v>
      </c>
      <c r="C4428" s="18"/>
      <c r="D4428" s="418"/>
    </row>
    <row r="4429" spans="1:4" s="79" customFormat="1" ht="14.45">
      <c r="A4429" s="111"/>
      <c r="B4429" s="267" t="s">
        <v>4719</v>
      </c>
      <c r="C4429" s="18"/>
      <c r="D4429" s="418"/>
    </row>
    <row r="4430" spans="1:4" s="79" customFormat="1" ht="14.45">
      <c r="A4430" s="111"/>
      <c r="B4430" s="267" t="s">
        <v>4720</v>
      </c>
      <c r="C4430" s="18"/>
      <c r="D4430" s="418"/>
    </row>
    <row r="4431" spans="1:4" s="79" customFormat="1" ht="26.45">
      <c r="A4431" s="111"/>
      <c r="B4431" s="267" t="s">
        <v>4721</v>
      </c>
      <c r="C4431" s="18"/>
      <c r="D4431" s="418"/>
    </row>
    <row r="4432" spans="1:4" s="79" customFormat="1" ht="14.45">
      <c r="A4432" s="111"/>
      <c r="B4432" s="267" t="s">
        <v>4722</v>
      </c>
      <c r="C4432" s="18"/>
      <c r="D4432" s="418"/>
    </row>
    <row r="4433" spans="1:4" s="79" customFormat="1" ht="26.45">
      <c r="A4433" s="111"/>
      <c r="B4433" s="267" t="s">
        <v>4723</v>
      </c>
      <c r="C4433" s="18"/>
      <c r="D4433" s="418"/>
    </row>
    <row r="4434" spans="1:4" s="79" customFormat="1" ht="14.45">
      <c r="A4434" s="111"/>
      <c r="B4434" s="267" t="s">
        <v>4724</v>
      </c>
      <c r="C4434" s="18"/>
      <c r="D4434" s="418"/>
    </row>
    <row r="4435" spans="1:4" s="79" customFormat="1" ht="26.45">
      <c r="A4435" s="111"/>
      <c r="B4435" s="267" t="s">
        <v>4725</v>
      </c>
      <c r="C4435" s="18"/>
      <c r="D4435" s="418"/>
    </row>
    <row r="4436" spans="1:4" s="79" customFormat="1" ht="14.45">
      <c r="A4436" s="111"/>
      <c r="B4436" s="267" t="s">
        <v>4726</v>
      </c>
      <c r="C4436" s="18" t="s">
        <v>1429</v>
      </c>
      <c r="D4436" s="418"/>
    </row>
    <row r="4437" spans="1:4" s="79" customFormat="1" ht="14.45">
      <c r="A4437" s="30" t="s">
        <v>834</v>
      </c>
      <c r="B4437" s="31" t="s">
        <v>4727</v>
      </c>
      <c r="C4437" s="18"/>
      <c r="D4437" s="418"/>
    </row>
    <row r="4438" spans="1:4" s="79" customFormat="1" ht="39.6">
      <c r="A4438" s="111"/>
      <c r="B4438" s="267" t="s">
        <v>4728</v>
      </c>
      <c r="C4438" s="18"/>
      <c r="D4438" s="418"/>
    </row>
    <row r="4439" spans="1:4" s="79" customFormat="1" ht="14.45">
      <c r="A4439" s="111"/>
      <c r="B4439" s="267" t="s">
        <v>2104</v>
      </c>
      <c r="C4439" s="18"/>
      <c r="D4439" s="418"/>
    </row>
    <row r="4440" spans="1:4" s="79" customFormat="1" ht="14.45">
      <c r="A4440" s="111"/>
      <c r="B4440" s="267" t="s">
        <v>4729</v>
      </c>
      <c r="C4440" s="18"/>
      <c r="D4440" s="418"/>
    </row>
    <row r="4441" spans="1:4" s="79" customFormat="1" ht="14.45">
      <c r="A4441" s="111"/>
      <c r="B4441" s="267" t="s">
        <v>4730</v>
      </c>
      <c r="C4441" s="18"/>
      <c r="D4441" s="418"/>
    </row>
    <row r="4442" spans="1:4" s="79" customFormat="1" ht="14.45">
      <c r="A4442" s="111"/>
      <c r="B4442" s="267" t="s">
        <v>4731</v>
      </c>
      <c r="C4442" s="18"/>
      <c r="D4442" s="418"/>
    </row>
    <row r="4443" spans="1:4" s="79" customFormat="1" ht="14.45">
      <c r="A4443" s="111"/>
      <c r="B4443" s="267" t="s">
        <v>2969</v>
      </c>
      <c r="C4443" s="18"/>
      <c r="D4443" s="418"/>
    </row>
    <row r="4444" spans="1:4" s="79" customFormat="1" ht="14.45">
      <c r="A4444" s="140"/>
      <c r="B4444" s="303" t="s">
        <v>4726</v>
      </c>
      <c r="C4444" s="109" t="s">
        <v>1429</v>
      </c>
      <c r="D4444" s="418"/>
    </row>
    <row r="4445" spans="1:4" s="79" customFormat="1" ht="26.45">
      <c r="A4445" s="22" t="s">
        <v>4732</v>
      </c>
      <c r="B4445" s="50" t="s">
        <v>4733</v>
      </c>
      <c r="C4445" s="45" t="s">
        <v>959</v>
      </c>
      <c r="D4445" s="439"/>
    </row>
    <row r="4446" spans="1:4" s="79" customFormat="1" ht="52.9">
      <c r="A4446" s="111"/>
      <c r="B4446" s="267" t="s">
        <v>4734</v>
      </c>
      <c r="C4446" s="18"/>
      <c r="D4446" s="418"/>
    </row>
    <row r="4447" spans="1:4" s="79" customFormat="1" ht="14.45">
      <c r="A4447" s="30" t="s">
        <v>838</v>
      </c>
      <c r="B4447" s="30" t="s">
        <v>4735</v>
      </c>
      <c r="C4447" s="18"/>
      <c r="D4447" s="418"/>
    </row>
    <row r="4448" spans="1:4" s="79" customFormat="1" ht="14.45">
      <c r="A4448" s="30"/>
      <c r="B4448" s="279" t="s">
        <v>2585</v>
      </c>
      <c r="C4448" s="18" t="s">
        <v>2586</v>
      </c>
      <c r="D4448" s="418"/>
    </row>
    <row r="4449" spans="1:4" s="79" customFormat="1" ht="14.45">
      <c r="A4449" s="30" t="s">
        <v>839</v>
      </c>
      <c r="B4449" s="30" t="s">
        <v>4736</v>
      </c>
      <c r="C4449" s="18"/>
      <c r="D4449" s="418"/>
    </row>
    <row r="4450" spans="1:4" s="79" customFormat="1" ht="14.45">
      <c r="A4450" s="30"/>
      <c r="B4450" s="279" t="s">
        <v>2585</v>
      </c>
      <c r="C4450" s="18" t="s">
        <v>2586</v>
      </c>
      <c r="D4450" s="418"/>
    </row>
    <row r="4451" spans="1:4" s="79" customFormat="1" ht="14.45">
      <c r="A4451" s="30" t="s">
        <v>840</v>
      </c>
      <c r="B4451" s="30" t="s">
        <v>4737</v>
      </c>
      <c r="C4451" s="18"/>
      <c r="D4451" s="418"/>
    </row>
    <row r="4452" spans="1:4" s="79" customFormat="1" ht="14.45">
      <c r="A4452" s="30"/>
      <c r="B4452" s="279" t="s">
        <v>2585</v>
      </c>
      <c r="C4452" s="18" t="s">
        <v>2586</v>
      </c>
      <c r="D4452" s="418"/>
    </row>
    <row r="4453" spans="1:4" s="79" customFormat="1" ht="14.45">
      <c r="A4453" s="30" t="s">
        <v>841</v>
      </c>
      <c r="B4453" s="30" t="s">
        <v>4738</v>
      </c>
      <c r="C4453" s="18"/>
      <c r="D4453" s="418"/>
    </row>
    <row r="4454" spans="1:4" s="79" customFormat="1" ht="14.45">
      <c r="A4454" s="30"/>
      <c r="B4454" s="279" t="s">
        <v>2585</v>
      </c>
      <c r="C4454" s="18" t="s">
        <v>2586</v>
      </c>
      <c r="D4454" s="418"/>
    </row>
    <row r="4455" spans="1:4" s="2" customFormat="1" ht="15">
      <c r="A4455" s="30" t="s">
        <v>4739</v>
      </c>
      <c r="B4455" s="30" t="s">
        <v>4740</v>
      </c>
      <c r="C4455" s="18"/>
      <c r="D4455" s="418"/>
    </row>
    <row r="4456" spans="1:4" s="79" customFormat="1" ht="14.45">
      <c r="A4456" s="30"/>
      <c r="B4456" s="279" t="s">
        <v>2585</v>
      </c>
      <c r="C4456" s="18" t="s">
        <v>2586</v>
      </c>
      <c r="D4456" s="418"/>
    </row>
    <row r="4457" spans="1:4" s="79" customFormat="1" ht="15">
      <c r="A4457" s="30" t="s">
        <v>4741</v>
      </c>
      <c r="B4457" s="30" t="s">
        <v>4742</v>
      </c>
      <c r="C4457" s="18"/>
      <c r="D4457" s="418"/>
    </row>
    <row r="4458" spans="1:4" s="79" customFormat="1" ht="14.45">
      <c r="A4458" s="30"/>
      <c r="B4458" s="279" t="s">
        <v>2585</v>
      </c>
      <c r="C4458" s="18" t="s">
        <v>2586</v>
      </c>
      <c r="D4458" s="418"/>
    </row>
    <row r="4459" spans="1:4" s="2" customFormat="1">
      <c r="A4459" s="30" t="s">
        <v>4743</v>
      </c>
      <c r="B4459" s="30" t="s">
        <v>4744</v>
      </c>
      <c r="C4459" s="18"/>
      <c r="D4459" s="418"/>
    </row>
    <row r="4460" spans="1:4" s="2" customFormat="1" ht="13.5" customHeight="1">
      <c r="A4460" s="30"/>
      <c r="B4460" s="279" t="s">
        <v>2585</v>
      </c>
      <c r="C4460" s="18" t="s">
        <v>2586</v>
      </c>
      <c r="D4460" s="418"/>
    </row>
    <row r="4461" spans="1:4" s="2" customFormat="1">
      <c r="A4461" s="30" t="s">
        <v>4745</v>
      </c>
      <c r="B4461" s="30" t="s">
        <v>4746</v>
      </c>
      <c r="C4461" s="18"/>
      <c r="D4461" s="418"/>
    </row>
    <row r="4462" spans="1:4" s="2" customFormat="1">
      <c r="A4462" s="30"/>
      <c r="B4462" s="279" t="s">
        <v>2585</v>
      </c>
      <c r="C4462" s="18" t="s">
        <v>2586</v>
      </c>
      <c r="D4462" s="418"/>
    </row>
    <row r="4463" spans="1:4" s="2" customFormat="1">
      <c r="A4463" s="30" t="s">
        <v>4747</v>
      </c>
      <c r="B4463" s="30" t="s">
        <v>4748</v>
      </c>
      <c r="C4463" s="18"/>
      <c r="D4463" s="418"/>
    </row>
    <row r="4464" spans="1:4" s="2" customFormat="1">
      <c r="A4464" s="30"/>
      <c r="B4464" s="279" t="s">
        <v>2585</v>
      </c>
      <c r="C4464" s="18" t="s">
        <v>2586</v>
      </c>
      <c r="D4464" s="418"/>
    </row>
    <row r="4465" spans="1:4" s="2" customFormat="1">
      <c r="A4465" s="30" t="s">
        <v>4749</v>
      </c>
      <c r="B4465" s="30" t="s">
        <v>4750</v>
      </c>
      <c r="C4465" s="18"/>
      <c r="D4465" s="418"/>
    </row>
    <row r="4466" spans="1:4" s="2" customFormat="1">
      <c r="A4466" s="30"/>
      <c r="B4466" s="279" t="s">
        <v>2585</v>
      </c>
      <c r="C4466" s="18" t="s">
        <v>2586</v>
      </c>
      <c r="D4466" s="418"/>
    </row>
    <row r="4467" spans="1:4" s="2" customFormat="1">
      <c r="A4467" s="30" t="s">
        <v>4751</v>
      </c>
      <c r="B4467" s="30" t="s">
        <v>4752</v>
      </c>
      <c r="C4467" s="18"/>
      <c r="D4467" s="418"/>
    </row>
    <row r="4468" spans="1:4" s="2" customFormat="1">
      <c r="A4468" s="30"/>
      <c r="B4468" s="279" t="s">
        <v>2585</v>
      </c>
      <c r="C4468" s="18" t="s">
        <v>2586</v>
      </c>
      <c r="D4468" s="418"/>
    </row>
    <row r="4469" spans="1:4" s="2" customFormat="1">
      <c r="A4469" s="30" t="s">
        <v>4749</v>
      </c>
      <c r="B4469" s="30" t="s">
        <v>4753</v>
      </c>
      <c r="C4469" s="18"/>
      <c r="D4469" s="418"/>
    </row>
    <row r="4470" spans="1:4" s="3" customFormat="1">
      <c r="A4470" s="30"/>
      <c r="B4470" s="279" t="s">
        <v>2585</v>
      </c>
      <c r="C4470" s="18" t="s">
        <v>2586</v>
      </c>
      <c r="D4470" s="418"/>
    </row>
    <row r="4471" spans="1:4" s="3" customFormat="1">
      <c r="A4471" s="30" t="s">
        <v>4754</v>
      </c>
      <c r="B4471" s="30" t="s">
        <v>4755</v>
      </c>
      <c r="C4471" s="18"/>
      <c r="D4471" s="418"/>
    </row>
    <row r="4472" spans="1:4" s="3" customFormat="1">
      <c r="A4472" s="30"/>
      <c r="B4472" s="279" t="s">
        <v>2585</v>
      </c>
      <c r="C4472" s="18" t="s">
        <v>2586</v>
      </c>
      <c r="D4472" s="418"/>
    </row>
    <row r="4473" spans="1:4" s="3" customFormat="1">
      <c r="A4473" s="30" t="s">
        <v>4756</v>
      </c>
      <c r="B4473" s="30" t="s">
        <v>4757</v>
      </c>
      <c r="C4473" s="18"/>
      <c r="D4473" s="418"/>
    </row>
    <row r="4474" spans="1:4" s="3" customFormat="1">
      <c r="A4474" s="30"/>
      <c r="B4474" s="279" t="s">
        <v>2585</v>
      </c>
      <c r="C4474" s="18" t="s">
        <v>2586</v>
      </c>
      <c r="D4474" s="418"/>
    </row>
    <row r="4475" spans="1:4" s="3" customFormat="1">
      <c r="A4475" s="30" t="s">
        <v>4758</v>
      </c>
      <c r="B4475" s="30" t="s">
        <v>4759</v>
      </c>
      <c r="C4475" s="18"/>
      <c r="D4475" s="418"/>
    </row>
    <row r="4476" spans="1:4" s="3" customFormat="1">
      <c r="A4476" s="30"/>
      <c r="B4476" s="279" t="s">
        <v>2585</v>
      </c>
      <c r="C4476" s="18" t="s">
        <v>2586</v>
      </c>
      <c r="D4476" s="418"/>
    </row>
    <row r="4477" spans="1:4" s="3" customFormat="1">
      <c r="A4477" s="30" t="s">
        <v>4760</v>
      </c>
      <c r="B4477" s="30" t="s">
        <v>4761</v>
      </c>
      <c r="C4477" s="18"/>
      <c r="D4477" s="418"/>
    </row>
    <row r="4478" spans="1:4" s="3" customFormat="1">
      <c r="A4478" s="30"/>
      <c r="B4478" s="279" t="s">
        <v>2585</v>
      </c>
      <c r="C4478" s="18" t="s">
        <v>2586</v>
      </c>
      <c r="D4478" s="418"/>
    </row>
    <row r="4479" spans="1:4" s="3" customFormat="1">
      <c r="A4479" s="30" t="s">
        <v>4762</v>
      </c>
      <c r="B4479" s="30" t="s">
        <v>4763</v>
      </c>
      <c r="C4479" s="18"/>
      <c r="D4479" s="418"/>
    </row>
    <row r="4480" spans="1:4" s="3" customFormat="1">
      <c r="A4480" s="30"/>
      <c r="B4480" s="279" t="s">
        <v>2585</v>
      </c>
      <c r="C4480" s="18" t="s">
        <v>2586</v>
      </c>
      <c r="D4480" s="418"/>
    </row>
    <row r="4481" spans="1:4" s="3" customFormat="1">
      <c r="A4481" s="30" t="s">
        <v>4764</v>
      </c>
      <c r="B4481" s="30" t="s">
        <v>4765</v>
      </c>
      <c r="C4481" s="18"/>
      <c r="D4481" s="418"/>
    </row>
    <row r="4482" spans="1:4" s="3" customFormat="1">
      <c r="A4482" s="30"/>
      <c r="B4482" s="279" t="s">
        <v>2585</v>
      </c>
      <c r="C4482" s="18" t="s">
        <v>2586</v>
      </c>
      <c r="D4482" s="418"/>
    </row>
    <row r="4483" spans="1:4" s="3" customFormat="1">
      <c r="A4483" s="30" t="s">
        <v>4766</v>
      </c>
      <c r="B4483" s="30" t="s">
        <v>4767</v>
      </c>
      <c r="C4483" s="18"/>
      <c r="D4483" s="418"/>
    </row>
    <row r="4484" spans="1:4" s="3" customFormat="1">
      <c r="A4484" s="30"/>
      <c r="B4484" s="279" t="s">
        <v>2585</v>
      </c>
      <c r="C4484" s="18" t="s">
        <v>2586</v>
      </c>
      <c r="D4484" s="418"/>
    </row>
    <row r="4485" spans="1:4" s="3" customFormat="1">
      <c r="A4485" s="30" t="s">
        <v>4768</v>
      </c>
      <c r="B4485" s="30" t="s">
        <v>4769</v>
      </c>
      <c r="C4485" s="18"/>
      <c r="D4485" s="418"/>
    </row>
    <row r="4486" spans="1:4" s="3" customFormat="1">
      <c r="A4486" s="30"/>
      <c r="B4486" s="279" t="s">
        <v>2585</v>
      </c>
      <c r="C4486" s="18" t="s">
        <v>2586</v>
      </c>
      <c r="D4486" s="418"/>
    </row>
    <row r="4487" spans="1:4" s="3" customFormat="1">
      <c r="A4487" s="30" t="s">
        <v>4770</v>
      </c>
      <c r="B4487" s="30" t="s">
        <v>4771</v>
      </c>
      <c r="C4487" s="18"/>
      <c r="D4487" s="418"/>
    </row>
    <row r="4488" spans="1:4" s="3" customFormat="1">
      <c r="A4488" s="30"/>
      <c r="B4488" s="279" t="s">
        <v>2585</v>
      </c>
      <c r="C4488" s="18" t="s">
        <v>2586</v>
      </c>
      <c r="D4488" s="418"/>
    </row>
    <row r="4489" spans="1:4" s="3" customFormat="1" ht="39.6">
      <c r="A4489" s="22" t="s">
        <v>4772</v>
      </c>
      <c r="B4489" s="50" t="s">
        <v>4773</v>
      </c>
      <c r="C4489" s="45" t="s">
        <v>959</v>
      </c>
      <c r="D4489" s="439"/>
    </row>
    <row r="4490" spans="1:4" s="3" customFormat="1" ht="118.15" customHeight="1">
      <c r="A4490" s="111" t="s">
        <v>959</v>
      </c>
      <c r="B4490" s="267" t="s">
        <v>4774</v>
      </c>
      <c r="C4490" s="18" t="s">
        <v>959</v>
      </c>
      <c r="D4490" s="418"/>
    </row>
    <row r="4491" spans="1:4" s="3" customFormat="1">
      <c r="A4491" s="30"/>
      <c r="B4491" s="279" t="s">
        <v>1028</v>
      </c>
      <c r="C4491" s="18" t="s">
        <v>1029</v>
      </c>
      <c r="D4491" s="418"/>
    </row>
    <row r="4492" spans="1:4" s="3" customFormat="1">
      <c r="A4492" s="389" t="s">
        <v>4775</v>
      </c>
      <c r="B4492" s="390" t="s">
        <v>4776</v>
      </c>
      <c r="C4492" s="391"/>
      <c r="D4492" s="418"/>
    </row>
    <row r="4493" spans="1:4" s="3" customFormat="1">
      <c r="A4493" s="389"/>
      <c r="B4493" s="390" t="s">
        <v>1028</v>
      </c>
      <c r="C4493" s="391" t="s">
        <v>1029</v>
      </c>
      <c r="D4493" s="418"/>
    </row>
    <row r="4494" spans="1:4" s="3" customFormat="1">
      <c r="A4494" s="22" t="s">
        <v>4777</v>
      </c>
      <c r="B4494" s="50" t="s">
        <v>4778</v>
      </c>
      <c r="C4494" s="45" t="s">
        <v>959</v>
      </c>
      <c r="D4494" s="439"/>
    </row>
    <row r="4495" spans="1:4" s="3" customFormat="1" ht="26.45">
      <c r="A4495" s="111" t="s">
        <v>959</v>
      </c>
      <c r="B4495" s="267" t="s">
        <v>4779</v>
      </c>
      <c r="C4495" s="18" t="s">
        <v>959</v>
      </c>
      <c r="D4495" s="418"/>
    </row>
    <row r="4496" spans="1:4" s="3" customFormat="1">
      <c r="A4496" s="111" t="s">
        <v>959</v>
      </c>
      <c r="B4496" s="267" t="s">
        <v>961</v>
      </c>
      <c r="C4496" s="18" t="s">
        <v>959</v>
      </c>
      <c r="D4496" s="418"/>
    </row>
    <row r="4497" spans="1:4" s="3" customFormat="1">
      <c r="A4497" s="111" t="s">
        <v>959</v>
      </c>
      <c r="B4497" s="267" t="s">
        <v>4780</v>
      </c>
      <c r="C4497" s="18" t="s">
        <v>959</v>
      </c>
      <c r="D4497" s="418"/>
    </row>
    <row r="4498" spans="1:4" s="3" customFormat="1">
      <c r="A4498" s="111" t="s">
        <v>959</v>
      </c>
      <c r="B4498" s="267" t="s">
        <v>4781</v>
      </c>
      <c r="C4498" s="18" t="s">
        <v>959</v>
      </c>
      <c r="D4498" s="418"/>
    </row>
    <row r="4499" spans="1:4" s="3" customFormat="1">
      <c r="A4499" s="111" t="s">
        <v>959</v>
      </c>
      <c r="B4499" s="267" t="s">
        <v>4782</v>
      </c>
      <c r="C4499" s="18" t="s">
        <v>959</v>
      </c>
      <c r="D4499" s="418"/>
    </row>
    <row r="4500" spans="1:4" s="3" customFormat="1">
      <c r="A4500" s="111"/>
      <c r="B4500" s="267" t="s">
        <v>4783</v>
      </c>
      <c r="C4500" s="18"/>
      <c r="D4500" s="418"/>
    </row>
    <row r="4501" spans="1:4" s="3" customFormat="1" ht="13.5" customHeight="1">
      <c r="A4501" s="30" t="s">
        <v>4784</v>
      </c>
      <c r="B4501" s="31" t="s">
        <v>4785</v>
      </c>
      <c r="C4501" s="18"/>
      <c r="D4501" s="418"/>
    </row>
    <row r="4502" spans="1:4" s="3" customFormat="1">
      <c r="A4502" s="30"/>
      <c r="B4502" s="279" t="s">
        <v>1028</v>
      </c>
      <c r="C4502" s="18" t="s">
        <v>1029</v>
      </c>
      <c r="D4502" s="418"/>
    </row>
    <row r="4503" spans="1:4" s="3" customFormat="1">
      <c r="A4503" s="30" t="s">
        <v>4786</v>
      </c>
      <c r="B4503" s="31" t="s">
        <v>4787</v>
      </c>
      <c r="C4503" s="18"/>
      <c r="D4503" s="418"/>
    </row>
    <row r="4504" spans="1:4" s="3" customFormat="1">
      <c r="A4504" s="111"/>
      <c r="B4504" s="279" t="s">
        <v>1028</v>
      </c>
      <c r="C4504" s="18" t="s">
        <v>1029</v>
      </c>
      <c r="D4504" s="418"/>
    </row>
    <row r="4505" spans="1:4" s="3" customFormat="1">
      <c r="A4505" s="22" t="s">
        <v>4788</v>
      </c>
      <c r="B4505" s="23" t="s">
        <v>4789</v>
      </c>
      <c r="C4505" s="24"/>
      <c r="D4505" s="255"/>
    </row>
    <row r="4506" spans="1:4" s="3" customFormat="1" ht="39.6">
      <c r="A4506" s="111"/>
      <c r="B4506" s="267" t="s">
        <v>4790</v>
      </c>
      <c r="C4506" s="18"/>
      <c r="D4506" s="418"/>
    </row>
    <row r="4507" spans="1:4" s="3" customFormat="1">
      <c r="A4507" s="140"/>
      <c r="B4507" s="303" t="s">
        <v>1028</v>
      </c>
      <c r="C4507" s="109" t="s">
        <v>1029</v>
      </c>
      <c r="D4507" s="418"/>
    </row>
    <row r="4508" spans="1:4" s="3" customFormat="1">
      <c r="A4508" s="22" t="s">
        <v>4791</v>
      </c>
      <c r="B4508" s="23" t="s">
        <v>4792</v>
      </c>
      <c r="C4508" s="24"/>
      <c r="D4508" s="255"/>
    </row>
    <row r="4509" spans="1:4" s="3" customFormat="1" ht="26.45">
      <c r="A4509" s="319"/>
      <c r="B4509" s="320" t="s">
        <v>4793</v>
      </c>
      <c r="C4509" s="473"/>
      <c r="D4509" s="444"/>
    </row>
    <row r="4510" spans="1:4" s="3" customFormat="1" ht="13.9">
      <c r="A4510" s="55" t="s">
        <v>4794</v>
      </c>
      <c r="B4510" s="77" t="s">
        <v>4795</v>
      </c>
      <c r="C4510" s="165"/>
      <c r="D4510" s="444"/>
    </row>
    <row r="4511" spans="1:4" s="3" customFormat="1" ht="13.9">
      <c r="A4511" s="319"/>
      <c r="B4511" s="320" t="s">
        <v>4796</v>
      </c>
      <c r="C4511" s="18" t="s">
        <v>1077</v>
      </c>
      <c r="D4511" s="444"/>
    </row>
    <row r="4512" spans="1:4" s="3" customFormat="1" ht="13.9">
      <c r="A4512" s="55" t="s">
        <v>4797</v>
      </c>
      <c r="B4512" s="77" t="s">
        <v>4798</v>
      </c>
      <c r="C4512" s="165"/>
      <c r="D4512" s="444"/>
    </row>
    <row r="4513" spans="1:4" s="3" customFormat="1" ht="13.9">
      <c r="A4513" s="319"/>
      <c r="B4513" s="320" t="s">
        <v>4796</v>
      </c>
      <c r="C4513" s="18" t="s">
        <v>1077</v>
      </c>
      <c r="D4513" s="444"/>
    </row>
    <row r="4514" spans="1:4" s="3" customFormat="1" ht="13.9">
      <c r="A4514" s="55" t="s">
        <v>4799</v>
      </c>
      <c r="B4514" s="77" t="s">
        <v>4800</v>
      </c>
      <c r="C4514" s="165"/>
      <c r="D4514" s="444"/>
    </row>
    <row r="4515" spans="1:4" s="3" customFormat="1" ht="13.9">
      <c r="A4515" s="319"/>
      <c r="B4515" s="320" t="s">
        <v>4796</v>
      </c>
      <c r="C4515" s="18" t="s">
        <v>1077</v>
      </c>
      <c r="D4515" s="444"/>
    </row>
    <row r="4516" spans="1:4" s="3" customFormat="1" ht="13.9">
      <c r="A4516" s="55" t="s">
        <v>4801</v>
      </c>
      <c r="B4516" s="77" t="s">
        <v>4802</v>
      </c>
      <c r="C4516" s="165"/>
      <c r="D4516" s="444"/>
    </row>
    <row r="4517" spans="1:4" s="3" customFormat="1" ht="13.9">
      <c r="A4517" s="319"/>
      <c r="B4517" s="320" t="s">
        <v>4796</v>
      </c>
      <c r="C4517" s="18" t="s">
        <v>1077</v>
      </c>
      <c r="D4517" s="444"/>
    </row>
    <row r="4518" spans="1:4" s="3" customFormat="1" ht="26.25" customHeight="1">
      <c r="A4518" s="386" t="s">
        <v>4803</v>
      </c>
      <c r="B4518" s="380" t="s">
        <v>4804</v>
      </c>
      <c r="C4518" s="368"/>
      <c r="D4518" s="452"/>
    </row>
    <row r="4519" spans="1:4" s="3" customFormat="1" ht="224.45">
      <c r="A4519" s="319"/>
      <c r="B4519" s="267" t="s">
        <v>4805</v>
      </c>
      <c r="C4519" s="18"/>
      <c r="D4519" s="418"/>
    </row>
    <row r="4520" spans="1:4" s="3" customFormat="1">
      <c r="A4520" s="319"/>
      <c r="B4520" s="320" t="s">
        <v>4796</v>
      </c>
      <c r="C4520" s="18" t="s">
        <v>1077</v>
      </c>
      <c r="D4520" s="418"/>
    </row>
    <row r="4521" spans="1:4" s="3" customFormat="1" ht="26.45">
      <c r="A4521" s="386" t="s">
        <v>4806</v>
      </c>
      <c r="B4521" s="380" t="s">
        <v>4807</v>
      </c>
      <c r="C4521" s="368"/>
      <c r="D4521" s="452"/>
    </row>
    <row r="4522" spans="1:4" s="3" customFormat="1" ht="234" customHeight="1">
      <c r="A4522" s="319"/>
      <c r="B4522" s="267" t="s">
        <v>4808</v>
      </c>
      <c r="C4522" s="18"/>
      <c r="D4522" s="418"/>
    </row>
    <row r="4523" spans="1:4" s="3" customFormat="1">
      <c r="A4523" s="319"/>
      <c r="B4523" s="320" t="s">
        <v>4796</v>
      </c>
      <c r="C4523" s="18" t="s">
        <v>1077</v>
      </c>
      <c r="D4523" s="418"/>
    </row>
    <row r="4524" spans="1:4" s="3" customFormat="1" ht="26.45">
      <c r="A4524" s="384" t="s">
        <v>4809</v>
      </c>
      <c r="B4524" s="380" t="s">
        <v>4810</v>
      </c>
      <c r="C4524" s="368"/>
      <c r="D4524" s="452"/>
    </row>
    <row r="4525" spans="1:4" s="3" customFormat="1" ht="209.25" customHeight="1">
      <c r="A4525" s="319"/>
      <c r="B4525" s="267" t="s">
        <v>4811</v>
      </c>
      <c r="C4525" s="18"/>
      <c r="D4525" s="418"/>
    </row>
    <row r="4526" spans="1:4" s="3" customFormat="1" ht="22.5" customHeight="1">
      <c r="A4526" s="319"/>
      <c r="B4526" s="387" t="s">
        <v>4796</v>
      </c>
      <c r="C4526" s="18" t="s">
        <v>1077</v>
      </c>
      <c r="D4526" s="418" t="e">
        <f>#REF!</f>
        <v>#REF!</v>
      </c>
    </row>
    <row r="4527" spans="1:4" s="3" customFormat="1" ht="18" customHeight="1">
      <c r="A4527" s="384" t="s">
        <v>4812</v>
      </c>
      <c r="B4527" s="380" t="s">
        <v>4813</v>
      </c>
      <c r="C4527" s="368"/>
      <c r="D4527" s="452"/>
    </row>
    <row r="4528" spans="1:4" s="3" customFormat="1" ht="165.75" customHeight="1">
      <c r="A4528" s="319"/>
      <c r="B4528" s="378" t="s">
        <v>4814</v>
      </c>
      <c r="C4528" s="18"/>
      <c r="D4528" s="418"/>
    </row>
    <row r="4529" spans="1:4" s="3" customFormat="1">
      <c r="A4529" s="319"/>
      <c r="B4529" s="320" t="s">
        <v>4815</v>
      </c>
      <c r="C4529" s="18" t="s">
        <v>1262</v>
      </c>
      <c r="D4529" s="418"/>
    </row>
    <row r="4530" spans="1:4" s="3" customFormat="1">
      <c r="A4530" s="22" t="s">
        <v>4816</v>
      </c>
      <c r="B4530" s="23" t="s">
        <v>4817</v>
      </c>
      <c r="C4530" s="24"/>
      <c r="D4530" s="255"/>
    </row>
    <row r="4531" spans="1:4" s="3" customFormat="1">
      <c r="A4531" s="30"/>
      <c r="B4531" s="324" t="s">
        <v>2573</v>
      </c>
      <c r="C4531" s="41"/>
      <c r="D4531" s="427"/>
    </row>
    <row r="4532" spans="1:4" s="3" customFormat="1">
      <c r="A4532" s="30"/>
      <c r="B4532" s="344" t="s">
        <v>4818</v>
      </c>
      <c r="C4532" s="41"/>
      <c r="D4532" s="427"/>
    </row>
    <row r="4533" spans="1:4" s="3" customFormat="1">
      <c r="A4533" s="30"/>
      <c r="B4533" s="344" t="s">
        <v>4819</v>
      </c>
      <c r="C4533" s="41"/>
      <c r="D4533" s="427"/>
    </row>
    <row r="4534" spans="1:4" s="3" customFormat="1">
      <c r="A4534" s="30"/>
      <c r="B4534" s="345" t="s">
        <v>4820</v>
      </c>
      <c r="C4534" s="41"/>
      <c r="D4534" s="427"/>
    </row>
    <row r="4535" spans="1:4" s="3" customFormat="1">
      <c r="A4535" s="30"/>
      <c r="B4535" s="344" t="s">
        <v>4821</v>
      </c>
      <c r="C4535" s="41"/>
      <c r="D4535" s="427"/>
    </row>
    <row r="4536" spans="1:4" s="3" customFormat="1">
      <c r="A4536" s="30"/>
      <c r="B4536" s="345" t="s">
        <v>4822</v>
      </c>
      <c r="C4536" s="41"/>
      <c r="D4536" s="427"/>
    </row>
    <row r="4537" spans="1:4" s="3" customFormat="1">
      <c r="A4537" s="30"/>
      <c r="B4537" s="345" t="s">
        <v>4823</v>
      </c>
      <c r="C4537" s="41"/>
      <c r="D4537" s="427"/>
    </row>
    <row r="4538" spans="1:4" s="3" customFormat="1">
      <c r="A4538" s="30"/>
      <c r="B4538" s="345" t="s">
        <v>4824</v>
      </c>
      <c r="C4538" s="41"/>
      <c r="D4538" s="427"/>
    </row>
    <row r="4539" spans="1:4" s="3" customFormat="1">
      <c r="A4539" s="30"/>
      <c r="B4539" s="345" t="s">
        <v>4825</v>
      </c>
      <c r="C4539" s="41"/>
      <c r="D4539" s="427"/>
    </row>
    <row r="4540" spans="1:4" s="3" customFormat="1">
      <c r="A4540" s="304"/>
      <c r="B4540" s="313" t="s">
        <v>1266</v>
      </c>
      <c r="C4540" s="109" t="s">
        <v>1077</v>
      </c>
      <c r="D4540" s="421"/>
    </row>
    <row r="4541" spans="1:4" s="3" customFormat="1" ht="13.9">
      <c r="A4541" s="13" t="s">
        <v>4826</v>
      </c>
      <c r="B4541" s="52" t="s">
        <v>4827</v>
      </c>
      <c r="C4541" s="58" t="s">
        <v>959</v>
      </c>
      <c r="D4541" s="453" t="s">
        <v>959</v>
      </c>
    </row>
    <row r="4542" spans="1:4" s="3" customFormat="1">
      <c r="A4542" s="22" t="s">
        <v>4828</v>
      </c>
      <c r="B4542" s="50" t="s">
        <v>4829</v>
      </c>
      <c r="C4542" s="45" t="s">
        <v>959</v>
      </c>
      <c r="D4542" s="439"/>
    </row>
    <row r="4543" spans="1:4" s="3" customFormat="1">
      <c r="A4543" s="30" t="s">
        <v>842</v>
      </c>
      <c r="B4543" s="31" t="s">
        <v>4830</v>
      </c>
      <c r="C4543" s="18"/>
      <c r="D4543" s="418"/>
    </row>
    <row r="4544" spans="1:4" s="3" customFormat="1" ht="26.45">
      <c r="A4544" s="111"/>
      <c r="B4544" s="267" t="s">
        <v>4831</v>
      </c>
      <c r="C4544" s="18"/>
      <c r="D4544" s="418"/>
    </row>
    <row r="4545" spans="1:4" s="3" customFormat="1">
      <c r="A4545" s="111"/>
      <c r="B4545" s="267" t="s">
        <v>4832</v>
      </c>
      <c r="C4545" s="18"/>
      <c r="D4545" s="418"/>
    </row>
    <row r="4546" spans="1:4" s="3" customFormat="1" ht="26.45">
      <c r="A4546" s="111"/>
      <c r="B4546" s="267" t="s">
        <v>4833</v>
      </c>
      <c r="C4546" s="18"/>
      <c r="D4546" s="418"/>
    </row>
    <row r="4547" spans="1:4" s="3" customFormat="1">
      <c r="A4547" s="111"/>
      <c r="B4547" s="267" t="s">
        <v>4834</v>
      </c>
      <c r="C4547" s="18"/>
      <c r="D4547" s="418"/>
    </row>
    <row r="4548" spans="1:4" s="3" customFormat="1">
      <c r="A4548" s="111"/>
      <c r="B4548" s="267" t="s">
        <v>4835</v>
      </c>
      <c r="C4548" s="18"/>
      <c r="D4548" s="418"/>
    </row>
    <row r="4549" spans="1:4" s="3" customFormat="1" ht="26.45">
      <c r="A4549" s="111"/>
      <c r="B4549" s="267" t="s">
        <v>4836</v>
      </c>
      <c r="C4549" s="18"/>
      <c r="D4549" s="418"/>
    </row>
    <row r="4550" spans="1:4" s="3" customFormat="1" ht="26.45">
      <c r="A4550" s="111"/>
      <c r="B4550" s="267" t="s">
        <v>4837</v>
      </c>
      <c r="C4550" s="18"/>
      <c r="D4550" s="418"/>
    </row>
    <row r="4551" spans="1:4" s="3" customFormat="1">
      <c r="A4551" s="111"/>
      <c r="B4551" s="267" t="s">
        <v>1028</v>
      </c>
      <c r="C4551" s="18" t="s">
        <v>1029</v>
      </c>
      <c r="D4551" s="418"/>
    </row>
    <row r="4552" spans="1:4" s="3" customFormat="1">
      <c r="A4552" s="30" t="s">
        <v>843</v>
      </c>
      <c r="B4552" s="31" t="s">
        <v>4838</v>
      </c>
      <c r="C4552" s="18"/>
      <c r="D4552" s="418"/>
    </row>
    <row r="4553" spans="1:4" s="3" customFormat="1">
      <c r="A4553" s="111"/>
      <c r="B4553" s="267" t="s">
        <v>4839</v>
      </c>
      <c r="C4553" s="18"/>
      <c r="D4553" s="418"/>
    </row>
    <row r="4554" spans="1:4" s="3" customFormat="1">
      <c r="A4554" s="111"/>
      <c r="B4554" s="267" t="s">
        <v>4832</v>
      </c>
      <c r="C4554" s="18"/>
      <c r="D4554" s="418"/>
    </row>
    <row r="4555" spans="1:4" s="3" customFormat="1">
      <c r="A4555" s="111"/>
      <c r="B4555" s="267" t="s">
        <v>4840</v>
      </c>
      <c r="C4555" s="18"/>
      <c r="D4555" s="418"/>
    </row>
    <row r="4556" spans="1:4" s="3" customFormat="1">
      <c r="A4556" s="111"/>
      <c r="B4556" s="267" t="s">
        <v>4841</v>
      </c>
      <c r="C4556" s="18"/>
      <c r="D4556" s="418"/>
    </row>
    <row r="4557" spans="1:4" s="3" customFormat="1" ht="26.45">
      <c r="A4557" s="111"/>
      <c r="B4557" s="267" t="s">
        <v>4836</v>
      </c>
      <c r="C4557" s="18"/>
      <c r="D4557" s="418"/>
    </row>
    <row r="4558" spans="1:4" s="3" customFormat="1" ht="26.45">
      <c r="A4558" s="111"/>
      <c r="B4558" s="267" t="s">
        <v>4837</v>
      </c>
      <c r="C4558" s="18"/>
      <c r="D4558" s="418"/>
    </row>
    <row r="4559" spans="1:4" s="3" customFormat="1">
      <c r="A4559" s="111"/>
      <c r="B4559" s="267" t="s">
        <v>1028</v>
      </c>
      <c r="C4559" s="18" t="s">
        <v>1029</v>
      </c>
      <c r="D4559" s="418"/>
    </row>
    <row r="4560" spans="1:4" s="3" customFormat="1">
      <c r="A4560" s="30" t="s">
        <v>844</v>
      </c>
      <c r="B4560" s="31" t="s">
        <v>4842</v>
      </c>
      <c r="C4560" s="18"/>
      <c r="D4560" s="418"/>
    </row>
    <row r="4561" spans="1:4" s="3" customFormat="1" ht="26.45">
      <c r="A4561" s="111"/>
      <c r="B4561" s="267" t="s">
        <v>4843</v>
      </c>
      <c r="C4561" s="18"/>
      <c r="D4561" s="418"/>
    </row>
    <row r="4562" spans="1:4" s="3" customFormat="1">
      <c r="A4562" s="111"/>
      <c r="B4562" s="267" t="s">
        <v>4832</v>
      </c>
      <c r="C4562" s="18"/>
      <c r="D4562" s="418"/>
    </row>
    <row r="4563" spans="1:4" s="3" customFormat="1" ht="26.45">
      <c r="A4563" s="111"/>
      <c r="B4563" s="267" t="s">
        <v>4833</v>
      </c>
      <c r="C4563" s="18"/>
      <c r="D4563" s="418"/>
    </row>
    <row r="4564" spans="1:4" s="3" customFormat="1">
      <c r="A4564" s="111"/>
      <c r="B4564" s="267" t="s">
        <v>4844</v>
      </c>
      <c r="C4564" s="18"/>
      <c r="D4564" s="418"/>
    </row>
    <row r="4565" spans="1:4" s="3" customFormat="1">
      <c r="A4565" s="111"/>
      <c r="B4565" s="267" t="s">
        <v>4835</v>
      </c>
      <c r="C4565" s="18"/>
      <c r="D4565" s="418"/>
    </row>
    <row r="4566" spans="1:4" s="3" customFormat="1" ht="26.45">
      <c r="A4566" s="111"/>
      <c r="B4566" s="267" t="s">
        <v>4836</v>
      </c>
      <c r="C4566" s="18"/>
      <c r="D4566" s="418"/>
    </row>
    <row r="4567" spans="1:4" s="3" customFormat="1" ht="26.45">
      <c r="A4567" s="111"/>
      <c r="B4567" s="267" t="s">
        <v>4837</v>
      </c>
      <c r="C4567" s="18"/>
      <c r="D4567" s="418"/>
    </row>
    <row r="4568" spans="1:4" s="3" customFormat="1">
      <c r="A4568" s="111"/>
      <c r="B4568" s="267" t="s">
        <v>1028</v>
      </c>
      <c r="C4568" s="18" t="s">
        <v>1029</v>
      </c>
      <c r="D4568" s="418"/>
    </row>
    <row r="4569" spans="1:4" s="3" customFormat="1">
      <c r="A4569" s="30" t="s">
        <v>845</v>
      </c>
      <c r="B4569" s="31" t="s">
        <v>4845</v>
      </c>
      <c r="C4569" s="18"/>
      <c r="D4569" s="418"/>
    </row>
    <row r="4570" spans="1:4" s="3" customFormat="1" ht="26.45">
      <c r="A4570" s="30"/>
      <c r="B4570" s="267" t="s">
        <v>4846</v>
      </c>
      <c r="C4570" s="18"/>
      <c r="D4570" s="418"/>
    </row>
    <row r="4571" spans="1:4" s="3" customFormat="1" ht="39.6">
      <c r="A4571" s="30"/>
      <c r="B4571" s="267" t="s">
        <v>4847</v>
      </c>
      <c r="C4571" s="18"/>
      <c r="D4571" s="418"/>
    </row>
    <row r="4572" spans="1:4" s="3" customFormat="1">
      <c r="A4572" s="55" t="s">
        <v>4848</v>
      </c>
      <c r="B4572" s="123" t="s">
        <v>4849</v>
      </c>
      <c r="C4572" s="18"/>
      <c r="D4572" s="418"/>
    </row>
    <row r="4573" spans="1:4" s="3" customFormat="1">
      <c r="A4573" s="286"/>
      <c r="B4573" s="283" t="s">
        <v>1028</v>
      </c>
      <c r="C4573" s="18" t="s">
        <v>1029</v>
      </c>
      <c r="D4573" s="418"/>
    </row>
    <row r="4574" spans="1:4" s="3" customFormat="1">
      <c r="A4574" s="55" t="s">
        <v>4850</v>
      </c>
      <c r="B4574" s="123" t="s">
        <v>4851</v>
      </c>
      <c r="C4574" s="18"/>
      <c r="D4574" s="418"/>
    </row>
    <row r="4575" spans="1:4" s="3" customFormat="1">
      <c r="A4575" s="286"/>
      <c r="B4575" s="283" t="s">
        <v>1076</v>
      </c>
      <c r="C4575" s="18" t="s">
        <v>1077</v>
      </c>
      <c r="D4575" s="418"/>
    </row>
    <row r="4576" spans="1:4" s="3" customFormat="1">
      <c r="A4576" s="55" t="s">
        <v>4852</v>
      </c>
      <c r="B4576" s="123" t="s">
        <v>4853</v>
      </c>
      <c r="C4576" s="18"/>
      <c r="D4576" s="418"/>
    </row>
    <row r="4577" spans="1:4" s="3" customFormat="1">
      <c r="A4577" s="286"/>
      <c r="B4577" s="283" t="s">
        <v>1028</v>
      </c>
      <c r="C4577" s="18" t="s">
        <v>1029</v>
      </c>
      <c r="D4577" s="418"/>
    </row>
    <row r="4578" spans="1:4" s="3" customFormat="1">
      <c r="A4578" s="30" t="s">
        <v>846</v>
      </c>
      <c r="B4578" s="31" t="s">
        <v>4854</v>
      </c>
      <c r="C4578" s="18"/>
      <c r="D4578" s="418"/>
    </row>
    <row r="4579" spans="1:4" s="3" customFormat="1" ht="52.9">
      <c r="A4579" s="30"/>
      <c r="B4579" s="267" t="s">
        <v>4855</v>
      </c>
      <c r="C4579" s="18"/>
      <c r="D4579" s="418"/>
    </row>
    <row r="4580" spans="1:4" s="3" customFormat="1">
      <c r="A4580" s="30"/>
      <c r="B4580" s="283" t="s">
        <v>2807</v>
      </c>
      <c r="C4580" s="18" t="s">
        <v>2808</v>
      </c>
      <c r="D4580" s="418"/>
    </row>
    <row r="4581" spans="1:4" s="3" customFormat="1">
      <c r="A4581" s="22" t="s">
        <v>4856</v>
      </c>
      <c r="B4581" s="50" t="s">
        <v>4857</v>
      </c>
      <c r="C4581" s="45" t="s">
        <v>959</v>
      </c>
      <c r="D4581" s="439"/>
    </row>
    <row r="4582" spans="1:4" s="2" customFormat="1">
      <c r="A4582" s="30" t="s">
        <v>855</v>
      </c>
      <c r="B4582" s="31" t="s">
        <v>4858</v>
      </c>
      <c r="C4582" s="18" t="s">
        <v>959</v>
      </c>
      <c r="D4582" s="418"/>
    </row>
    <row r="4583" spans="1:4" s="2" customFormat="1" ht="26.45">
      <c r="A4583" s="111" t="s">
        <v>959</v>
      </c>
      <c r="B4583" s="267" t="s">
        <v>4859</v>
      </c>
      <c r="C4583" s="18" t="s">
        <v>959</v>
      </c>
      <c r="D4583" s="418"/>
    </row>
    <row r="4584" spans="1:4" s="2" customFormat="1">
      <c r="A4584" s="111" t="s">
        <v>959</v>
      </c>
      <c r="B4584" s="267" t="s">
        <v>1150</v>
      </c>
      <c r="C4584" s="18" t="s">
        <v>959</v>
      </c>
      <c r="D4584" s="418"/>
    </row>
    <row r="4585" spans="1:4" s="2" customFormat="1">
      <c r="A4585" s="111" t="s">
        <v>959</v>
      </c>
      <c r="B4585" s="267" t="s">
        <v>1542</v>
      </c>
      <c r="C4585" s="18" t="s">
        <v>959</v>
      </c>
      <c r="D4585" s="418"/>
    </row>
    <row r="4586" spans="1:4" s="2" customFormat="1" ht="26.45">
      <c r="A4586" s="111" t="s">
        <v>959</v>
      </c>
      <c r="B4586" s="267" t="s">
        <v>4860</v>
      </c>
      <c r="C4586" s="18" t="s">
        <v>959</v>
      </c>
      <c r="D4586" s="418"/>
    </row>
    <row r="4587" spans="1:4" s="2" customFormat="1">
      <c r="A4587" s="111" t="s">
        <v>959</v>
      </c>
      <c r="B4587" s="267" t="s">
        <v>4861</v>
      </c>
      <c r="C4587" s="18" t="s">
        <v>959</v>
      </c>
      <c r="D4587" s="418"/>
    </row>
    <row r="4588" spans="1:4" s="2" customFormat="1">
      <c r="A4588" s="55" t="s">
        <v>4862</v>
      </c>
      <c r="B4588" s="77" t="s">
        <v>4863</v>
      </c>
      <c r="C4588" s="18"/>
      <c r="D4588" s="418"/>
    </row>
    <row r="4589" spans="1:4" s="2" customFormat="1">
      <c r="A4589" s="55" t="s">
        <v>4864</v>
      </c>
      <c r="B4589" s="77" t="s">
        <v>4865</v>
      </c>
      <c r="C4589" s="18"/>
      <c r="D4589" s="418"/>
    </row>
    <row r="4590" spans="1:4" s="2" customFormat="1">
      <c r="A4590" s="286"/>
      <c r="B4590" s="267" t="s">
        <v>1028</v>
      </c>
      <c r="C4590" s="18" t="s">
        <v>1029</v>
      </c>
      <c r="D4590" s="418"/>
    </row>
    <row r="4591" spans="1:4" s="2" customFormat="1">
      <c r="A4591" s="55" t="s">
        <v>4866</v>
      </c>
      <c r="B4591" s="77" t="s">
        <v>4867</v>
      </c>
      <c r="C4591" s="18"/>
      <c r="D4591" s="418"/>
    </row>
    <row r="4592" spans="1:4" s="3" customFormat="1">
      <c r="A4592" s="286"/>
      <c r="B4592" s="267" t="s">
        <v>1028</v>
      </c>
      <c r="C4592" s="18" t="s">
        <v>1029</v>
      </c>
      <c r="D4592" s="418"/>
    </row>
    <row r="4593" spans="1:4" s="3" customFormat="1">
      <c r="A4593" s="55" t="s">
        <v>4868</v>
      </c>
      <c r="B4593" s="77" t="s">
        <v>4869</v>
      </c>
      <c r="C4593" s="18"/>
      <c r="D4593" s="418"/>
    </row>
    <row r="4594" spans="1:4" s="3" customFormat="1">
      <c r="A4594" s="55" t="s">
        <v>4870</v>
      </c>
      <c r="B4594" s="77" t="s">
        <v>4865</v>
      </c>
      <c r="C4594" s="18"/>
      <c r="D4594" s="418"/>
    </row>
    <row r="4595" spans="1:4" s="3" customFormat="1">
      <c r="A4595" s="286"/>
      <c r="B4595" s="267" t="s">
        <v>1028</v>
      </c>
      <c r="C4595" s="18" t="s">
        <v>1029</v>
      </c>
      <c r="D4595" s="418"/>
    </row>
    <row r="4596" spans="1:4" s="3" customFormat="1">
      <c r="A4596" s="55" t="s">
        <v>4871</v>
      </c>
      <c r="B4596" s="77" t="s">
        <v>4867</v>
      </c>
      <c r="C4596" s="18"/>
      <c r="D4596" s="418"/>
    </row>
    <row r="4597" spans="1:4" s="3" customFormat="1">
      <c r="A4597" s="286"/>
      <c r="B4597" s="267" t="s">
        <v>1028</v>
      </c>
      <c r="C4597" s="18" t="s">
        <v>1029</v>
      </c>
      <c r="D4597" s="418"/>
    </row>
    <row r="4598" spans="1:4" s="2" customFormat="1">
      <c r="A4598" s="55" t="s">
        <v>4872</v>
      </c>
      <c r="B4598" s="77" t="s">
        <v>4873</v>
      </c>
      <c r="C4598" s="18"/>
      <c r="D4598" s="418"/>
    </row>
    <row r="4599" spans="1:4" s="2" customFormat="1">
      <c r="A4599" s="55" t="s">
        <v>4874</v>
      </c>
      <c r="B4599" s="77" t="s">
        <v>4865</v>
      </c>
      <c r="C4599" s="18"/>
      <c r="D4599" s="418"/>
    </row>
    <row r="4600" spans="1:4" s="2" customFormat="1">
      <c r="A4600" s="286"/>
      <c r="B4600" s="267" t="s">
        <v>1028</v>
      </c>
      <c r="C4600" s="18" t="s">
        <v>1029</v>
      </c>
      <c r="D4600" s="418"/>
    </row>
    <row r="4601" spans="1:4" s="2" customFormat="1">
      <c r="A4601" s="55" t="s">
        <v>4875</v>
      </c>
      <c r="B4601" s="77" t="s">
        <v>4867</v>
      </c>
      <c r="C4601" s="18"/>
      <c r="D4601" s="418"/>
    </row>
    <row r="4602" spans="1:4" s="2" customFormat="1">
      <c r="A4602" s="111"/>
      <c r="B4602" s="267" t="s">
        <v>1028</v>
      </c>
      <c r="C4602" s="18" t="s">
        <v>1029</v>
      </c>
      <c r="D4602" s="418"/>
    </row>
    <row r="4603" spans="1:4" s="3" customFormat="1">
      <c r="A4603" s="30" t="s">
        <v>856</v>
      </c>
      <c r="B4603" s="31" t="s">
        <v>4876</v>
      </c>
      <c r="C4603" s="18" t="s">
        <v>959</v>
      </c>
      <c r="D4603" s="418"/>
    </row>
    <row r="4604" spans="1:4" s="3" customFormat="1" ht="26.45">
      <c r="A4604" s="111" t="s">
        <v>959</v>
      </c>
      <c r="B4604" s="267" t="s">
        <v>4877</v>
      </c>
      <c r="C4604" s="18" t="s">
        <v>959</v>
      </c>
      <c r="D4604" s="418"/>
    </row>
    <row r="4605" spans="1:4" s="3" customFormat="1">
      <c r="A4605" s="111" t="s">
        <v>959</v>
      </c>
      <c r="B4605" s="267" t="s">
        <v>1150</v>
      </c>
      <c r="C4605" s="18" t="s">
        <v>959</v>
      </c>
      <c r="D4605" s="418"/>
    </row>
    <row r="4606" spans="1:4" s="3" customFormat="1">
      <c r="A4606" s="111" t="s">
        <v>959</v>
      </c>
      <c r="B4606" s="267" t="s">
        <v>1542</v>
      </c>
      <c r="C4606" s="18" t="s">
        <v>959</v>
      </c>
      <c r="D4606" s="418"/>
    </row>
    <row r="4607" spans="1:4" s="3" customFormat="1">
      <c r="A4607" s="111" t="s">
        <v>959</v>
      </c>
      <c r="B4607" s="267" t="s">
        <v>4878</v>
      </c>
      <c r="C4607" s="18" t="s">
        <v>959</v>
      </c>
      <c r="D4607" s="418"/>
    </row>
    <row r="4608" spans="1:4" s="3" customFormat="1">
      <c r="A4608" s="111" t="s">
        <v>959</v>
      </c>
      <c r="B4608" s="267" t="s">
        <v>4879</v>
      </c>
      <c r="C4608" s="18" t="s">
        <v>959</v>
      </c>
      <c r="D4608" s="418"/>
    </row>
    <row r="4609" spans="1:4">
      <c r="A4609" s="55" t="s">
        <v>4880</v>
      </c>
      <c r="B4609" s="77" t="s">
        <v>4881</v>
      </c>
      <c r="C4609" s="18"/>
      <c r="D4609" s="418"/>
    </row>
    <row r="4610" spans="1:4" s="69" customFormat="1" ht="26.25" customHeight="1">
      <c r="A4610" s="286"/>
      <c r="B4610" s="267" t="s">
        <v>1028</v>
      </c>
      <c r="C4610" s="18" t="s">
        <v>1029</v>
      </c>
      <c r="D4610" s="418"/>
    </row>
    <row r="4611" spans="1:4" s="69" customFormat="1" ht="15" customHeight="1">
      <c r="A4611" s="55" t="s">
        <v>4882</v>
      </c>
      <c r="B4611" s="77" t="s">
        <v>4883</v>
      </c>
      <c r="C4611" s="18"/>
      <c r="D4611" s="418"/>
    </row>
    <row r="4612" spans="1:4" s="69" customFormat="1" ht="15" customHeight="1">
      <c r="A4612" s="286"/>
      <c r="B4612" s="267" t="s">
        <v>1028</v>
      </c>
      <c r="C4612" s="18" t="s">
        <v>1029</v>
      </c>
      <c r="D4612" s="418"/>
    </row>
    <row r="4613" spans="1:4" s="69" customFormat="1" ht="15" customHeight="1">
      <c r="A4613" s="55" t="s">
        <v>4884</v>
      </c>
      <c r="B4613" s="77" t="s">
        <v>4885</v>
      </c>
      <c r="C4613" s="18"/>
      <c r="D4613" s="418"/>
    </row>
    <row r="4614" spans="1:4" s="69" customFormat="1" ht="15" customHeight="1">
      <c r="A4614" s="286"/>
      <c r="B4614" s="267" t="s">
        <v>1028</v>
      </c>
      <c r="C4614" s="18" t="s">
        <v>1029</v>
      </c>
      <c r="D4614" s="418"/>
    </row>
    <row r="4615" spans="1:4" s="69" customFormat="1" ht="15" customHeight="1">
      <c r="A4615" s="55" t="s">
        <v>4886</v>
      </c>
      <c r="B4615" s="77" t="s">
        <v>4887</v>
      </c>
      <c r="C4615" s="18"/>
      <c r="D4615" s="418"/>
    </row>
    <row r="4616" spans="1:4" s="69" customFormat="1" ht="15" customHeight="1">
      <c r="A4616" s="286"/>
      <c r="B4616" s="267" t="s">
        <v>1028</v>
      </c>
      <c r="C4616" s="18" t="s">
        <v>1029</v>
      </c>
      <c r="D4616" s="418"/>
    </row>
    <row r="4617" spans="1:4" s="2" customFormat="1">
      <c r="A4617" s="30" t="s">
        <v>857</v>
      </c>
      <c r="B4617" s="31" t="s">
        <v>4888</v>
      </c>
      <c r="C4617" s="18" t="s">
        <v>959</v>
      </c>
      <c r="D4617" s="418"/>
    </row>
    <row r="4618" spans="1:4" s="2" customFormat="1" ht="26.45">
      <c r="A4618" s="111" t="s">
        <v>959</v>
      </c>
      <c r="B4618" s="267" t="s">
        <v>4889</v>
      </c>
      <c r="C4618" s="18" t="s">
        <v>959</v>
      </c>
      <c r="D4618" s="418"/>
    </row>
    <row r="4619" spans="1:4" s="48" customFormat="1">
      <c r="A4619" s="111" t="s">
        <v>959</v>
      </c>
      <c r="B4619" s="267" t="s">
        <v>1150</v>
      </c>
      <c r="C4619" s="18" t="s">
        <v>959</v>
      </c>
      <c r="D4619" s="418"/>
    </row>
    <row r="4620" spans="1:4" s="48" customFormat="1">
      <c r="A4620" s="111" t="s">
        <v>959</v>
      </c>
      <c r="B4620" s="267" t="s">
        <v>1542</v>
      </c>
      <c r="C4620" s="18" t="s">
        <v>959</v>
      </c>
      <c r="D4620" s="418"/>
    </row>
    <row r="4621" spans="1:4" s="48" customFormat="1">
      <c r="A4621" s="111" t="s">
        <v>959</v>
      </c>
      <c r="B4621" s="267" t="s">
        <v>4890</v>
      </c>
      <c r="C4621" s="18" t="s">
        <v>959</v>
      </c>
      <c r="D4621" s="418"/>
    </row>
    <row r="4622" spans="1:4" s="48" customFormat="1">
      <c r="A4622" s="111" t="s">
        <v>959</v>
      </c>
      <c r="B4622" s="267" t="s">
        <v>4861</v>
      </c>
      <c r="C4622" s="18" t="s">
        <v>959</v>
      </c>
      <c r="D4622" s="418"/>
    </row>
    <row r="4623" spans="1:4" s="48" customFormat="1">
      <c r="A4623" s="233" t="s">
        <v>4891</v>
      </c>
      <c r="B4623" s="234" t="s">
        <v>4892</v>
      </c>
      <c r="C4623" s="18"/>
      <c r="D4623" s="418"/>
    </row>
    <row r="4624" spans="1:4" s="48" customFormat="1">
      <c r="A4624" s="233"/>
      <c r="B4624" s="147" t="s">
        <v>1028</v>
      </c>
      <c r="C4624" s="18" t="s">
        <v>1029</v>
      </c>
      <c r="D4624" s="418"/>
    </row>
    <row r="4625" spans="1:4" s="48" customFormat="1">
      <c r="A4625" s="233" t="s">
        <v>4893</v>
      </c>
      <c r="B4625" s="234" t="s">
        <v>4894</v>
      </c>
      <c r="C4625" s="235"/>
      <c r="D4625" s="418"/>
    </row>
    <row r="4626" spans="1:4" s="48" customFormat="1">
      <c r="A4626" s="233"/>
      <c r="B4626" s="147" t="s">
        <v>1028</v>
      </c>
      <c r="C4626" s="18" t="s">
        <v>1029</v>
      </c>
      <c r="D4626" s="418"/>
    </row>
    <row r="4627" spans="1:4" s="48" customFormat="1">
      <c r="A4627" s="233" t="s">
        <v>4895</v>
      </c>
      <c r="B4627" s="234" t="s">
        <v>4896</v>
      </c>
      <c r="C4627" s="235"/>
      <c r="D4627" s="418"/>
    </row>
    <row r="4628" spans="1:4" s="48" customFormat="1" ht="12.75" customHeight="1">
      <c r="A4628" s="233"/>
      <c r="B4628" s="147" t="s">
        <v>1028</v>
      </c>
      <c r="C4628" s="18" t="s">
        <v>1029</v>
      </c>
      <c r="D4628" s="418"/>
    </row>
    <row r="4629" spans="1:4" s="48" customFormat="1">
      <c r="A4629" s="233" t="s">
        <v>4897</v>
      </c>
      <c r="B4629" s="234" t="s">
        <v>4898</v>
      </c>
      <c r="C4629" s="235"/>
      <c r="D4629" s="418"/>
    </row>
    <row r="4630" spans="1:4" s="48" customFormat="1">
      <c r="A4630" s="233"/>
      <c r="B4630" s="147" t="s">
        <v>1028</v>
      </c>
      <c r="C4630" s="18" t="s">
        <v>1029</v>
      </c>
      <c r="D4630" s="418"/>
    </row>
    <row r="4631" spans="1:4" s="48" customFormat="1" ht="13.9">
      <c r="A4631" s="233" t="s">
        <v>4899</v>
      </c>
      <c r="B4631" s="234" t="s">
        <v>4900</v>
      </c>
      <c r="C4631" s="18"/>
      <c r="D4631" s="418"/>
    </row>
    <row r="4632" spans="1:4" s="48" customFormat="1">
      <c r="A4632" s="233"/>
      <c r="B4632" s="147" t="s">
        <v>1028</v>
      </c>
      <c r="C4632" s="18" t="s">
        <v>1029</v>
      </c>
      <c r="D4632" s="418"/>
    </row>
    <row r="4633" spans="1:4" s="48" customFormat="1">
      <c r="A4633" s="233" t="s">
        <v>4901</v>
      </c>
      <c r="B4633" s="234" t="s">
        <v>4902</v>
      </c>
      <c r="C4633" s="18"/>
      <c r="D4633" s="418"/>
    </row>
    <row r="4634" spans="1:4" s="48" customFormat="1">
      <c r="A4634" s="233"/>
      <c r="B4634" s="147" t="s">
        <v>1028</v>
      </c>
      <c r="C4634" s="18" t="s">
        <v>1029</v>
      </c>
      <c r="D4634" s="418"/>
    </row>
    <row r="4635" spans="1:4" s="48" customFormat="1">
      <c r="A4635" s="233" t="s">
        <v>4903</v>
      </c>
      <c r="B4635" s="234" t="s">
        <v>4904</v>
      </c>
      <c r="C4635" s="18"/>
      <c r="D4635" s="418"/>
    </row>
    <row r="4636" spans="1:4" s="48" customFormat="1">
      <c r="A4636" s="233"/>
      <c r="B4636" s="234" t="s">
        <v>1028</v>
      </c>
      <c r="C4636" s="18" t="s">
        <v>1029</v>
      </c>
      <c r="D4636" s="418"/>
    </row>
    <row r="4637" spans="1:4" s="2" customFormat="1">
      <c r="A4637" s="233" t="s">
        <v>4905</v>
      </c>
      <c r="B4637" s="147" t="s">
        <v>4906</v>
      </c>
      <c r="C4637" s="18"/>
      <c r="D4637" s="418"/>
    </row>
    <row r="4638" spans="1:4" s="48" customFormat="1">
      <c r="A4638" s="233"/>
      <c r="B4638" s="234" t="s">
        <v>1028</v>
      </c>
      <c r="C4638" s="18" t="s">
        <v>1029</v>
      </c>
      <c r="D4638" s="418"/>
    </row>
    <row r="4639" spans="1:4" s="48" customFormat="1">
      <c r="A4639" s="30" t="s">
        <v>858</v>
      </c>
      <c r="B4639" s="31" t="s">
        <v>4907</v>
      </c>
      <c r="C4639" s="18" t="s">
        <v>959</v>
      </c>
      <c r="D4639" s="418"/>
    </row>
    <row r="4640" spans="1:4" s="48" customFormat="1" ht="26.45">
      <c r="A4640" s="111" t="s">
        <v>959</v>
      </c>
      <c r="B4640" s="267" t="s">
        <v>4908</v>
      </c>
      <c r="C4640" s="18" t="s">
        <v>959</v>
      </c>
      <c r="D4640" s="418"/>
    </row>
    <row r="4641" spans="1:4" s="48" customFormat="1">
      <c r="A4641" s="111" t="s">
        <v>959</v>
      </c>
      <c r="B4641" s="267" t="s">
        <v>1150</v>
      </c>
      <c r="C4641" s="18" t="s">
        <v>959</v>
      </c>
      <c r="D4641" s="418"/>
    </row>
    <row r="4642" spans="1:4" s="48" customFormat="1">
      <c r="A4642" s="111" t="s">
        <v>959</v>
      </c>
      <c r="B4642" s="267" t="s">
        <v>1542</v>
      </c>
      <c r="C4642" s="18" t="s">
        <v>959</v>
      </c>
      <c r="D4642" s="418"/>
    </row>
    <row r="4643" spans="1:4" s="48" customFormat="1">
      <c r="A4643" s="111" t="s">
        <v>959</v>
      </c>
      <c r="B4643" s="267" t="s">
        <v>4909</v>
      </c>
      <c r="C4643" s="18" t="s">
        <v>959</v>
      </c>
      <c r="D4643" s="418"/>
    </row>
    <row r="4644" spans="1:4" s="48" customFormat="1">
      <c r="A4644" s="111" t="s">
        <v>959</v>
      </c>
      <c r="B4644" s="267" t="s">
        <v>4861</v>
      </c>
      <c r="C4644" s="18" t="s">
        <v>959</v>
      </c>
      <c r="D4644" s="418"/>
    </row>
    <row r="4645" spans="1:4" s="48" customFormat="1" ht="27" customHeight="1">
      <c r="A4645" s="111" t="s">
        <v>959</v>
      </c>
      <c r="B4645" s="267" t="s">
        <v>4910</v>
      </c>
      <c r="C4645" s="18" t="s">
        <v>959</v>
      </c>
      <c r="D4645" s="418"/>
    </row>
    <row r="4646" spans="1:4" s="48" customFormat="1">
      <c r="A4646" s="55" t="s">
        <v>4911</v>
      </c>
      <c r="B4646" s="77" t="s">
        <v>4912</v>
      </c>
      <c r="C4646" s="18"/>
      <c r="D4646" s="418"/>
    </row>
    <row r="4647" spans="1:4" s="48" customFormat="1">
      <c r="A4647" s="286"/>
      <c r="B4647" s="267" t="s">
        <v>1028</v>
      </c>
      <c r="C4647" s="18" t="s">
        <v>1029</v>
      </c>
      <c r="D4647" s="418"/>
    </row>
    <row r="4648" spans="1:4" s="48" customFormat="1">
      <c r="A4648" s="55" t="s">
        <v>4913</v>
      </c>
      <c r="B4648" s="77" t="s">
        <v>4914</v>
      </c>
      <c r="C4648" s="18"/>
      <c r="D4648" s="418"/>
    </row>
    <row r="4649" spans="1:4" s="2" customFormat="1">
      <c r="A4649" s="286"/>
      <c r="B4649" s="267" t="s">
        <v>1028</v>
      </c>
      <c r="C4649" s="18" t="s">
        <v>1029</v>
      </c>
      <c r="D4649" s="418"/>
    </row>
    <row r="4650" spans="1:4" s="48" customFormat="1">
      <c r="A4650" s="55" t="s">
        <v>4915</v>
      </c>
      <c r="B4650" s="77" t="s">
        <v>4916</v>
      </c>
      <c r="C4650" s="18"/>
      <c r="D4650" s="418"/>
    </row>
    <row r="4651" spans="1:4" s="48" customFormat="1">
      <c r="A4651" s="286"/>
      <c r="B4651" s="267" t="s">
        <v>1028</v>
      </c>
      <c r="C4651" s="18" t="s">
        <v>1029</v>
      </c>
      <c r="D4651" s="418"/>
    </row>
    <row r="4652" spans="1:4" s="48" customFormat="1">
      <c r="A4652" s="30" t="s">
        <v>859</v>
      </c>
      <c r="B4652" s="31" t="s">
        <v>4917</v>
      </c>
      <c r="C4652" s="18" t="s">
        <v>959</v>
      </c>
      <c r="D4652" s="418"/>
    </row>
    <row r="4653" spans="1:4" s="48" customFormat="1">
      <c r="A4653" s="111" t="s">
        <v>959</v>
      </c>
      <c r="B4653" s="267" t="s">
        <v>1150</v>
      </c>
      <c r="C4653" s="18" t="s">
        <v>959</v>
      </c>
      <c r="D4653" s="418"/>
    </row>
    <row r="4654" spans="1:4" s="48" customFormat="1">
      <c r="A4654" s="111" t="s">
        <v>959</v>
      </c>
      <c r="B4654" s="267" t="s">
        <v>1542</v>
      </c>
      <c r="C4654" s="18" t="s">
        <v>959</v>
      </c>
      <c r="D4654" s="418"/>
    </row>
    <row r="4655" spans="1:4" s="48" customFormat="1" ht="26.45">
      <c r="A4655" s="111" t="s">
        <v>959</v>
      </c>
      <c r="B4655" s="267" t="s">
        <v>4918</v>
      </c>
      <c r="C4655" s="18" t="s">
        <v>959</v>
      </c>
      <c r="D4655" s="418"/>
    </row>
    <row r="4656" spans="1:4" s="48" customFormat="1">
      <c r="A4656" s="111" t="s">
        <v>959</v>
      </c>
      <c r="B4656" s="267" t="s">
        <v>4919</v>
      </c>
      <c r="C4656" s="18" t="s">
        <v>959</v>
      </c>
      <c r="D4656" s="418"/>
    </row>
    <row r="4657" spans="1:4" s="48" customFormat="1">
      <c r="A4657" s="111" t="s">
        <v>959</v>
      </c>
      <c r="B4657" s="267" t="s">
        <v>4910</v>
      </c>
      <c r="C4657" s="18" t="s">
        <v>959</v>
      </c>
      <c r="D4657" s="418"/>
    </row>
    <row r="4658" spans="1:4" s="48" customFormat="1">
      <c r="A4658" s="55" t="s">
        <v>4920</v>
      </c>
      <c r="B4658" s="77" t="s">
        <v>4921</v>
      </c>
      <c r="C4658" s="18"/>
      <c r="D4658" s="418"/>
    </row>
    <row r="4659" spans="1:4" s="48" customFormat="1">
      <c r="A4659" s="55"/>
      <c r="B4659" s="267" t="s">
        <v>1028</v>
      </c>
      <c r="C4659" s="18" t="s">
        <v>1029</v>
      </c>
      <c r="D4659" s="418"/>
    </row>
    <row r="4660" spans="1:4" s="48" customFormat="1">
      <c r="A4660" s="55" t="s">
        <v>4922</v>
      </c>
      <c r="B4660" s="77" t="s">
        <v>4923</v>
      </c>
      <c r="C4660" s="18"/>
      <c r="D4660" s="418"/>
    </row>
    <row r="4661" spans="1:4" s="48" customFormat="1">
      <c r="A4661" s="55"/>
      <c r="B4661" s="267" t="s">
        <v>1028</v>
      </c>
      <c r="C4661" s="18" t="s">
        <v>1029</v>
      </c>
      <c r="D4661" s="418"/>
    </row>
    <row r="4662" spans="1:4" s="48" customFormat="1">
      <c r="A4662" s="55" t="s">
        <v>4924</v>
      </c>
      <c r="B4662" s="77" t="s">
        <v>4925</v>
      </c>
      <c r="C4662" s="18"/>
      <c r="D4662" s="418"/>
    </row>
    <row r="4663" spans="1:4" s="48" customFormat="1">
      <c r="A4663" s="55"/>
      <c r="B4663" s="267" t="s">
        <v>1028</v>
      </c>
      <c r="C4663" s="18" t="s">
        <v>1029</v>
      </c>
      <c r="D4663" s="418"/>
    </row>
    <row r="4664" spans="1:4" s="2" customFormat="1">
      <c r="A4664" s="55" t="s">
        <v>4926</v>
      </c>
      <c r="B4664" s="77" t="s">
        <v>4927</v>
      </c>
      <c r="C4664" s="18"/>
      <c r="D4664" s="418"/>
    </row>
    <row r="4665" spans="1:4" s="48" customFormat="1">
      <c r="A4665" s="55"/>
      <c r="B4665" s="267" t="s">
        <v>1028</v>
      </c>
      <c r="C4665" s="18" t="s">
        <v>1029</v>
      </c>
      <c r="D4665" s="418"/>
    </row>
    <row r="4666" spans="1:4" s="48" customFormat="1">
      <c r="A4666" s="55" t="s">
        <v>4928</v>
      </c>
      <c r="B4666" s="77" t="s">
        <v>4929</v>
      </c>
      <c r="C4666" s="18"/>
      <c r="D4666" s="418"/>
    </row>
    <row r="4667" spans="1:4" s="48" customFormat="1">
      <c r="A4667" s="55" t="s">
        <v>4930</v>
      </c>
      <c r="B4667" s="267" t="s">
        <v>4931</v>
      </c>
      <c r="C4667" s="18"/>
      <c r="D4667" s="418"/>
    </row>
    <row r="4668" spans="1:4" s="48" customFormat="1">
      <c r="A4668" s="55"/>
      <c r="B4668" s="267" t="s">
        <v>1028</v>
      </c>
      <c r="C4668" s="18" t="s">
        <v>1029</v>
      </c>
      <c r="D4668" s="418"/>
    </row>
    <row r="4669" spans="1:4" s="48" customFormat="1">
      <c r="A4669" s="55" t="s">
        <v>4932</v>
      </c>
      <c r="B4669" s="267" t="s">
        <v>4933</v>
      </c>
      <c r="C4669" s="18"/>
      <c r="D4669" s="418"/>
    </row>
    <row r="4670" spans="1:4" s="48" customFormat="1">
      <c r="A4670" s="55"/>
      <c r="B4670" s="267" t="s">
        <v>1028</v>
      </c>
      <c r="C4670" s="18" t="s">
        <v>1029</v>
      </c>
      <c r="D4670" s="418"/>
    </row>
    <row r="4671" spans="1:4" s="48" customFormat="1" ht="24.75" customHeight="1">
      <c r="A4671" s="55" t="s">
        <v>4934</v>
      </c>
      <c r="B4671" s="267" t="s">
        <v>4935</v>
      </c>
      <c r="C4671" s="18"/>
      <c r="D4671" s="418"/>
    </row>
    <row r="4672" spans="1:4" s="48" customFormat="1">
      <c r="A4672" s="55"/>
      <c r="B4672" s="267" t="s">
        <v>1028</v>
      </c>
      <c r="C4672" s="18" t="s">
        <v>1029</v>
      </c>
      <c r="D4672" s="418"/>
    </row>
    <row r="4673" spans="1:4" s="2" customFormat="1">
      <c r="A4673" s="55" t="s">
        <v>4936</v>
      </c>
      <c r="B4673" s="267" t="s">
        <v>4937</v>
      </c>
      <c r="C4673" s="18"/>
      <c r="D4673" s="418"/>
    </row>
    <row r="4674" spans="1:4" s="48" customFormat="1">
      <c r="A4674" s="55"/>
      <c r="B4674" s="267" t="s">
        <v>1028</v>
      </c>
      <c r="C4674" s="18" t="s">
        <v>1029</v>
      </c>
      <c r="D4674" s="418"/>
    </row>
    <row r="4675" spans="1:4" s="48" customFormat="1">
      <c r="A4675" s="55" t="s">
        <v>4938</v>
      </c>
      <c r="B4675" s="77" t="s">
        <v>4939</v>
      </c>
      <c r="C4675" s="18"/>
      <c r="D4675" s="418"/>
    </row>
    <row r="4676" spans="1:4" s="48" customFormat="1">
      <c r="A4676" s="55" t="s">
        <v>4940</v>
      </c>
      <c r="B4676" s="267" t="s">
        <v>4931</v>
      </c>
      <c r="C4676" s="18"/>
      <c r="D4676" s="418"/>
    </row>
    <row r="4677" spans="1:4" s="48" customFormat="1">
      <c r="A4677" s="55"/>
      <c r="B4677" s="267" t="s">
        <v>1028</v>
      </c>
      <c r="C4677" s="18" t="s">
        <v>1029</v>
      </c>
      <c r="D4677" s="418"/>
    </row>
    <row r="4678" spans="1:4" s="48" customFormat="1">
      <c r="A4678" s="55" t="s">
        <v>4941</v>
      </c>
      <c r="B4678" s="267" t="s">
        <v>4933</v>
      </c>
      <c r="C4678" s="18"/>
      <c r="D4678" s="418"/>
    </row>
    <row r="4679" spans="1:4" s="48" customFormat="1">
      <c r="A4679" s="55"/>
      <c r="B4679" s="267" t="s">
        <v>1028</v>
      </c>
      <c r="C4679" s="18" t="s">
        <v>1029</v>
      </c>
      <c r="D4679" s="418"/>
    </row>
    <row r="4680" spans="1:4" s="48" customFormat="1">
      <c r="A4680" s="55" t="s">
        <v>4942</v>
      </c>
      <c r="B4680" s="267" t="s">
        <v>4935</v>
      </c>
      <c r="C4680" s="18"/>
      <c r="D4680" s="418"/>
    </row>
    <row r="4681" spans="1:4" s="48" customFormat="1">
      <c r="A4681" s="55"/>
      <c r="B4681" s="267" t="s">
        <v>1028</v>
      </c>
      <c r="C4681" s="18" t="s">
        <v>1029</v>
      </c>
      <c r="D4681" s="418"/>
    </row>
    <row r="4682" spans="1:4" s="48" customFormat="1">
      <c r="A4682" s="55" t="s">
        <v>4943</v>
      </c>
      <c r="B4682" s="267" t="s">
        <v>4937</v>
      </c>
      <c r="C4682" s="18"/>
      <c r="D4682" s="418"/>
    </row>
    <row r="4683" spans="1:4" s="48" customFormat="1">
      <c r="A4683" s="55"/>
      <c r="B4683" s="267" t="s">
        <v>1028</v>
      </c>
      <c r="C4683" s="18" t="s">
        <v>1029</v>
      </c>
      <c r="D4683" s="418"/>
    </row>
    <row r="4684" spans="1:4" s="48" customFormat="1">
      <c r="A4684" s="30" t="s">
        <v>860</v>
      </c>
      <c r="B4684" s="115" t="s">
        <v>4944</v>
      </c>
      <c r="C4684" s="115" t="s">
        <v>959</v>
      </c>
      <c r="D4684" s="418"/>
    </row>
    <row r="4685" spans="1:4" s="48" customFormat="1" ht="26.45">
      <c r="A4685" s="190" t="s">
        <v>959</v>
      </c>
      <c r="B4685" s="346" t="s">
        <v>4945</v>
      </c>
      <c r="C4685" s="191" t="s">
        <v>959</v>
      </c>
      <c r="D4685" s="418"/>
    </row>
    <row r="4686" spans="1:4" s="48" customFormat="1">
      <c r="A4686" s="192" t="s">
        <v>959</v>
      </c>
      <c r="B4686" s="346" t="s">
        <v>1542</v>
      </c>
      <c r="C4686" s="193" t="s">
        <v>959</v>
      </c>
      <c r="D4686" s="418"/>
    </row>
    <row r="4687" spans="1:4" s="48" customFormat="1" ht="39.6">
      <c r="A4687" s="192" t="s">
        <v>959</v>
      </c>
      <c r="B4687" s="346" t="s">
        <v>4946</v>
      </c>
      <c r="C4687" s="193" t="s">
        <v>959</v>
      </c>
      <c r="D4687" s="418"/>
    </row>
    <row r="4688" spans="1:4" s="48" customFormat="1">
      <c r="A4688" s="194"/>
      <c r="B4688" s="312" t="s">
        <v>1028</v>
      </c>
      <c r="C4688" s="195" t="s">
        <v>1029</v>
      </c>
      <c r="D4688" s="418"/>
    </row>
    <row r="4689" spans="1:4" s="48" customFormat="1">
      <c r="A4689" s="30" t="s">
        <v>861</v>
      </c>
      <c r="B4689" s="31" t="s">
        <v>4947</v>
      </c>
      <c r="C4689" s="18" t="s">
        <v>959</v>
      </c>
      <c r="D4689" s="418"/>
    </row>
    <row r="4690" spans="1:4" s="2" customFormat="1" ht="26.45">
      <c r="A4690" s="286"/>
      <c r="B4690" s="267" t="s">
        <v>4948</v>
      </c>
      <c r="C4690" s="18" t="s">
        <v>959</v>
      </c>
      <c r="D4690" s="418"/>
    </row>
    <row r="4691" spans="1:4" s="74" customFormat="1">
      <c r="A4691" s="286"/>
      <c r="B4691" s="267" t="s">
        <v>1150</v>
      </c>
      <c r="C4691" s="18" t="s">
        <v>959</v>
      </c>
      <c r="D4691" s="418"/>
    </row>
    <row r="4692" spans="1:4" s="74" customFormat="1">
      <c r="A4692" s="286"/>
      <c r="B4692" s="267" t="s">
        <v>1542</v>
      </c>
      <c r="C4692" s="18" t="s">
        <v>959</v>
      </c>
      <c r="D4692" s="418"/>
    </row>
    <row r="4693" spans="1:4" s="74" customFormat="1">
      <c r="A4693" s="286"/>
      <c r="B4693" s="267" t="s">
        <v>4949</v>
      </c>
      <c r="C4693" s="18" t="s">
        <v>959</v>
      </c>
      <c r="D4693" s="418"/>
    </row>
    <row r="4694" spans="1:4" s="73" customFormat="1">
      <c r="A4694" s="286"/>
      <c r="B4694" s="267" t="s">
        <v>4861</v>
      </c>
      <c r="C4694" s="18" t="s">
        <v>959</v>
      </c>
      <c r="D4694" s="418"/>
    </row>
    <row r="4695" spans="1:4" s="73" customFormat="1">
      <c r="A4695" s="55" t="s">
        <v>4950</v>
      </c>
      <c r="B4695" s="77" t="s">
        <v>4951</v>
      </c>
      <c r="C4695" s="18"/>
      <c r="D4695" s="418"/>
    </row>
    <row r="4696" spans="1:4" s="73" customFormat="1">
      <c r="A4696" s="286"/>
      <c r="B4696" s="267" t="s">
        <v>1028</v>
      </c>
      <c r="C4696" s="18" t="s">
        <v>1029</v>
      </c>
      <c r="D4696" s="418"/>
    </row>
    <row r="4697" spans="1:4" s="75" customFormat="1">
      <c r="A4697" s="55" t="s">
        <v>4952</v>
      </c>
      <c r="B4697" s="77" t="s">
        <v>4953</v>
      </c>
      <c r="C4697" s="18"/>
      <c r="D4697" s="418"/>
    </row>
    <row r="4698" spans="1:4" s="75" customFormat="1">
      <c r="A4698" s="286"/>
      <c r="B4698" s="267" t="s">
        <v>1028</v>
      </c>
      <c r="C4698" s="18" t="s">
        <v>1029</v>
      </c>
      <c r="D4698" s="418"/>
    </row>
    <row r="4699" spans="1:4" s="75" customFormat="1">
      <c r="A4699" s="55" t="s">
        <v>4954</v>
      </c>
      <c r="B4699" s="77" t="s">
        <v>4955</v>
      </c>
      <c r="C4699" s="18"/>
      <c r="D4699" s="418"/>
    </row>
    <row r="4700" spans="1:4" s="75" customFormat="1" ht="12.75" customHeight="1">
      <c r="A4700" s="286"/>
      <c r="B4700" s="267" t="s">
        <v>1028</v>
      </c>
      <c r="C4700" s="18" t="s">
        <v>1029</v>
      </c>
      <c r="D4700" s="418"/>
    </row>
    <row r="4701" spans="1:4" s="74" customFormat="1">
      <c r="A4701" s="55" t="s">
        <v>4956</v>
      </c>
      <c r="B4701" s="77" t="s">
        <v>4957</v>
      </c>
      <c r="C4701" s="18"/>
      <c r="D4701" s="418"/>
    </row>
    <row r="4702" spans="1:4" s="2" customFormat="1">
      <c r="A4702" s="286"/>
      <c r="B4702" s="267" t="s">
        <v>1028</v>
      </c>
      <c r="C4702" s="18" t="s">
        <v>1029</v>
      </c>
      <c r="D4702" s="418"/>
    </row>
    <row r="4703" spans="1:4" s="85" customFormat="1">
      <c r="A4703" s="55" t="s">
        <v>4958</v>
      </c>
      <c r="B4703" s="77" t="s">
        <v>4959</v>
      </c>
      <c r="C4703" s="18"/>
      <c r="D4703" s="418"/>
    </row>
    <row r="4704" spans="1:4" s="85" customFormat="1" ht="12.75" customHeight="1">
      <c r="A4704" s="286"/>
      <c r="B4704" s="267" t="s">
        <v>1028</v>
      </c>
      <c r="C4704" s="18" t="s">
        <v>1029</v>
      </c>
      <c r="D4704" s="418"/>
    </row>
    <row r="4705" spans="1:4" s="85" customFormat="1">
      <c r="A4705" s="55" t="s">
        <v>4960</v>
      </c>
      <c r="B4705" s="77" t="s">
        <v>4961</v>
      </c>
      <c r="C4705" s="18"/>
      <c r="D4705" s="418"/>
    </row>
    <row r="4706" spans="1:4" s="2" customFormat="1">
      <c r="A4706" s="286"/>
      <c r="B4706" s="267" t="s">
        <v>1028</v>
      </c>
      <c r="C4706" s="18" t="s">
        <v>1029</v>
      </c>
      <c r="D4706" s="418"/>
    </row>
    <row r="4707" spans="1:4" s="2" customFormat="1">
      <c r="A4707" s="55" t="s">
        <v>4962</v>
      </c>
      <c r="B4707" s="77" t="s">
        <v>4963</v>
      </c>
      <c r="C4707" s="18"/>
      <c r="D4707" s="418"/>
    </row>
    <row r="4708" spans="1:4" s="2" customFormat="1">
      <c r="A4708" s="286"/>
      <c r="B4708" s="267" t="s">
        <v>1028</v>
      </c>
      <c r="C4708" s="18" t="s">
        <v>1029</v>
      </c>
      <c r="D4708" s="418"/>
    </row>
    <row r="4709" spans="1:4" s="2" customFormat="1">
      <c r="A4709" s="30" t="s">
        <v>862</v>
      </c>
      <c r="B4709" s="31" t="s">
        <v>4964</v>
      </c>
      <c r="C4709" s="18" t="s">
        <v>959</v>
      </c>
      <c r="D4709" s="418"/>
    </row>
    <row r="4710" spans="1:4" s="2" customFormat="1" ht="52.9">
      <c r="A4710" s="286"/>
      <c r="B4710" s="267" t="s">
        <v>4965</v>
      </c>
      <c r="C4710" s="18" t="s">
        <v>959</v>
      </c>
      <c r="D4710" s="418"/>
    </row>
    <row r="4711" spans="1:4" s="2" customFormat="1">
      <c r="A4711" s="55" t="s">
        <v>4966</v>
      </c>
      <c r="B4711" s="77" t="s">
        <v>4967</v>
      </c>
      <c r="C4711" s="18"/>
      <c r="D4711" s="418"/>
    </row>
    <row r="4712" spans="1:4" s="2" customFormat="1">
      <c r="A4712" s="55"/>
      <c r="B4712" s="267" t="s">
        <v>1076</v>
      </c>
      <c r="C4712" s="18" t="s">
        <v>1077</v>
      </c>
      <c r="D4712" s="418"/>
    </row>
    <row r="4713" spans="1:4" s="2" customFormat="1">
      <c r="A4713" s="55" t="s">
        <v>4968</v>
      </c>
      <c r="B4713" s="77" t="s">
        <v>4969</v>
      </c>
      <c r="C4713" s="18"/>
      <c r="D4713" s="418"/>
    </row>
    <row r="4714" spans="1:4" s="2" customFormat="1">
      <c r="A4714" s="55"/>
      <c r="B4714" s="267" t="s">
        <v>1076</v>
      </c>
      <c r="C4714" s="18" t="s">
        <v>1077</v>
      </c>
      <c r="D4714" s="418"/>
    </row>
    <row r="4715" spans="1:4" s="2" customFormat="1">
      <c r="A4715" s="55" t="s">
        <v>4970</v>
      </c>
      <c r="B4715" s="77" t="s">
        <v>4971</v>
      </c>
      <c r="C4715" s="18"/>
      <c r="D4715" s="418"/>
    </row>
    <row r="4716" spans="1:4" s="2" customFormat="1">
      <c r="A4716" s="55"/>
      <c r="B4716" s="267" t="s">
        <v>1076</v>
      </c>
      <c r="C4716" s="18" t="s">
        <v>1077</v>
      </c>
      <c r="D4716" s="418"/>
    </row>
    <row r="4717" spans="1:4" s="2" customFormat="1">
      <c r="A4717" s="55" t="s">
        <v>4972</v>
      </c>
      <c r="B4717" s="77" t="s">
        <v>4973</v>
      </c>
      <c r="C4717" s="18"/>
      <c r="D4717" s="418"/>
    </row>
    <row r="4718" spans="1:4" s="2" customFormat="1">
      <c r="A4718" s="55"/>
      <c r="B4718" s="267" t="s">
        <v>1028</v>
      </c>
      <c r="C4718" s="18" t="s">
        <v>1029</v>
      </c>
      <c r="D4718" s="418"/>
    </row>
    <row r="4719" spans="1:4" s="2" customFormat="1">
      <c r="A4719" s="55" t="s">
        <v>4974</v>
      </c>
      <c r="B4719" s="77" t="s">
        <v>4975</v>
      </c>
      <c r="C4719" s="18"/>
      <c r="D4719" s="418"/>
    </row>
    <row r="4720" spans="1:4" s="2" customFormat="1">
      <c r="A4720" s="55"/>
      <c r="B4720" s="267" t="s">
        <v>1028</v>
      </c>
      <c r="C4720" s="18" t="s">
        <v>1029</v>
      </c>
      <c r="D4720" s="418"/>
    </row>
    <row r="4721" spans="1:4" s="2" customFormat="1">
      <c r="A4721" s="55" t="s">
        <v>4976</v>
      </c>
      <c r="B4721" s="77" t="s">
        <v>4977</v>
      </c>
      <c r="C4721" s="18"/>
      <c r="D4721" s="418"/>
    </row>
    <row r="4722" spans="1:4" s="2" customFormat="1">
      <c r="A4722" s="55"/>
      <c r="B4722" s="267" t="s">
        <v>1028</v>
      </c>
      <c r="C4722" s="18" t="s">
        <v>1029</v>
      </c>
      <c r="D4722" s="418"/>
    </row>
    <row r="4723" spans="1:4" s="2" customFormat="1">
      <c r="A4723" s="55" t="s">
        <v>4978</v>
      </c>
      <c r="B4723" s="77" t="s">
        <v>4979</v>
      </c>
      <c r="C4723" s="18"/>
      <c r="D4723" s="418"/>
    </row>
    <row r="4724" spans="1:4" s="2" customFormat="1">
      <c r="A4724" s="55"/>
      <c r="B4724" s="267" t="s">
        <v>1028</v>
      </c>
      <c r="C4724" s="18" t="s">
        <v>1029</v>
      </c>
      <c r="D4724" s="418"/>
    </row>
    <row r="4725" spans="1:4" s="2" customFormat="1" ht="26.45">
      <c r="A4725" s="30" t="s">
        <v>863</v>
      </c>
      <c r="B4725" s="31" t="s">
        <v>4980</v>
      </c>
      <c r="C4725" s="30" t="s">
        <v>959</v>
      </c>
      <c r="D4725" s="418"/>
    </row>
    <row r="4726" spans="1:4" s="2" customFormat="1" ht="26.45">
      <c r="A4726" s="111" t="s">
        <v>959</v>
      </c>
      <c r="B4726" s="267" t="s">
        <v>4981</v>
      </c>
      <c r="C4726" s="18" t="s">
        <v>959</v>
      </c>
      <c r="D4726" s="418"/>
    </row>
    <row r="4727" spans="1:4" s="2" customFormat="1">
      <c r="A4727" s="111" t="s">
        <v>959</v>
      </c>
      <c r="B4727" s="267" t="s">
        <v>1150</v>
      </c>
      <c r="C4727" s="18" t="s">
        <v>959</v>
      </c>
      <c r="D4727" s="418"/>
    </row>
    <row r="4728" spans="1:4" s="2" customFormat="1">
      <c r="A4728" s="111" t="s">
        <v>959</v>
      </c>
      <c r="B4728" s="267" t="s">
        <v>1542</v>
      </c>
      <c r="C4728" s="18" t="s">
        <v>959</v>
      </c>
      <c r="D4728" s="418"/>
    </row>
    <row r="4729" spans="1:4" s="2" customFormat="1">
      <c r="A4729" s="111" t="s">
        <v>959</v>
      </c>
      <c r="B4729" s="267" t="s">
        <v>4982</v>
      </c>
      <c r="C4729" s="18" t="s">
        <v>959</v>
      </c>
      <c r="D4729" s="418"/>
    </row>
    <row r="4730" spans="1:4" s="2" customFormat="1">
      <c r="A4730" s="111" t="s">
        <v>959</v>
      </c>
      <c r="B4730" s="267" t="s">
        <v>4861</v>
      </c>
      <c r="C4730" s="18" t="s">
        <v>959</v>
      </c>
      <c r="D4730" s="418"/>
    </row>
    <row r="4731" spans="1:4" s="2" customFormat="1">
      <c r="A4731" s="111" t="s">
        <v>959</v>
      </c>
      <c r="B4731" s="267" t="s">
        <v>4983</v>
      </c>
      <c r="C4731" s="18" t="s">
        <v>959</v>
      </c>
      <c r="D4731" s="418"/>
    </row>
    <row r="4732" spans="1:4" s="2" customFormat="1">
      <c r="A4732" s="55" t="s">
        <v>4984</v>
      </c>
      <c r="B4732" s="77" t="s">
        <v>4985</v>
      </c>
      <c r="C4732" s="18"/>
      <c r="D4732" s="418"/>
    </row>
    <row r="4733" spans="1:4" s="2" customFormat="1">
      <c r="A4733" s="55"/>
      <c r="B4733" s="267" t="s">
        <v>3736</v>
      </c>
      <c r="C4733" s="18" t="s">
        <v>1077</v>
      </c>
      <c r="D4733" s="418"/>
    </row>
    <row r="4734" spans="1:4" s="2" customFormat="1">
      <c r="A4734" s="55" t="s">
        <v>4986</v>
      </c>
      <c r="B4734" s="77" t="s">
        <v>4987</v>
      </c>
      <c r="C4734" s="18"/>
      <c r="D4734" s="418"/>
    </row>
    <row r="4735" spans="1:4" s="2" customFormat="1">
      <c r="A4735" s="55"/>
      <c r="B4735" s="267" t="s">
        <v>1028</v>
      </c>
      <c r="C4735" s="18" t="s">
        <v>1029</v>
      </c>
      <c r="D4735" s="418"/>
    </row>
    <row r="4736" spans="1:4" s="2" customFormat="1">
      <c r="A4736" s="55" t="s">
        <v>4988</v>
      </c>
      <c r="B4736" s="77" t="s">
        <v>4989</v>
      </c>
      <c r="C4736" s="18"/>
      <c r="D4736" s="418"/>
    </row>
    <row r="4737" spans="1:4" s="2" customFormat="1">
      <c r="A4737" s="55"/>
      <c r="B4737" s="267" t="s">
        <v>1028</v>
      </c>
      <c r="C4737" s="18" t="s">
        <v>1029</v>
      </c>
      <c r="D4737" s="418"/>
    </row>
    <row r="4738" spans="1:4" s="2" customFormat="1">
      <c r="A4738" s="55" t="s">
        <v>4990</v>
      </c>
      <c r="B4738" s="276" t="s">
        <v>4991</v>
      </c>
      <c r="C4738" s="18"/>
      <c r="D4738" s="418"/>
    </row>
    <row r="4739" spans="1:4" s="2" customFormat="1" ht="150.75" customHeight="1">
      <c r="A4739" s="55"/>
      <c r="B4739" s="378" t="s">
        <v>4992</v>
      </c>
      <c r="C4739" s="18"/>
      <c r="D4739" s="418"/>
    </row>
    <row r="4740" spans="1:4" s="2" customFormat="1">
      <c r="A4740" s="55"/>
      <c r="B4740" s="267" t="s">
        <v>1028</v>
      </c>
      <c r="C4740" s="18" t="s">
        <v>1077</v>
      </c>
      <c r="D4740" s="418"/>
    </row>
    <row r="4741" spans="1:4" s="2" customFormat="1">
      <c r="A4741" s="55" t="s">
        <v>4993</v>
      </c>
      <c r="B4741" s="123" t="s">
        <v>4994</v>
      </c>
      <c r="C4741" s="18"/>
      <c r="D4741" s="418"/>
    </row>
    <row r="4742" spans="1:4" s="2" customFormat="1">
      <c r="A4742" s="55"/>
      <c r="B4742" s="283" t="s">
        <v>1076</v>
      </c>
      <c r="C4742" s="18" t="s">
        <v>1077</v>
      </c>
      <c r="D4742" s="418"/>
    </row>
    <row r="4743" spans="1:4" s="2" customFormat="1" ht="12.75" customHeight="1">
      <c r="A4743" s="55" t="s">
        <v>4995</v>
      </c>
      <c r="B4743" s="123" t="s">
        <v>4996</v>
      </c>
      <c r="C4743" s="18"/>
      <c r="D4743" s="418"/>
    </row>
    <row r="4744" spans="1:4" s="2" customFormat="1">
      <c r="A4744" s="55"/>
      <c r="B4744" s="283" t="s">
        <v>1076</v>
      </c>
      <c r="C4744" s="18" t="s">
        <v>1077</v>
      </c>
      <c r="D4744" s="418"/>
    </row>
    <row r="4745" spans="1:4" s="2" customFormat="1">
      <c r="A4745" s="55" t="s">
        <v>4997</v>
      </c>
      <c r="B4745" s="123" t="s">
        <v>4998</v>
      </c>
      <c r="C4745" s="18"/>
      <c r="D4745" s="418"/>
    </row>
    <row r="4746" spans="1:4" s="2" customFormat="1">
      <c r="A4746" s="55"/>
      <c r="B4746" s="283" t="s">
        <v>1076</v>
      </c>
      <c r="C4746" s="18" t="s">
        <v>1077</v>
      </c>
      <c r="D4746" s="418"/>
    </row>
    <row r="4747" spans="1:4" s="2" customFormat="1" ht="26.45">
      <c r="A4747" s="55" t="s">
        <v>4999</v>
      </c>
      <c r="B4747" s="123" t="s">
        <v>5000</v>
      </c>
      <c r="C4747" s="18"/>
      <c r="D4747" s="418"/>
    </row>
    <row r="4748" spans="1:4" s="2" customFormat="1">
      <c r="A4748" s="55"/>
      <c r="B4748" s="267" t="s">
        <v>1028</v>
      </c>
      <c r="C4748" s="18" t="s">
        <v>1029</v>
      </c>
      <c r="D4748" s="418"/>
    </row>
    <row r="4749" spans="1:4" s="2" customFormat="1">
      <c r="A4749" s="55" t="s">
        <v>5001</v>
      </c>
      <c r="B4749" s="123" t="s">
        <v>5002</v>
      </c>
      <c r="C4749" s="18"/>
      <c r="D4749" s="418"/>
    </row>
    <row r="4750" spans="1:4" s="2" customFormat="1">
      <c r="A4750" s="55"/>
      <c r="B4750" s="267" t="s">
        <v>1028</v>
      </c>
      <c r="C4750" s="18" t="s">
        <v>1029</v>
      </c>
      <c r="D4750" s="418"/>
    </row>
    <row r="4751" spans="1:4" s="2" customFormat="1">
      <c r="A4751" s="30" t="s">
        <v>864</v>
      </c>
      <c r="B4751" s="31" t="s">
        <v>5003</v>
      </c>
      <c r="C4751" s="30" t="s">
        <v>959</v>
      </c>
      <c r="D4751" s="418"/>
    </row>
    <row r="4752" spans="1:4" s="2" customFormat="1">
      <c r="A4752" s="55" t="s">
        <v>5004</v>
      </c>
      <c r="B4752" s="123" t="s">
        <v>5005</v>
      </c>
      <c r="C4752" s="18"/>
      <c r="D4752" s="418"/>
    </row>
    <row r="4753" spans="1:4" s="2" customFormat="1" ht="26.45">
      <c r="A4753" s="55"/>
      <c r="B4753" s="283" t="s">
        <v>5006</v>
      </c>
      <c r="C4753" s="18"/>
      <c r="D4753" s="418"/>
    </row>
    <row r="4754" spans="1:4" s="2" customFormat="1">
      <c r="A4754" s="55"/>
      <c r="B4754" s="283" t="s">
        <v>4832</v>
      </c>
      <c r="C4754" s="18"/>
      <c r="D4754" s="418"/>
    </row>
    <row r="4755" spans="1:4" s="2" customFormat="1">
      <c r="A4755" s="55"/>
      <c r="B4755" s="196" t="s">
        <v>5007</v>
      </c>
      <c r="C4755" s="18"/>
      <c r="D4755" s="418"/>
    </row>
    <row r="4756" spans="1:4" s="2" customFormat="1">
      <c r="A4756" s="55"/>
      <c r="B4756" s="196" t="s">
        <v>5008</v>
      </c>
      <c r="C4756" s="18"/>
      <c r="D4756" s="418"/>
    </row>
    <row r="4757" spans="1:4" s="2" customFormat="1">
      <c r="A4757" s="55"/>
      <c r="B4757" s="196" t="s">
        <v>5009</v>
      </c>
      <c r="C4757" s="18"/>
      <c r="D4757" s="418"/>
    </row>
    <row r="4758" spans="1:4" s="2" customFormat="1">
      <c r="A4758" s="55"/>
      <c r="B4758" s="283" t="s">
        <v>1028</v>
      </c>
      <c r="C4758" s="18" t="s">
        <v>1029</v>
      </c>
      <c r="D4758" s="418"/>
    </row>
    <row r="4759" spans="1:4" s="2" customFormat="1">
      <c r="A4759" s="55" t="s">
        <v>5010</v>
      </c>
      <c r="B4759" s="123" t="s">
        <v>5011</v>
      </c>
      <c r="C4759" s="18"/>
      <c r="D4759" s="418"/>
    </row>
    <row r="4760" spans="1:4" s="2" customFormat="1" ht="26.45">
      <c r="A4760" s="55"/>
      <c r="B4760" s="196" t="s">
        <v>5012</v>
      </c>
      <c r="C4760" s="18"/>
      <c r="D4760" s="418"/>
    </row>
    <row r="4761" spans="1:4" s="2" customFormat="1">
      <c r="A4761" s="55"/>
      <c r="B4761" s="196" t="s">
        <v>4832</v>
      </c>
      <c r="C4761" s="18"/>
      <c r="D4761" s="418"/>
    </row>
    <row r="4762" spans="1:4" s="2" customFormat="1">
      <c r="A4762" s="55"/>
      <c r="B4762" s="196" t="s">
        <v>5007</v>
      </c>
      <c r="C4762" s="18"/>
      <c r="D4762" s="418"/>
    </row>
    <row r="4763" spans="1:4" s="2" customFormat="1">
      <c r="A4763" s="55"/>
      <c r="B4763" s="196" t="s">
        <v>5008</v>
      </c>
      <c r="C4763" s="18"/>
      <c r="D4763" s="418"/>
    </row>
    <row r="4764" spans="1:4" s="2" customFormat="1">
      <c r="A4764" s="55"/>
      <c r="B4764" s="196" t="s">
        <v>5013</v>
      </c>
      <c r="C4764" s="18"/>
      <c r="D4764" s="418"/>
    </row>
    <row r="4765" spans="1:4" s="2" customFormat="1">
      <c r="A4765" s="55"/>
      <c r="B4765" s="283" t="s">
        <v>1076</v>
      </c>
      <c r="C4765" s="18" t="s">
        <v>1077</v>
      </c>
      <c r="D4765" s="418"/>
    </row>
    <row r="4766" spans="1:4" s="2" customFormat="1">
      <c r="A4766" s="55" t="s">
        <v>5014</v>
      </c>
      <c r="B4766" s="123" t="s">
        <v>5015</v>
      </c>
      <c r="C4766" s="18"/>
      <c r="D4766" s="418"/>
    </row>
    <row r="4767" spans="1:4" s="2" customFormat="1" ht="26.45">
      <c r="A4767" s="55"/>
      <c r="B4767" s="196" t="s">
        <v>5016</v>
      </c>
      <c r="C4767" s="18"/>
      <c r="D4767" s="418"/>
    </row>
    <row r="4768" spans="1:4" s="2" customFormat="1">
      <c r="A4768" s="55"/>
      <c r="B4768" s="196" t="s">
        <v>5017</v>
      </c>
      <c r="C4768" s="18"/>
      <c r="D4768" s="418"/>
    </row>
    <row r="4769" spans="1:4" s="2" customFormat="1">
      <c r="A4769" s="55"/>
      <c r="B4769" s="267" t="s">
        <v>1028</v>
      </c>
      <c r="C4769" s="18" t="s">
        <v>1029</v>
      </c>
      <c r="D4769" s="418"/>
    </row>
    <row r="4770" spans="1:4" s="2" customFormat="1">
      <c r="A4770" s="55" t="s">
        <v>5018</v>
      </c>
      <c r="B4770" s="123" t="s">
        <v>5019</v>
      </c>
      <c r="C4770" s="18"/>
      <c r="D4770" s="418"/>
    </row>
    <row r="4771" spans="1:4" s="2" customFormat="1" ht="26.45">
      <c r="A4771" s="55"/>
      <c r="B4771" s="196" t="s">
        <v>5020</v>
      </c>
      <c r="C4771" s="18"/>
      <c r="D4771" s="418"/>
    </row>
    <row r="4772" spans="1:4" s="2" customFormat="1">
      <c r="A4772" s="55"/>
      <c r="B4772" s="196" t="s">
        <v>5021</v>
      </c>
      <c r="C4772" s="18"/>
      <c r="D4772" s="418"/>
    </row>
    <row r="4773" spans="1:4" s="2" customFormat="1">
      <c r="A4773" s="148"/>
      <c r="B4773" s="303" t="s">
        <v>2807</v>
      </c>
      <c r="C4773" s="109" t="s">
        <v>2808</v>
      </c>
      <c r="D4773" s="418"/>
    </row>
    <row r="4774" spans="1:4" s="2" customFormat="1" ht="13.9">
      <c r="A4774" s="13" t="s">
        <v>5022</v>
      </c>
      <c r="B4774" s="83" t="s">
        <v>5023</v>
      </c>
      <c r="C4774" s="58" t="s">
        <v>959</v>
      </c>
      <c r="D4774" s="453" t="s">
        <v>959</v>
      </c>
    </row>
    <row r="4775" spans="1:4" s="2" customFormat="1">
      <c r="A4775" s="22" t="s">
        <v>5024</v>
      </c>
      <c r="B4775" s="59" t="s">
        <v>5025</v>
      </c>
      <c r="C4775" s="45"/>
      <c r="D4775" s="439"/>
    </row>
    <row r="4776" spans="1:4" s="2" customFormat="1" ht="26.45">
      <c r="A4776" s="197"/>
      <c r="B4776" s="347" t="s">
        <v>5026</v>
      </c>
      <c r="C4776" s="198"/>
      <c r="D4776" s="449"/>
    </row>
    <row r="4777" spans="1:4" s="2" customFormat="1" ht="15.6">
      <c r="A4777" s="197"/>
      <c r="B4777" s="347" t="s">
        <v>1150</v>
      </c>
      <c r="C4777" s="198"/>
      <c r="D4777" s="449"/>
    </row>
    <row r="4778" spans="1:4" s="2" customFormat="1" ht="15.6">
      <c r="A4778" s="197"/>
      <c r="B4778" s="348" t="s">
        <v>1542</v>
      </c>
      <c r="C4778" s="198"/>
      <c r="D4778" s="449"/>
    </row>
    <row r="4779" spans="1:4" s="2" customFormat="1" ht="26.45">
      <c r="A4779" s="197"/>
      <c r="B4779" s="348" t="s">
        <v>5027</v>
      </c>
      <c r="C4779" s="198"/>
      <c r="D4779" s="449"/>
    </row>
    <row r="4780" spans="1:4" s="2" customFormat="1" ht="15.6">
      <c r="A4780" s="197"/>
      <c r="B4780" s="348" t="s">
        <v>5028</v>
      </c>
      <c r="C4780" s="198"/>
      <c r="D4780" s="449"/>
    </row>
    <row r="4781" spans="1:4" s="2" customFormat="1" ht="15.6">
      <c r="A4781" s="197"/>
      <c r="B4781" s="348" t="s">
        <v>5029</v>
      </c>
      <c r="C4781" s="198"/>
      <c r="D4781" s="449"/>
    </row>
    <row r="4782" spans="1:4" s="2" customFormat="1" ht="26.45">
      <c r="A4782" s="197"/>
      <c r="B4782" s="348" t="s">
        <v>5030</v>
      </c>
      <c r="C4782" s="198"/>
      <c r="D4782" s="449"/>
    </row>
    <row r="4783" spans="1:4" s="2" customFormat="1" ht="15.6">
      <c r="A4783" s="197"/>
      <c r="B4783" s="348" t="s">
        <v>4604</v>
      </c>
      <c r="C4783" s="198"/>
      <c r="D4783" s="449"/>
    </row>
    <row r="4784" spans="1:4" s="3" customFormat="1" ht="15.6">
      <c r="A4784" s="197"/>
      <c r="B4784" s="348" t="s">
        <v>4678</v>
      </c>
      <c r="C4784" s="198"/>
      <c r="D4784" s="444"/>
    </row>
    <row r="4785" spans="1:4" s="3" customFormat="1" ht="17.45">
      <c r="A4785" s="199" t="s">
        <v>5031</v>
      </c>
      <c r="B4785" s="200" t="s">
        <v>5032</v>
      </c>
      <c r="C4785" s="199"/>
      <c r="D4785" s="454"/>
    </row>
    <row r="4786" spans="1:4" s="3" customFormat="1" ht="13.9">
      <c r="A4786" s="201" t="s">
        <v>5033</v>
      </c>
      <c r="B4786" s="187" t="s">
        <v>5034</v>
      </c>
      <c r="C4786" s="197"/>
      <c r="D4786" s="444"/>
    </row>
    <row r="4787" spans="1:4" s="3" customFormat="1" ht="14.45">
      <c r="A4787" s="202"/>
      <c r="B4787" s="338" t="s">
        <v>5035</v>
      </c>
      <c r="C4787" s="203" t="s">
        <v>1029</v>
      </c>
      <c r="D4787" s="444"/>
    </row>
    <row r="4788" spans="1:4" s="3" customFormat="1" ht="13.9">
      <c r="A4788" s="201" t="s">
        <v>5036</v>
      </c>
      <c r="B4788" s="187" t="s">
        <v>5037</v>
      </c>
      <c r="C4788" s="197"/>
      <c r="D4788" s="444"/>
    </row>
    <row r="4789" spans="1:4" s="3" customFormat="1" ht="14.45">
      <c r="A4789" s="202"/>
      <c r="B4789" s="338" t="s">
        <v>1076</v>
      </c>
      <c r="C4789" s="203" t="s">
        <v>1077</v>
      </c>
      <c r="D4789" s="444"/>
    </row>
    <row r="4790" spans="1:4" s="3" customFormat="1" ht="13.9">
      <c r="A4790" s="201" t="s">
        <v>5038</v>
      </c>
      <c r="B4790" s="187" t="s">
        <v>5039</v>
      </c>
      <c r="C4790" s="197"/>
      <c r="D4790" s="444"/>
    </row>
    <row r="4791" spans="1:4" s="3" customFormat="1" ht="14.45">
      <c r="A4791" s="182"/>
      <c r="B4791" s="320" t="s">
        <v>5035</v>
      </c>
      <c r="C4791" s="145" t="s">
        <v>1029</v>
      </c>
      <c r="D4791" s="444"/>
    </row>
    <row r="4792" spans="1:4" s="3" customFormat="1" ht="17.45">
      <c r="A4792" s="204" t="s">
        <v>5040</v>
      </c>
      <c r="B4792" s="205" t="s">
        <v>5041</v>
      </c>
      <c r="C4792" s="474"/>
      <c r="D4792" s="444"/>
    </row>
    <row r="4793" spans="1:4" s="3" customFormat="1" ht="13.9">
      <c r="A4793" s="201" t="s">
        <v>5042</v>
      </c>
      <c r="B4793" s="187" t="s">
        <v>5034</v>
      </c>
      <c r="C4793" s="197"/>
      <c r="D4793" s="444"/>
    </row>
    <row r="4794" spans="1:4" s="2" customFormat="1" ht="14.45">
      <c r="A4794" s="202"/>
      <c r="B4794" s="338" t="s">
        <v>5035</v>
      </c>
      <c r="C4794" s="145" t="s">
        <v>1029</v>
      </c>
      <c r="D4794" s="444"/>
    </row>
    <row r="4795" spans="1:4" s="2" customFormat="1" ht="13.9">
      <c r="A4795" s="201" t="s">
        <v>5043</v>
      </c>
      <c r="B4795" s="187" t="s">
        <v>5037</v>
      </c>
      <c r="C4795" s="197"/>
      <c r="D4795" s="444"/>
    </row>
    <row r="4796" spans="1:4" s="2" customFormat="1" ht="14.45">
      <c r="A4796" s="202"/>
      <c r="B4796" s="338" t="s">
        <v>1076</v>
      </c>
      <c r="C4796" s="203" t="s">
        <v>1077</v>
      </c>
      <c r="D4796" s="444"/>
    </row>
    <row r="4797" spans="1:4" s="2" customFormat="1" ht="13.9">
      <c r="A4797" s="201" t="s">
        <v>5044</v>
      </c>
      <c r="B4797" s="187" t="s">
        <v>5039</v>
      </c>
      <c r="C4797" s="197"/>
      <c r="D4797" s="444"/>
    </row>
    <row r="4798" spans="1:4" s="2" customFormat="1" ht="14.45">
      <c r="A4798" s="206"/>
      <c r="B4798" s="320" t="s">
        <v>5035</v>
      </c>
      <c r="C4798" s="203" t="s">
        <v>1029</v>
      </c>
      <c r="D4798" s="444"/>
    </row>
    <row r="4799" spans="1:4" s="2" customFormat="1" ht="17.45">
      <c r="A4799" s="204" t="s">
        <v>5045</v>
      </c>
      <c r="B4799" s="205" t="s">
        <v>5046</v>
      </c>
      <c r="C4799" s="475"/>
      <c r="D4799" s="444"/>
    </row>
    <row r="4800" spans="1:4" s="3" customFormat="1" ht="13.9">
      <c r="A4800" s="201" t="s">
        <v>5047</v>
      </c>
      <c r="B4800" s="187" t="s">
        <v>5034</v>
      </c>
      <c r="C4800" s="197"/>
      <c r="D4800" s="444"/>
    </row>
    <row r="4801" spans="1:4" s="3" customFormat="1" ht="14.45">
      <c r="A4801" s="202"/>
      <c r="B4801" s="338" t="s">
        <v>5035</v>
      </c>
      <c r="C4801" s="203" t="s">
        <v>1029</v>
      </c>
      <c r="D4801" s="444"/>
    </row>
    <row r="4802" spans="1:4" s="3" customFormat="1" ht="13.9">
      <c r="A4802" s="201" t="s">
        <v>5048</v>
      </c>
      <c r="B4802" s="187" t="s">
        <v>5037</v>
      </c>
      <c r="C4802" s="197"/>
      <c r="D4802" s="444"/>
    </row>
    <row r="4803" spans="1:4" s="3" customFormat="1" ht="14.45">
      <c r="A4803" s="202"/>
      <c r="B4803" s="338" t="s">
        <v>1076</v>
      </c>
      <c r="C4803" s="203" t="s">
        <v>1077</v>
      </c>
      <c r="D4803" s="444"/>
    </row>
    <row r="4804" spans="1:4" s="3" customFormat="1" ht="13.9">
      <c r="A4804" s="201" t="s">
        <v>5049</v>
      </c>
      <c r="B4804" s="187" t="s">
        <v>5039</v>
      </c>
      <c r="C4804" s="197"/>
      <c r="D4804" s="444"/>
    </row>
    <row r="4805" spans="1:4" s="3" customFormat="1" ht="14.45">
      <c r="A4805" s="206"/>
      <c r="B4805" s="338" t="s">
        <v>5035</v>
      </c>
      <c r="C4805" s="203" t="s">
        <v>1029</v>
      </c>
      <c r="D4805" s="444"/>
    </row>
    <row r="4806" spans="1:4" s="3" customFormat="1" ht="17.45">
      <c r="A4806" s="204" t="s">
        <v>5050</v>
      </c>
      <c r="B4806" s="205" t="s">
        <v>5051</v>
      </c>
      <c r="C4806" s="475"/>
      <c r="D4806" s="444"/>
    </row>
    <row r="4807" spans="1:4" s="3" customFormat="1" ht="13.9">
      <c r="A4807" s="201" t="s">
        <v>5052</v>
      </c>
      <c r="B4807" s="187" t="s">
        <v>5034</v>
      </c>
      <c r="C4807" s="197"/>
      <c r="D4807" s="444"/>
    </row>
    <row r="4808" spans="1:4" s="3" customFormat="1" ht="14.45">
      <c r="A4808" s="202"/>
      <c r="B4808" s="338" t="s">
        <v>5035</v>
      </c>
      <c r="C4808" s="203" t="s">
        <v>1029</v>
      </c>
      <c r="D4808" s="444"/>
    </row>
    <row r="4809" spans="1:4" s="3" customFormat="1" ht="13.9">
      <c r="A4809" s="201" t="s">
        <v>5053</v>
      </c>
      <c r="B4809" s="187" t="s">
        <v>5037</v>
      </c>
      <c r="C4809" s="197"/>
      <c r="D4809" s="444"/>
    </row>
    <row r="4810" spans="1:4" s="3" customFormat="1" ht="14.45">
      <c r="A4810" s="202"/>
      <c r="B4810" s="338" t="s">
        <v>1076</v>
      </c>
      <c r="C4810" s="203" t="s">
        <v>1077</v>
      </c>
      <c r="D4810" s="444"/>
    </row>
    <row r="4811" spans="1:4" s="3" customFormat="1" ht="13.9">
      <c r="A4811" s="201" t="s">
        <v>5054</v>
      </c>
      <c r="B4811" s="187" t="s">
        <v>5039</v>
      </c>
      <c r="C4811" s="197"/>
      <c r="D4811" s="444"/>
    </row>
    <row r="4812" spans="1:4" s="3" customFormat="1" ht="14.45">
      <c r="A4812" s="206"/>
      <c r="B4812" s="338" t="s">
        <v>5035</v>
      </c>
      <c r="C4812" s="203" t="s">
        <v>1029</v>
      </c>
      <c r="D4812" s="444"/>
    </row>
    <row r="4813" spans="1:4" s="3" customFormat="1" ht="17.45">
      <c r="A4813" s="204" t="s">
        <v>5055</v>
      </c>
      <c r="B4813" s="205" t="s">
        <v>5056</v>
      </c>
      <c r="C4813" s="475"/>
      <c r="D4813" s="444"/>
    </row>
    <row r="4814" spans="1:4" s="2" customFormat="1" ht="13.9">
      <c r="A4814" s="201" t="s">
        <v>5057</v>
      </c>
      <c r="B4814" s="187" t="s">
        <v>5034</v>
      </c>
      <c r="C4814" s="197"/>
      <c r="D4814" s="444"/>
    </row>
    <row r="4815" spans="1:4" s="2" customFormat="1" ht="14.45">
      <c r="A4815" s="202"/>
      <c r="B4815" s="338" t="s">
        <v>5035</v>
      </c>
      <c r="C4815" s="203" t="s">
        <v>1029</v>
      </c>
      <c r="D4815" s="444"/>
    </row>
    <row r="4816" spans="1:4" s="2" customFormat="1" ht="13.9">
      <c r="A4816" s="201" t="s">
        <v>5058</v>
      </c>
      <c r="B4816" s="187" t="s">
        <v>5037</v>
      </c>
      <c r="C4816" s="197"/>
      <c r="D4816" s="444"/>
    </row>
    <row r="4817" spans="1:4" s="2" customFormat="1" ht="14.45">
      <c r="A4817" s="202"/>
      <c r="B4817" s="338" t="s">
        <v>1076</v>
      </c>
      <c r="C4817" s="203" t="s">
        <v>1077</v>
      </c>
      <c r="D4817" s="444"/>
    </row>
    <row r="4818" spans="1:4" s="2" customFormat="1" ht="13.9">
      <c r="A4818" s="201" t="s">
        <v>5059</v>
      </c>
      <c r="B4818" s="187" t="s">
        <v>5039</v>
      </c>
      <c r="C4818" s="197"/>
      <c r="D4818" s="444"/>
    </row>
    <row r="4819" spans="1:4" s="2" customFormat="1" ht="14.45">
      <c r="A4819" s="202"/>
      <c r="B4819" s="338" t="s">
        <v>5035</v>
      </c>
      <c r="C4819" s="203" t="s">
        <v>1029</v>
      </c>
      <c r="D4819" s="444"/>
    </row>
    <row r="4820" spans="1:4" s="3" customFormat="1" ht="17.45">
      <c r="A4820" s="204" t="s">
        <v>5060</v>
      </c>
      <c r="B4820" s="205" t="s">
        <v>5061</v>
      </c>
      <c r="C4820" s="475"/>
      <c r="D4820" s="444"/>
    </row>
    <row r="4821" spans="1:4" s="3" customFormat="1" ht="13.9">
      <c r="A4821" s="201" t="s">
        <v>5062</v>
      </c>
      <c r="B4821" s="187" t="s">
        <v>5034</v>
      </c>
      <c r="C4821" s="197"/>
      <c r="D4821" s="444"/>
    </row>
    <row r="4822" spans="1:4" s="3" customFormat="1" ht="14.45">
      <c r="A4822" s="202"/>
      <c r="B4822" s="338" t="s">
        <v>5035</v>
      </c>
      <c r="C4822" s="203" t="s">
        <v>1029</v>
      </c>
      <c r="D4822" s="444"/>
    </row>
    <row r="4823" spans="1:4" s="3" customFormat="1" ht="13.9">
      <c r="A4823" s="201" t="s">
        <v>5063</v>
      </c>
      <c r="B4823" s="187" t="s">
        <v>5037</v>
      </c>
      <c r="C4823" s="197"/>
      <c r="D4823" s="444"/>
    </row>
    <row r="4824" spans="1:4" s="3" customFormat="1" ht="14.45">
      <c r="A4824" s="202"/>
      <c r="B4824" s="338" t="s">
        <v>1076</v>
      </c>
      <c r="C4824" s="203" t="s">
        <v>1077</v>
      </c>
      <c r="D4824" s="444"/>
    </row>
    <row r="4825" spans="1:4" s="3" customFormat="1" ht="13.9">
      <c r="A4825" s="201" t="s">
        <v>5064</v>
      </c>
      <c r="B4825" s="187" t="s">
        <v>5039</v>
      </c>
      <c r="C4825" s="197"/>
      <c r="D4825" s="444"/>
    </row>
    <row r="4826" spans="1:4" s="3" customFormat="1" ht="14.45">
      <c r="A4826" s="207"/>
      <c r="B4826" s="342" t="s">
        <v>5035</v>
      </c>
      <c r="C4826" s="208" t="s">
        <v>1029</v>
      </c>
      <c r="D4826" s="444"/>
    </row>
    <row r="4827" spans="1:4" s="3" customFormat="1">
      <c r="A4827" s="22" t="s">
        <v>5065</v>
      </c>
      <c r="B4827" s="59" t="s">
        <v>5066</v>
      </c>
      <c r="C4827" s="45"/>
      <c r="D4827" s="439"/>
    </row>
    <row r="4828" spans="1:4" s="3" customFormat="1" ht="26.45">
      <c r="A4828" s="197"/>
      <c r="B4828" s="335" t="s">
        <v>5067</v>
      </c>
      <c r="C4828" s="198"/>
      <c r="D4828" s="449"/>
    </row>
    <row r="4829" spans="1:4" s="3" customFormat="1" ht="15.6">
      <c r="A4829" s="197"/>
      <c r="B4829" s="335" t="s">
        <v>1150</v>
      </c>
      <c r="C4829" s="198"/>
      <c r="D4829" s="449"/>
    </row>
    <row r="4830" spans="1:4" s="3" customFormat="1" ht="15.6">
      <c r="A4830" s="197"/>
      <c r="B4830" s="349" t="s">
        <v>1542</v>
      </c>
      <c r="C4830" s="198"/>
      <c r="D4830" s="449"/>
    </row>
    <row r="4831" spans="1:4" s="3" customFormat="1" ht="26.45">
      <c r="A4831" s="197"/>
      <c r="B4831" s="349" t="s">
        <v>5027</v>
      </c>
      <c r="C4831" s="198"/>
      <c r="D4831" s="449"/>
    </row>
    <row r="4832" spans="1:4" s="3" customFormat="1" ht="15.6">
      <c r="A4832" s="197"/>
      <c r="B4832" s="349" t="s">
        <v>5028</v>
      </c>
      <c r="C4832" s="198"/>
      <c r="D4832" s="449"/>
    </row>
    <row r="4833" spans="1:4" s="3" customFormat="1" ht="15.6">
      <c r="A4833" s="197"/>
      <c r="B4833" s="349" t="s">
        <v>5029</v>
      </c>
      <c r="C4833" s="198"/>
      <c r="D4833" s="449"/>
    </row>
    <row r="4834" spans="1:4" s="3" customFormat="1" ht="26.45">
      <c r="A4834" s="197"/>
      <c r="B4834" s="349" t="s">
        <v>5030</v>
      </c>
      <c r="C4834" s="198"/>
      <c r="D4834" s="449"/>
    </row>
    <row r="4835" spans="1:4" s="3" customFormat="1" ht="15.6">
      <c r="A4835" s="197"/>
      <c r="B4835" s="349" t="s">
        <v>4604</v>
      </c>
      <c r="C4835" s="198"/>
      <c r="D4835" s="449"/>
    </row>
    <row r="4836" spans="1:4" s="3" customFormat="1" ht="15.6">
      <c r="A4836" s="197"/>
      <c r="B4836" s="349" t="s">
        <v>4678</v>
      </c>
      <c r="C4836" s="198"/>
      <c r="D4836" s="449"/>
    </row>
    <row r="4837" spans="1:4" s="2" customFormat="1" ht="15.6">
      <c r="A4837" s="204" t="s">
        <v>5068</v>
      </c>
      <c r="B4837" s="205" t="s">
        <v>5069</v>
      </c>
      <c r="C4837" s="475"/>
      <c r="D4837" s="449"/>
    </row>
    <row r="4838" spans="1:4" s="2" customFormat="1" ht="13.9">
      <c r="A4838" s="201" t="s">
        <v>5070</v>
      </c>
      <c r="B4838" s="187" t="s">
        <v>5034</v>
      </c>
      <c r="C4838" s="197"/>
      <c r="D4838" s="449"/>
    </row>
    <row r="4839" spans="1:4" s="2" customFormat="1" ht="14.45">
      <c r="A4839" s="202"/>
      <c r="B4839" s="338" t="s">
        <v>5035</v>
      </c>
      <c r="C4839" s="203" t="s">
        <v>1029</v>
      </c>
      <c r="D4839" s="449"/>
    </row>
    <row r="4840" spans="1:4" s="2" customFormat="1" ht="13.9">
      <c r="A4840" s="201" t="s">
        <v>5071</v>
      </c>
      <c r="B4840" s="187" t="s">
        <v>5037</v>
      </c>
      <c r="C4840" s="197"/>
      <c r="D4840" s="449"/>
    </row>
    <row r="4841" spans="1:4" s="2" customFormat="1" ht="14.45">
      <c r="A4841" s="202"/>
      <c r="B4841" s="338" t="s">
        <v>1076</v>
      </c>
      <c r="C4841" s="203" t="s">
        <v>1077</v>
      </c>
      <c r="D4841" s="449"/>
    </row>
    <row r="4842" spans="1:4" s="3" customFormat="1" ht="13.9">
      <c r="A4842" s="201" t="s">
        <v>5072</v>
      </c>
      <c r="B4842" s="187" t="s">
        <v>5039</v>
      </c>
      <c r="C4842" s="197"/>
      <c r="D4842" s="449"/>
    </row>
    <row r="4843" spans="1:4" s="3" customFormat="1" ht="14.45">
      <c r="A4843" s="206"/>
      <c r="B4843" s="338" t="s">
        <v>5035</v>
      </c>
      <c r="C4843" s="203" t="s">
        <v>1029</v>
      </c>
      <c r="D4843" s="449"/>
    </row>
    <row r="4844" spans="1:4" s="3" customFormat="1" ht="15.6">
      <c r="A4844" s="204" t="s">
        <v>5073</v>
      </c>
      <c r="B4844" s="205" t="s">
        <v>5074</v>
      </c>
      <c r="C4844" s="475"/>
      <c r="D4844" s="449"/>
    </row>
    <row r="4845" spans="1:4" s="3" customFormat="1" ht="13.9">
      <c r="A4845" s="201" t="s">
        <v>5075</v>
      </c>
      <c r="B4845" s="187" t="s">
        <v>5034</v>
      </c>
      <c r="C4845" s="197"/>
      <c r="D4845" s="449"/>
    </row>
    <row r="4846" spans="1:4" s="2" customFormat="1" ht="14.45">
      <c r="A4846" s="202"/>
      <c r="B4846" s="338" t="s">
        <v>5035</v>
      </c>
      <c r="C4846" s="203" t="s">
        <v>1029</v>
      </c>
      <c r="D4846" s="449"/>
    </row>
    <row r="4847" spans="1:4" s="2" customFormat="1" ht="13.9">
      <c r="A4847" s="201" t="s">
        <v>5076</v>
      </c>
      <c r="B4847" s="187" t="s">
        <v>5037</v>
      </c>
      <c r="C4847" s="197"/>
      <c r="D4847" s="449"/>
    </row>
    <row r="4848" spans="1:4" s="2" customFormat="1" ht="14.45">
      <c r="A4848" s="202"/>
      <c r="B4848" s="338" t="s">
        <v>1076</v>
      </c>
      <c r="C4848" s="203" t="s">
        <v>1077</v>
      </c>
      <c r="D4848" s="449"/>
    </row>
    <row r="4849" spans="1:4" s="2" customFormat="1" ht="13.9">
      <c r="A4849" s="201" t="s">
        <v>5077</v>
      </c>
      <c r="B4849" s="187" t="s">
        <v>5039</v>
      </c>
      <c r="C4849" s="197"/>
      <c r="D4849" s="449"/>
    </row>
    <row r="4850" spans="1:4" s="2" customFormat="1" ht="14.45">
      <c r="A4850" s="206"/>
      <c r="B4850" s="338" t="s">
        <v>5035</v>
      </c>
      <c r="C4850" s="203" t="s">
        <v>1029</v>
      </c>
      <c r="D4850" s="449"/>
    </row>
    <row r="4851" spans="1:4" s="2" customFormat="1" ht="15.6">
      <c r="A4851" s="204" t="s">
        <v>5078</v>
      </c>
      <c r="B4851" s="205" t="s">
        <v>5079</v>
      </c>
      <c r="C4851" s="475"/>
      <c r="D4851" s="449"/>
    </row>
    <row r="4852" spans="1:4" s="2" customFormat="1" ht="13.9">
      <c r="A4852" s="201" t="s">
        <v>5080</v>
      </c>
      <c r="B4852" s="187" t="s">
        <v>5034</v>
      </c>
      <c r="C4852" s="197"/>
      <c r="D4852" s="449"/>
    </row>
    <row r="4853" spans="1:4" s="2" customFormat="1" ht="14.45">
      <c r="A4853" s="202"/>
      <c r="B4853" s="338" t="s">
        <v>5035</v>
      </c>
      <c r="C4853" s="203" t="s">
        <v>1029</v>
      </c>
      <c r="D4853" s="449"/>
    </row>
    <row r="4854" spans="1:4" s="2" customFormat="1" ht="13.9">
      <c r="A4854" s="201" t="s">
        <v>5081</v>
      </c>
      <c r="B4854" s="187" t="s">
        <v>5037</v>
      </c>
      <c r="C4854" s="197"/>
      <c r="D4854" s="449"/>
    </row>
    <row r="4855" spans="1:4" s="2" customFormat="1" ht="14.45">
      <c r="A4855" s="202"/>
      <c r="B4855" s="338" t="s">
        <v>1076</v>
      </c>
      <c r="C4855" s="203" t="s">
        <v>1077</v>
      </c>
      <c r="D4855" s="449"/>
    </row>
    <row r="4856" spans="1:4" s="2" customFormat="1" ht="13.9">
      <c r="A4856" s="201" t="s">
        <v>5082</v>
      </c>
      <c r="B4856" s="187" t="s">
        <v>5039</v>
      </c>
      <c r="C4856" s="197"/>
      <c r="D4856" s="449"/>
    </row>
    <row r="4857" spans="1:4" s="2" customFormat="1" ht="14.45">
      <c r="A4857" s="206"/>
      <c r="B4857" s="338" t="s">
        <v>5035</v>
      </c>
      <c r="C4857" s="203" t="s">
        <v>1029</v>
      </c>
      <c r="D4857" s="449"/>
    </row>
    <row r="4858" spans="1:4" s="2" customFormat="1" ht="15.6">
      <c r="A4858" s="204" t="s">
        <v>5083</v>
      </c>
      <c r="B4858" s="205" t="s">
        <v>5084</v>
      </c>
      <c r="C4858" s="475"/>
      <c r="D4858" s="449"/>
    </row>
    <row r="4859" spans="1:4" s="2" customFormat="1" ht="13.9">
      <c r="A4859" s="201" t="s">
        <v>5085</v>
      </c>
      <c r="B4859" s="187" t="s">
        <v>5034</v>
      </c>
      <c r="C4859" s="197"/>
      <c r="D4859" s="449"/>
    </row>
    <row r="4860" spans="1:4" s="2" customFormat="1" ht="14.45">
      <c r="A4860" s="202"/>
      <c r="B4860" s="338" t="s">
        <v>5035</v>
      </c>
      <c r="C4860" s="203" t="s">
        <v>1029</v>
      </c>
      <c r="D4860" s="449"/>
    </row>
    <row r="4861" spans="1:4" s="2" customFormat="1" ht="13.9">
      <c r="A4861" s="201" t="s">
        <v>5086</v>
      </c>
      <c r="B4861" s="187" t="s">
        <v>5037</v>
      </c>
      <c r="C4861" s="197"/>
      <c r="D4861" s="449"/>
    </row>
    <row r="4862" spans="1:4" s="2" customFormat="1" ht="14.45">
      <c r="A4862" s="202"/>
      <c r="B4862" s="338" t="s">
        <v>1076</v>
      </c>
      <c r="C4862" s="203" t="s">
        <v>1077</v>
      </c>
      <c r="D4862" s="449"/>
    </row>
    <row r="4863" spans="1:4" s="2" customFormat="1" ht="13.9">
      <c r="A4863" s="201" t="s">
        <v>5087</v>
      </c>
      <c r="B4863" s="187" t="s">
        <v>5039</v>
      </c>
      <c r="C4863" s="197"/>
      <c r="D4863" s="449"/>
    </row>
    <row r="4864" spans="1:4" s="2" customFormat="1" ht="14.45">
      <c r="A4864" s="206"/>
      <c r="B4864" s="338" t="s">
        <v>5035</v>
      </c>
      <c r="C4864" s="203" t="s">
        <v>1029</v>
      </c>
      <c r="D4864" s="449"/>
    </row>
    <row r="4865" spans="1:4" s="2" customFormat="1" ht="15.6">
      <c r="A4865" s="204" t="s">
        <v>5088</v>
      </c>
      <c r="B4865" s="205" t="s">
        <v>5089</v>
      </c>
      <c r="C4865" s="475"/>
      <c r="D4865" s="449"/>
    </row>
    <row r="4866" spans="1:4" s="2" customFormat="1" ht="13.9">
      <c r="A4866" s="201" t="s">
        <v>5090</v>
      </c>
      <c r="B4866" s="187" t="s">
        <v>5034</v>
      </c>
      <c r="C4866" s="197"/>
      <c r="D4866" s="449"/>
    </row>
    <row r="4867" spans="1:4" s="2" customFormat="1" ht="14.45">
      <c r="A4867" s="202"/>
      <c r="B4867" s="338" t="s">
        <v>5035</v>
      </c>
      <c r="C4867" s="203" t="s">
        <v>1029</v>
      </c>
      <c r="D4867" s="449"/>
    </row>
    <row r="4868" spans="1:4" s="2" customFormat="1" ht="13.9">
      <c r="A4868" s="201" t="s">
        <v>5091</v>
      </c>
      <c r="B4868" s="187" t="s">
        <v>5037</v>
      </c>
      <c r="C4868" s="197"/>
      <c r="D4868" s="449"/>
    </row>
    <row r="4869" spans="1:4" s="2" customFormat="1" ht="14.45">
      <c r="A4869" s="202"/>
      <c r="B4869" s="338" t="s">
        <v>1076</v>
      </c>
      <c r="C4869" s="203" t="s">
        <v>1077</v>
      </c>
      <c r="D4869" s="449"/>
    </row>
    <row r="4870" spans="1:4" s="2" customFormat="1" ht="13.9">
      <c r="A4870" s="201" t="s">
        <v>5092</v>
      </c>
      <c r="B4870" s="187" t="s">
        <v>5039</v>
      </c>
      <c r="C4870" s="197"/>
      <c r="D4870" s="449"/>
    </row>
    <row r="4871" spans="1:4" s="2" customFormat="1" ht="14.45">
      <c r="A4871" s="206"/>
      <c r="B4871" s="338" t="s">
        <v>5035</v>
      </c>
      <c r="C4871" s="203" t="s">
        <v>1029</v>
      </c>
      <c r="D4871" s="449"/>
    </row>
    <row r="4872" spans="1:4" s="2" customFormat="1" ht="15.6">
      <c r="A4872" s="204" t="s">
        <v>5093</v>
      </c>
      <c r="B4872" s="205" t="s">
        <v>5094</v>
      </c>
      <c r="C4872" s="475"/>
      <c r="D4872" s="449"/>
    </row>
    <row r="4873" spans="1:4" s="2" customFormat="1" ht="13.9">
      <c r="A4873" s="201" t="s">
        <v>5095</v>
      </c>
      <c r="B4873" s="187" t="s">
        <v>5034</v>
      </c>
      <c r="C4873" s="197"/>
      <c r="D4873" s="449"/>
    </row>
    <row r="4874" spans="1:4" s="2" customFormat="1" ht="14.45">
      <c r="A4874" s="202"/>
      <c r="B4874" s="338" t="s">
        <v>5035</v>
      </c>
      <c r="C4874" s="203" t="s">
        <v>1029</v>
      </c>
      <c r="D4874" s="449"/>
    </row>
    <row r="4875" spans="1:4" s="2" customFormat="1" ht="13.9">
      <c r="A4875" s="201" t="s">
        <v>5096</v>
      </c>
      <c r="B4875" s="187" t="s">
        <v>5037</v>
      </c>
      <c r="C4875" s="197"/>
      <c r="D4875" s="449"/>
    </row>
    <row r="4876" spans="1:4" s="2" customFormat="1" ht="14.45">
      <c r="A4876" s="202"/>
      <c r="B4876" s="338" t="s">
        <v>1076</v>
      </c>
      <c r="C4876" s="203" t="s">
        <v>1077</v>
      </c>
      <c r="D4876" s="449"/>
    </row>
    <row r="4877" spans="1:4" s="2" customFormat="1" ht="13.9">
      <c r="A4877" s="201" t="s">
        <v>5097</v>
      </c>
      <c r="B4877" s="187" t="s">
        <v>5039</v>
      </c>
      <c r="C4877" s="197"/>
      <c r="D4877" s="449"/>
    </row>
    <row r="4878" spans="1:4" s="2" customFormat="1" ht="14.45">
      <c r="A4878" s="206"/>
      <c r="B4878" s="338" t="s">
        <v>5035</v>
      </c>
      <c r="C4878" s="203" t="s">
        <v>1029</v>
      </c>
      <c r="D4878" s="449"/>
    </row>
    <row r="4879" spans="1:4" s="2" customFormat="1" ht="15.6">
      <c r="A4879" s="204" t="s">
        <v>5098</v>
      </c>
      <c r="B4879" s="205" t="s">
        <v>5099</v>
      </c>
      <c r="C4879" s="475"/>
      <c r="D4879" s="449"/>
    </row>
    <row r="4880" spans="1:4" s="2" customFormat="1" ht="13.9">
      <c r="A4880" s="201" t="s">
        <v>5100</v>
      </c>
      <c r="B4880" s="187" t="s">
        <v>5034</v>
      </c>
      <c r="C4880" s="197"/>
      <c r="D4880" s="449"/>
    </row>
    <row r="4881" spans="1:4" s="2" customFormat="1" ht="14.45">
      <c r="A4881" s="202"/>
      <c r="B4881" s="338" t="s">
        <v>5035</v>
      </c>
      <c r="C4881" s="203" t="s">
        <v>1029</v>
      </c>
      <c r="D4881" s="449"/>
    </row>
    <row r="4882" spans="1:4" s="2" customFormat="1" ht="13.9">
      <c r="A4882" s="201" t="s">
        <v>5101</v>
      </c>
      <c r="B4882" s="187" t="s">
        <v>5037</v>
      </c>
      <c r="C4882" s="197"/>
      <c r="D4882" s="449"/>
    </row>
    <row r="4883" spans="1:4" s="3" customFormat="1" ht="14.45">
      <c r="A4883" s="202"/>
      <c r="B4883" s="338" t="s">
        <v>1076</v>
      </c>
      <c r="C4883" s="203" t="s">
        <v>1077</v>
      </c>
      <c r="D4883" s="449"/>
    </row>
    <row r="4884" spans="1:4" s="3" customFormat="1" ht="13.9">
      <c r="A4884" s="201" t="s">
        <v>5102</v>
      </c>
      <c r="B4884" s="187" t="s">
        <v>5039</v>
      </c>
      <c r="C4884" s="197"/>
      <c r="D4884" s="449"/>
    </row>
    <row r="4885" spans="1:4" s="3" customFormat="1" ht="14.45">
      <c r="A4885" s="206"/>
      <c r="B4885" s="338" t="s">
        <v>5035</v>
      </c>
      <c r="C4885" s="203" t="s">
        <v>1029</v>
      </c>
      <c r="D4885" s="449"/>
    </row>
    <row r="4886" spans="1:4" s="3" customFormat="1">
      <c r="A4886" s="22" t="s">
        <v>5103</v>
      </c>
      <c r="B4886" s="59" t="s">
        <v>5104</v>
      </c>
      <c r="C4886" s="45"/>
      <c r="D4886" s="439"/>
    </row>
    <row r="4887" spans="1:4" s="3" customFormat="1" ht="39.6">
      <c r="A4887" s="209"/>
      <c r="B4887" s="338" t="s">
        <v>5105</v>
      </c>
      <c r="C4887" s="198"/>
      <c r="D4887" s="449"/>
    </row>
    <row r="4888" spans="1:4" s="3" customFormat="1" ht="16.149999999999999">
      <c r="A4888" s="209"/>
      <c r="B4888" s="339" t="s">
        <v>5106</v>
      </c>
      <c r="C4888" s="198"/>
      <c r="D4888" s="449"/>
    </row>
    <row r="4889" spans="1:4" s="3" customFormat="1" ht="16.149999999999999">
      <c r="A4889" s="209"/>
      <c r="B4889" s="339" t="s">
        <v>5107</v>
      </c>
      <c r="C4889" s="198"/>
      <c r="D4889" s="449"/>
    </row>
    <row r="4890" spans="1:4" s="3" customFormat="1" ht="16.149999999999999">
      <c r="A4890" s="209"/>
      <c r="B4890" s="339" t="s">
        <v>5108</v>
      </c>
      <c r="C4890" s="198"/>
      <c r="D4890" s="449"/>
    </row>
    <row r="4891" spans="1:4" s="3" customFormat="1" ht="16.149999999999999">
      <c r="A4891" s="209"/>
      <c r="B4891" s="339" t="s">
        <v>5109</v>
      </c>
      <c r="C4891" s="198"/>
      <c r="D4891" s="449"/>
    </row>
    <row r="4892" spans="1:4" s="3" customFormat="1" ht="16.149999999999999">
      <c r="A4892" s="209"/>
      <c r="B4892" s="339" t="s">
        <v>5110</v>
      </c>
      <c r="C4892" s="198"/>
      <c r="D4892" s="449"/>
    </row>
    <row r="4893" spans="1:4" s="3" customFormat="1">
      <c r="A4893" s="204" t="s">
        <v>5111</v>
      </c>
      <c r="B4893" s="205" t="s">
        <v>5112</v>
      </c>
      <c r="C4893" s="203"/>
      <c r="D4893" s="418"/>
    </row>
    <row r="4894" spans="1:4" s="3" customFormat="1">
      <c r="A4894" s="335"/>
      <c r="B4894" s="338" t="s">
        <v>5035</v>
      </c>
      <c r="C4894" s="203" t="s">
        <v>1029</v>
      </c>
      <c r="D4894" s="418"/>
    </row>
    <row r="4895" spans="1:4" s="3" customFormat="1">
      <c r="A4895" s="204" t="s">
        <v>5113</v>
      </c>
      <c r="B4895" s="205" t="s">
        <v>5114</v>
      </c>
      <c r="C4895" s="197"/>
      <c r="D4895" s="418"/>
    </row>
    <row r="4896" spans="1:4" s="3" customFormat="1">
      <c r="A4896" s="335"/>
      <c r="B4896" s="338" t="s">
        <v>5035</v>
      </c>
      <c r="C4896" s="203" t="s">
        <v>1029</v>
      </c>
      <c r="D4896" s="418"/>
    </row>
    <row r="4897" spans="1:4" s="3" customFormat="1">
      <c r="A4897" s="204" t="s">
        <v>5115</v>
      </c>
      <c r="B4897" s="205" t="s">
        <v>5116</v>
      </c>
      <c r="C4897" s="197"/>
      <c r="D4897" s="418"/>
    </row>
    <row r="4898" spans="1:4" s="3" customFormat="1">
      <c r="A4898" s="335"/>
      <c r="B4898" s="338" t="s">
        <v>5035</v>
      </c>
      <c r="C4898" s="203" t="s">
        <v>1029</v>
      </c>
      <c r="D4898" s="418"/>
    </row>
    <row r="4899" spans="1:4" s="3" customFormat="1" ht="15.6">
      <c r="A4899" s="204" t="s">
        <v>5117</v>
      </c>
      <c r="B4899" s="205" t="s">
        <v>5118</v>
      </c>
      <c r="C4899" s="475"/>
      <c r="D4899" s="418"/>
    </row>
    <row r="4900" spans="1:4" s="3" customFormat="1">
      <c r="A4900" s="335"/>
      <c r="B4900" s="338" t="s">
        <v>5035</v>
      </c>
      <c r="C4900" s="203" t="s">
        <v>1029</v>
      </c>
      <c r="D4900" s="418"/>
    </row>
    <row r="4901" spans="1:4" s="3" customFormat="1" ht="15.6">
      <c r="A4901" s="204" t="s">
        <v>5119</v>
      </c>
      <c r="B4901" s="205" t="s">
        <v>5120</v>
      </c>
      <c r="C4901" s="475"/>
      <c r="D4901" s="418"/>
    </row>
    <row r="4902" spans="1:4" s="3" customFormat="1">
      <c r="A4902" s="335"/>
      <c r="B4902" s="338" t="s">
        <v>5035</v>
      </c>
      <c r="C4902" s="203" t="s">
        <v>1029</v>
      </c>
      <c r="D4902" s="418"/>
    </row>
    <row r="4903" spans="1:4" s="3" customFormat="1">
      <c r="A4903" s="22" t="s">
        <v>5121</v>
      </c>
      <c r="B4903" s="59" t="s">
        <v>5122</v>
      </c>
      <c r="C4903" s="45"/>
      <c r="D4903" s="439"/>
    </row>
    <row r="4904" spans="1:4" s="3" customFormat="1" ht="26.45">
      <c r="A4904" s="209"/>
      <c r="B4904" s="338" t="s">
        <v>5123</v>
      </c>
      <c r="C4904" s="198"/>
      <c r="D4904" s="418"/>
    </row>
    <row r="4905" spans="1:4" s="3" customFormat="1" ht="16.149999999999999">
      <c r="A4905" s="209"/>
      <c r="B4905" s="210" t="s">
        <v>5124</v>
      </c>
      <c r="C4905" s="198"/>
      <c r="D4905" s="418"/>
    </row>
    <row r="4906" spans="1:4" s="3" customFormat="1" ht="16.149999999999999">
      <c r="A4906" s="209"/>
      <c r="B4906" s="210" t="s">
        <v>5125</v>
      </c>
      <c r="C4906" s="198"/>
      <c r="D4906" s="418"/>
    </row>
    <row r="4907" spans="1:4" s="3" customFormat="1" ht="16.149999999999999">
      <c r="A4907" s="209"/>
      <c r="B4907" s="210" t="s">
        <v>5126</v>
      </c>
      <c r="C4907" s="198"/>
      <c r="D4907" s="418"/>
    </row>
    <row r="4908" spans="1:4" s="3" customFormat="1" ht="16.149999999999999">
      <c r="A4908" s="209"/>
      <c r="B4908" s="210" t="s">
        <v>5127</v>
      </c>
      <c r="C4908" s="198"/>
      <c r="D4908" s="418"/>
    </row>
    <row r="4909" spans="1:4" s="3" customFormat="1" ht="16.149999999999999">
      <c r="A4909" s="209"/>
      <c r="B4909" s="210" t="s">
        <v>5128</v>
      </c>
      <c r="C4909" s="198"/>
      <c r="D4909" s="418"/>
    </row>
    <row r="4910" spans="1:4" s="3" customFormat="1" ht="16.149999999999999">
      <c r="A4910" s="209"/>
      <c r="B4910" s="210" t="s">
        <v>5129</v>
      </c>
      <c r="C4910" s="198"/>
      <c r="D4910" s="418"/>
    </row>
    <row r="4911" spans="1:4" s="3" customFormat="1" ht="37.9" customHeight="1">
      <c r="A4911" s="209"/>
      <c r="B4911" s="338" t="s">
        <v>5130</v>
      </c>
      <c r="C4911" s="198"/>
      <c r="D4911" s="418"/>
    </row>
    <row r="4912" spans="1:4" s="3" customFormat="1" ht="15.6">
      <c r="A4912" s="204" t="s">
        <v>5131</v>
      </c>
      <c r="B4912" s="205" t="s">
        <v>5132</v>
      </c>
      <c r="C4912" s="475"/>
      <c r="D4912" s="418"/>
    </row>
    <row r="4913" spans="1:4" s="3" customFormat="1">
      <c r="A4913" s="201" t="s">
        <v>5133</v>
      </c>
      <c r="B4913" s="187" t="s">
        <v>5134</v>
      </c>
      <c r="C4913" s="197"/>
      <c r="D4913" s="418"/>
    </row>
    <row r="4914" spans="1:4" s="3" customFormat="1" ht="14.45">
      <c r="A4914" s="202"/>
      <c r="B4914" s="338" t="s">
        <v>1076</v>
      </c>
      <c r="C4914" s="203" t="s">
        <v>1077</v>
      </c>
      <c r="D4914" s="418"/>
    </row>
    <row r="4915" spans="1:4" s="3" customFormat="1">
      <c r="A4915" s="201" t="s">
        <v>5135</v>
      </c>
      <c r="B4915" s="187" t="s">
        <v>5136</v>
      </c>
      <c r="C4915" s="197"/>
      <c r="D4915" s="418"/>
    </row>
    <row r="4916" spans="1:4" s="3" customFormat="1" ht="14.45">
      <c r="A4916" s="202"/>
      <c r="B4916" s="338" t="s">
        <v>1076</v>
      </c>
      <c r="C4916" s="203" t="s">
        <v>1077</v>
      </c>
      <c r="D4916" s="418"/>
    </row>
    <row r="4917" spans="1:4" s="3" customFormat="1">
      <c r="A4917" s="201" t="s">
        <v>5137</v>
      </c>
      <c r="B4917" s="187" t="s">
        <v>5138</v>
      </c>
      <c r="C4917" s="197"/>
      <c r="D4917" s="418"/>
    </row>
    <row r="4918" spans="1:4" s="3" customFormat="1" ht="14.45">
      <c r="A4918" s="202"/>
      <c r="B4918" s="338" t="s">
        <v>1076</v>
      </c>
      <c r="C4918" s="203" t="s">
        <v>1077</v>
      </c>
      <c r="D4918" s="418"/>
    </row>
    <row r="4919" spans="1:4" s="3" customFormat="1">
      <c r="A4919" s="201" t="s">
        <v>5139</v>
      </c>
      <c r="B4919" s="187" t="s">
        <v>5140</v>
      </c>
      <c r="C4919" s="197"/>
      <c r="D4919" s="418"/>
    </row>
    <row r="4920" spans="1:4" s="3" customFormat="1" ht="14.45">
      <c r="A4920" s="202"/>
      <c r="B4920" s="338" t="s">
        <v>1076</v>
      </c>
      <c r="C4920" s="203" t="s">
        <v>1077</v>
      </c>
      <c r="D4920" s="418"/>
    </row>
    <row r="4921" spans="1:4" s="3" customFormat="1" ht="15.6">
      <c r="A4921" s="204" t="s">
        <v>5141</v>
      </c>
      <c r="B4921" s="205" t="s">
        <v>5142</v>
      </c>
      <c r="C4921" s="475"/>
      <c r="D4921" s="418"/>
    </row>
    <row r="4922" spans="1:4" s="3" customFormat="1">
      <c r="A4922" s="201" t="s">
        <v>5143</v>
      </c>
      <c r="B4922" s="187" t="s">
        <v>5134</v>
      </c>
      <c r="C4922" s="197"/>
      <c r="D4922" s="418"/>
    </row>
    <row r="4923" spans="1:4" s="3" customFormat="1" ht="14.45">
      <c r="A4923" s="202"/>
      <c r="B4923" s="338" t="s">
        <v>1076</v>
      </c>
      <c r="C4923" s="203" t="s">
        <v>1077</v>
      </c>
      <c r="D4923" s="418"/>
    </row>
    <row r="4924" spans="1:4" s="3" customFormat="1">
      <c r="A4924" s="201" t="s">
        <v>5144</v>
      </c>
      <c r="B4924" s="187" t="s">
        <v>5136</v>
      </c>
      <c r="C4924" s="197"/>
      <c r="D4924" s="418"/>
    </row>
    <row r="4925" spans="1:4" s="3" customFormat="1" ht="14.45">
      <c r="A4925" s="202"/>
      <c r="B4925" s="338" t="s">
        <v>1076</v>
      </c>
      <c r="C4925" s="203" t="s">
        <v>1077</v>
      </c>
      <c r="D4925" s="418"/>
    </row>
    <row r="4926" spans="1:4" s="3" customFormat="1">
      <c r="A4926" s="201" t="s">
        <v>5145</v>
      </c>
      <c r="B4926" s="187" t="s">
        <v>5138</v>
      </c>
      <c r="C4926" s="197"/>
      <c r="D4926" s="418"/>
    </row>
    <row r="4927" spans="1:4" s="3" customFormat="1" ht="14.45">
      <c r="A4927" s="202"/>
      <c r="B4927" s="338" t="s">
        <v>1076</v>
      </c>
      <c r="C4927" s="203" t="s">
        <v>1077</v>
      </c>
      <c r="D4927" s="418"/>
    </row>
    <row r="4928" spans="1:4" s="3" customFormat="1" ht="13.5" customHeight="1">
      <c r="A4928" s="201" t="s">
        <v>5146</v>
      </c>
      <c r="B4928" s="187" t="s">
        <v>5140</v>
      </c>
      <c r="C4928" s="197"/>
      <c r="D4928" s="418"/>
    </row>
    <row r="4929" spans="1:4" s="3" customFormat="1" ht="14.45">
      <c r="A4929" s="206"/>
      <c r="B4929" s="338" t="s">
        <v>1076</v>
      </c>
      <c r="C4929" s="203" t="s">
        <v>1077</v>
      </c>
      <c r="D4929" s="418"/>
    </row>
    <row r="4930" spans="1:4" s="3" customFormat="1" ht="15.6">
      <c r="A4930" s="204" t="s">
        <v>5147</v>
      </c>
      <c r="B4930" s="205" t="s">
        <v>5148</v>
      </c>
      <c r="C4930" s="475"/>
      <c r="D4930" s="418"/>
    </row>
    <row r="4931" spans="1:4" s="3" customFormat="1">
      <c r="A4931" s="201" t="s">
        <v>5149</v>
      </c>
      <c r="B4931" s="187" t="s">
        <v>5134</v>
      </c>
      <c r="C4931" s="197"/>
      <c r="D4931" s="418"/>
    </row>
    <row r="4932" spans="1:4" s="3" customFormat="1" ht="14.45">
      <c r="A4932" s="202"/>
      <c r="B4932" s="338" t="s">
        <v>1076</v>
      </c>
      <c r="C4932" s="203" t="s">
        <v>1077</v>
      </c>
      <c r="D4932" s="418"/>
    </row>
    <row r="4933" spans="1:4" s="3" customFormat="1">
      <c r="A4933" s="201" t="s">
        <v>5150</v>
      </c>
      <c r="B4933" s="187" t="s">
        <v>5136</v>
      </c>
      <c r="C4933" s="197"/>
      <c r="D4933" s="418"/>
    </row>
    <row r="4934" spans="1:4" s="3" customFormat="1" ht="14.45">
      <c r="A4934" s="202"/>
      <c r="B4934" s="338" t="s">
        <v>1076</v>
      </c>
      <c r="C4934" s="203" t="s">
        <v>1077</v>
      </c>
      <c r="D4934" s="418"/>
    </row>
    <row r="4935" spans="1:4" s="3" customFormat="1">
      <c r="A4935" s="201" t="s">
        <v>5151</v>
      </c>
      <c r="B4935" s="187" t="s">
        <v>5138</v>
      </c>
      <c r="C4935" s="197"/>
      <c r="D4935" s="418"/>
    </row>
    <row r="4936" spans="1:4" s="3" customFormat="1" ht="14.45">
      <c r="A4936" s="202"/>
      <c r="B4936" s="338" t="s">
        <v>1076</v>
      </c>
      <c r="C4936" s="203" t="s">
        <v>1077</v>
      </c>
      <c r="D4936" s="418"/>
    </row>
    <row r="4937" spans="1:4" s="3" customFormat="1">
      <c r="A4937" s="201" t="s">
        <v>5152</v>
      </c>
      <c r="B4937" s="187" t="s">
        <v>5140</v>
      </c>
      <c r="C4937" s="197"/>
      <c r="D4937" s="418"/>
    </row>
    <row r="4938" spans="1:4" s="3" customFormat="1" ht="14.45">
      <c r="A4938" s="206"/>
      <c r="B4938" s="338" t="s">
        <v>1076</v>
      </c>
      <c r="C4938" s="203" t="s">
        <v>1077</v>
      </c>
      <c r="D4938" s="418"/>
    </row>
    <row r="4939" spans="1:4" ht="15.6">
      <c r="A4939" s="204" t="s">
        <v>5153</v>
      </c>
      <c r="B4939" s="205" t="s">
        <v>5154</v>
      </c>
      <c r="C4939" s="475"/>
      <c r="D4939" s="418"/>
    </row>
    <row r="4940" spans="1:4">
      <c r="A4940" s="201" t="s">
        <v>5155</v>
      </c>
      <c r="B4940" s="187" t="s">
        <v>5134</v>
      </c>
      <c r="C4940" s="197"/>
      <c r="D4940" s="418"/>
    </row>
    <row r="4941" spans="1:4" ht="14.45">
      <c r="A4941" s="202"/>
      <c r="B4941" s="338" t="s">
        <v>1076</v>
      </c>
      <c r="C4941" s="203" t="s">
        <v>1077</v>
      </c>
      <c r="D4941" s="418"/>
    </row>
    <row r="4942" spans="1:4">
      <c r="A4942" s="201" t="s">
        <v>5156</v>
      </c>
      <c r="B4942" s="187" t="s">
        <v>5136</v>
      </c>
      <c r="C4942" s="197"/>
      <c r="D4942" s="418"/>
    </row>
    <row r="4943" spans="1:4" ht="14.45">
      <c r="A4943" s="202"/>
      <c r="B4943" s="338" t="s">
        <v>1076</v>
      </c>
      <c r="C4943" s="203" t="s">
        <v>1077</v>
      </c>
      <c r="D4943" s="418"/>
    </row>
    <row r="4944" spans="1:4">
      <c r="A4944" s="201" t="s">
        <v>5157</v>
      </c>
      <c r="B4944" s="187" t="s">
        <v>5138</v>
      </c>
      <c r="C4944" s="197"/>
      <c r="D4944" s="418"/>
    </row>
    <row r="4945" spans="1:4" ht="14.45">
      <c r="A4945" s="202"/>
      <c r="B4945" s="338" t="s">
        <v>1076</v>
      </c>
      <c r="C4945" s="203" t="s">
        <v>1077</v>
      </c>
      <c r="D4945" s="418"/>
    </row>
    <row r="4946" spans="1:4">
      <c r="A4946" s="201" t="s">
        <v>5158</v>
      </c>
      <c r="B4946" s="187" t="s">
        <v>5140</v>
      </c>
      <c r="C4946" s="197"/>
      <c r="D4946" s="418"/>
    </row>
    <row r="4947" spans="1:4" ht="14.45">
      <c r="A4947" s="202"/>
      <c r="B4947" s="338" t="s">
        <v>1076</v>
      </c>
      <c r="C4947" s="203" t="s">
        <v>1077</v>
      </c>
      <c r="D4947" s="418"/>
    </row>
    <row r="4948" spans="1:4" ht="15.6">
      <c r="A4948" s="204" t="s">
        <v>5159</v>
      </c>
      <c r="B4948" s="205" t="s">
        <v>5160</v>
      </c>
      <c r="C4948" s="475"/>
      <c r="D4948" s="418"/>
    </row>
    <row r="4949" spans="1:4">
      <c r="A4949" s="201" t="s">
        <v>5161</v>
      </c>
      <c r="B4949" s="187" t="s">
        <v>5134</v>
      </c>
      <c r="C4949" s="197"/>
      <c r="D4949" s="418"/>
    </row>
    <row r="4950" spans="1:4" ht="14.45">
      <c r="A4950" s="202"/>
      <c r="B4950" s="338" t="s">
        <v>1076</v>
      </c>
      <c r="C4950" s="203" t="s">
        <v>1077</v>
      </c>
      <c r="D4950" s="418"/>
    </row>
    <row r="4951" spans="1:4">
      <c r="A4951" s="201" t="s">
        <v>5162</v>
      </c>
      <c r="B4951" s="187" t="s">
        <v>5136</v>
      </c>
      <c r="C4951" s="197"/>
      <c r="D4951" s="418"/>
    </row>
    <row r="4952" spans="1:4" ht="14.45">
      <c r="A4952" s="202"/>
      <c r="B4952" s="338" t="s">
        <v>1076</v>
      </c>
      <c r="C4952" s="203" t="s">
        <v>1077</v>
      </c>
      <c r="D4952" s="418"/>
    </row>
    <row r="4953" spans="1:4">
      <c r="A4953" s="201" t="s">
        <v>5163</v>
      </c>
      <c r="B4953" s="187" t="s">
        <v>5138</v>
      </c>
      <c r="C4953" s="197"/>
      <c r="D4953" s="418"/>
    </row>
    <row r="4954" spans="1:4" ht="14.45">
      <c r="A4954" s="202"/>
      <c r="B4954" s="338" t="s">
        <v>1076</v>
      </c>
      <c r="C4954" s="203" t="s">
        <v>1077</v>
      </c>
      <c r="D4954" s="418"/>
    </row>
    <row r="4955" spans="1:4">
      <c r="A4955" s="201" t="s">
        <v>5164</v>
      </c>
      <c r="B4955" s="187" t="s">
        <v>5140</v>
      </c>
      <c r="C4955" s="197"/>
      <c r="D4955" s="418"/>
    </row>
    <row r="4956" spans="1:4" ht="14.45">
      <c r="A4956" s="202"/>
      <c r="B4956" s="338" t="s">
        <v>1076</v>
      </c>
      <c r="C4956" s="203" t="s">
        <v>1077</v>
      </c>
      <c r="D4956" s="418"/>
    </row>
    <row r="4957" spans="1:4" ht="15.6">
      <c r="A4957" s="204" t="s">
        <v>5165</v>
      </c>
      <c r="B4957" s="205" t="s">
        <v>5166</v>
      </c>
      <c r="C4957" s="475"/>
      <c r="D4957" s="418"/>
    </row>
    <row r="4958" spans="1:4">
      <c r="A4958" s="201" t="s">
        <v>5167</v>
      </c>
      <c r="B4958" s="187" t="s">
        <v>5134</v>
      </c>
      <c r="C4958" s="197"/>
      <c r="D4958" s="418"/>
    </row>
    <row r="4959" spans="1:4" ht="14.45">
      <c r="A4959" s="202"/>
      <c r="B4959" s="338" t="s">
        <v>1076</v>
      </c>
      <c r="C4959" s="203" t="s">
        <v>1077</v>
      </c>
      <c r="D4959" s="418"/>
    </row>
    <row r="4960" spans="1:4">
      <c r="A4960" s="201" t="s">
        <v>5168</v>
      </c>
      <c r="B4960" s="187" t="s">
        <v>5136</v>
      </c>
      <c r="C4960" s="197"/>
      <c r="D4960" s="418"/>
    </row>
    <row r="4961" spans="1:4" ht="14.45">
      <c r="A4961" s="202"/>
      <c r="B4961" s="338" t="s">
        <v>1076</v>
      </c>
      <c r="C4961" s="203" t="s">
        <v>1077</v>
      </c>
      <c r="D4961" s="418"/>
    </row>
    <row r="4962" spans="1:4">
      <c r="A4962" s="201" t="s">
        <v>5169</v>
      </c>
      <c r="B4962" s="187" t="s">
        <v>5138</v>
      </c>
      <c r="C4962" s="197"/>
      <c r="D4962" s="418"/>
    </row>
    <row r="4963" spans="1:4" ht="14.45">
      <c r="A4963" s="202"/>
      <c r="B4963" s="338" t="s">
        <v>1076</v>
      </c>
      <c r="C4963" s="203" t="s">
        <v>1077</v>
      </c>
      <c r="D4963" s="418"/>
    </row>
    <row r="4964" spans="1:4">
      <c r="A4964" s="211" t="s">
        <v>5170</v>
      </c>
      <c r="B4964" s="212" t="s">
        <v>5140</v>
      </c>
      <c r="C4964" s="197"/>
      <c r="D4964" s="418"/>
    </row>
    <row r="4965" spans="1:4" ht="14.45">
      <c r="A4965" s="206"/>
      <c r="B4965" s="338" t="s">
        <v>1076</v>
      </c>
      <c r="C4965" s="203" t="s">
        <v>1077</v>
      </c>
      <c r="D4965" s="418"/>
    </row>
    <row r="4966" spans="1:4">
      <c r="A4966" s="22" t="s">
        <v>5171</v>
      </c>
      <c r="B4966" s="59" t="s">
        <v>5172</v>
      </c>
      <c r="C4966" s="45"/>
      <c r="D4966" s="455"/>
    </row>
    <row r="4967" spans="1:4" ht="26.45">
      <c r="A4967" s="209"/>
      <c r="B4967" s="338" t="s">
        <v>5173</v>
      </c>
      <c r="C4967" s="198"/>
      <c r="D4967" s="418"/>
    </row>
    <row r="4968" spans="1:4" ht="26.45">
      <c r="A4968" s="209"/>
      <c r="B4968" s="338" t="s">
        <v>5174</v>
      </c>
      <c r="C4968" s="198"/>
      <c r="D4968" s="418"/>
    </row>
    <row r="4969" spans="1:4" ht="15.6">
      <c r="A4969" s="204" t="s">
        <v>5175</v>
      </c>
      <c r="B4969" s="205" t="s">
        <v>5132</v>
      </c>
      <c r="C4969" s="475"/>
      <c r="D4969" s="418"/>
    </row>
    <row r="4970" spans="1:4">
      <c r="A4970" s="201" t="s">
        <v>5176</v>
      </c>
      <c r="B4970" s="187" t="s">
        <v>5134</v>
      </c>
      <c r="C4970" s="197"/>
      <c r="D4970" s="418"/>
    </row>
    <row r="4971" spans="1:4" ht="14.45">
      <c r="A4971" s="202"/>
      <c r="B4971" s="338" t="s">
        <v>1076</v>
      </c>
      <c r="C4971" s="203" t="s">
        <v>1077</v>
      </c>
      <c r="D4971" s="418"/>
    </row>
    <row r="4972" spans="1:4">
      <c r="A4972" s="201" t="s">
        <v>5177</v>
      </c>
      <c r="B4972" s="187" t="s">
        <v>5178</v>
      </c>
      <c r="C4972" s="197"/>
      <c r="D4972" s="418"/>
    </row>
    <row r="4973" spans="1:4" ht="14.45">
      <c r="A4973" s="202"/>
      <c r="B4973" s="338" t="s">
        <v>1076</v>
      </c>
      <c r="C4973" s="203" t="s">
        <v>1077</v>
      </c>
      <c r="D4973" s="418"/>
    </row>
    <row r="4974" spans="1:4">
      <c r="A4974" s="201" t="s">
        <v>5179</v>
      </c>
      <c r="B4974" s="187" t="s">
        <v>5138</v>
      </c>
      <c r="C4974" s="197"/>
      <c r="D4974" s="418"/>
    </row>
    <row r="4975" spans="1:4" ht="14.45">
      <c r="A4975" s="202"/>
      <c r="B4975" s="338" t="s">
        <v>1076</v>
      </c>
      <c r="C4975" s="203" t="s">
        <v>1077</v>
      </c>
      <c r="D4975" s="418"/>
    </row>
    <row r="4976" spans="1:4">
      <c r="A4976" s="201" t="s">
        <v>5180</v>
      </c>
      <c r="B4976" s="187" t="s">
        <v>5140</v>
      </c>
      <c r="C4976" s="197"/>
      <c r="D4976" s="418"/>
    </row>
    <row r="4977" spans="1:4" ht="14.45">
      <c r="A4977" s="206"/>
      <c r="B4977" s="338" t="s">
        <v>1076</v>
      </c>
      <c r="C4977" s="203" t="s">
        <v>1077</v>
      </c>
      <c r="D4977" s="418"/>
    </row>
    <row r="4978" spans="1:4">
      <c r="A4978" s="201" t="s">
        <v>5181</v>
      </c>
      <c r="B4978" s="187" t="s">
        <v>5182</v>
      </c>
      <c r="C4978" s="197"/>
      <c r="D4978" s="418"/>
    </row>
    <row r="4979" spans="1:4" ht="14.45">
      <c r="A4979" s="206"/>
      <c r="B4979" s="338" t="s">
        <v>1076</v>
      </c>
      <c r="C4979" s="203" t="s">
        <v>1077</v>
      </c>
      <c r="D4979" s="418"/>
    </row>
    <row r="4980" spans="1:4" ht="15.6">
      <c r="A4980" s="204" t="s">
        <v>5183</v>
      </c>
      <c r="B4980" s="205" t="s">
        <v>5142</v>
      </c>
      <c r="C4980" s="475"/>
      <c r="D4980" s="418"/>
    </row>
    <row r="4981" spans="1:4">
      <c r="A4981" s="201" t="s">
        <v>5184</v>
      </c>
      <c r="B4981" s="187" t="s">
        <v>5134</v>
      </c>
      <c r="C4981" s="197"/>
      <c r="D4981" s="418"/>
    </row>
    <row r="4982" spans="1:4" ht="14.45">
      <c r="A4982" s="202"/>
      <c r="B4982" s="338" t="s">
        <v>1076</v>
      </c>
      <c r="C4982" s="203" t="s">
        <v>1077</v>
      </c>
      <c r="D4982" s="418"/>
    </row>
    <row r="4983" spans="1:4">
      <c r="A4983" s="201" t="s">
        <v>5185</v>
      </c>
      <c r="B4983" s="187" t="s">
        <v>5178</v>
      </c>
      <c r="C4983" s="197"/>
      <c r="D4983" s="418"/>
    </row>
    <row r="4984" spans="1:4" ht="14.45">
      <c r="A4984" s="202"/>
      <c r="B4984" s="338" t="s">
        <v>1076</v>
      </c>
      <c r="C4984" s="203" t="s">
        <v>1077</v>
      </c>
      <c r="D4984" s="418"/>
    </row>
    <row r="4985" spans="1:4">
      <c r="A4985" s="201" t="s">
        <v>5186</v>
      </c>
      <c r="B4985" s="187" t="s">
        <v>5138</v>
      </c>
      <c r="C4985" s="197"/>
      <c r="D4985" s="418"/>
    </row>
    <row r="4986" spans="1:4" ht="14.45">
      <c r="A4986" s="202"/>
      <c r="B4986" s="338" t="s">
        <v>1076</v>
      </c>
      <c r="C4986" s="203" t="s">
        <v>1077</v>
      </c>
      <c r="D4986" s="418"/>
    </row>
    <row r="4987" spans="1:4">
      <c r="A4987" s="201" t="s">
        <v>5187</v>
      </c>
      <c r="B4987" s="187" t="s">
        <v>5140</v>
      </c>
      <c r="C4987" s="197"/>
      <c r="D4987" s="418"/>
    </row>
    <row r="4988" spans="1:4" ht="14.45">
      <c r="A4988" s="202"/>
      <c r="B4988" s="338" t="s">
        <v>1076</v>
      </c>
      <c r="C4988" s="203" t="s">
        <v>1077</v>
      </c>
      <c r="D4988" s="418"/>
    </row>
    <row r="4989" spans="1:4">
      <c r="A4989" s="201" t="s">
        <v>5188</v>
      </c>
      <c r="B4989" s="187" t="s">
        <v>5182</v>
      </c>
      <c r="C4989" s="197"/>
      <c r="D4989" s="418"/>
    </row>
    <row r="4990" spans="1:4" ht="14.45">
      <c r="A4990" s="206"/>
      <c r="B4990" s="338" t="s">
        <v>1076</v>
      </c>
      <c r="C4990" s="203" t="s">
        <v>1077</v>
      </c>
      <c r="D4990" s="418"/>
    </row>
    <row r="4991" spans="1:4" ht="15.6">
      <c r="A4991" s="204" t="s">
        <v>5189</v>
      </c>
      <c r="B4991" s="205" t="s">
        <v>5148</v>
      </c>
      <c r="C4991" s="475"/>
      <c r="D4991" s="418"/>
    </row>
    <row r="4992" spans="1:4">
      <c r="A4992" s="201" t="s">
        <v>5190</v>
      </c>
      <c r="B4992" s="187" t="s">
        <v>5134</v>
      </c>
      <c r="C4992" s="197"/>
      <c r="D4992" s="418"/>
    </row>
    <row r="4993" spans="1:4" ht="14.45">
      <c r="A4993" s="202"/>
      <c r="B4993" s="338" t="s">
        <v>1076</v>
      </c>
      <c r="C4993" s="203" t="s">
        <v>1077</v>
      </c>
      <c r="D4993" s="418"/>
    </row>
    <row r="4994" spans="1:4">
      <c r="A4994" s="201" t="s">
        <v>5191</v>
      </c>
      <c r="B4994" s="187" t="s">
        <v>5178</v>
      </c>
      <c r="C4994" s="197"/>
      <c r="D4994" s="418"/>
    </row>
    <row r="4995" spans="1:4" ht="14.45">
      <c r="A4995" s="202"/>
      <c r="B4995" s="338" t="s">
        <v>1076</v>
      </c>
      <c r="C4995" s="203" t="s">
        <v>1077</v>
      </c>
      <c r="D4995" s="418"/>
    </row>
    <row r="4996" spans="1:4">
      <c r="A4996" s="201" t="s">
        <v>5192</v>
      </c>
      <c r="B4996" s="187" t="s">
        <v>5138</v>
      </c>
      <c r="C4996" s="197"/>
      <c r="D4996" s="418"/>
    </row>
    <row r="4997" spans="1:4" ht="14.45">
      <c r="A4997" s="202"/>
      <c r="B4997" s="338" t="s">
        <v>1076</v>
      </c>
      <c r="C4997" s="203" t="s">
        <v>1077</v>
      </c>
      <c r="D4997" s="418"/>
    </row>
    <row r="4998" spans="1:4">
      <c r="A4998" s="201" t="s">
        <v>5193</v>
      </c>
      <c r="B4998" s="187" t="s">
        <v>5140</v>
      </c>
      <c r="C4998" s="197"/>
      <c r="D4998" s="418"/>
    </row>
    <row r="4999" spans="1:4" ht="14.45">
      <c r="A4999" s="202"/>
      <c r="B4999" s="338" t="s">
        <v>1076</v>
      </c>
      <c r="C4999" s="203" t="s">
        <v>1077</v>
      </c>
      <c r="D4999" s="418"/>
    </row>
    <row r="5000" spans="1:4">
      <c r="A5000" s="201" t="s">
        <v>5194</v>
      </c>
      <c r="B5000" s="187" t="s">
        <v>5182</v>
      </c>
      <c r="C5000" s="197"/>
      <c r="D5000" s="418"/>
    </row>
    <row r="5001" spans="1:4" ht="14.45">
      <c r="A5001" s="206"/>
      <c r="B5001" s="338" t="s">
        <v>1076</v>
      </c>
      <c r="C5001" s="203" t="s">
        <v>1077</v>
      </c>
      <c r="D5001" s="418"/>
    </row>
    <row r="5002" spans="1:4" ht="15.6">
      <c r="A5002" s="204" t="s">
        <v>5195</v>
      </c>
      <c r="B5002" s="205" t="s">
        <v>5154</v>
      </c>
      <c r="C5002" s="475"/>
      <c r="D5002" s="418"/>
    </row>
    <row r="5003" spans="1:4">
      <c r="A5003" s="201" t="s">
        <v>5196</v>
      </c>
      <c r="B5003" s="187" t="s">
        <v>5134</v>
      </c>
      <c r="C5003" s="197"/>
      <c r="D5003" s="418"/>
    </row>
    <row r="5004" spans="1:4" ht="14.45">
      <c r="A5004" s="202"/>
      <c r="B5004" s="338" t="s">
        <v>1076</v>
      </c>
      <c r="C5004" s="203" t="s">
        <v>1077</v>
      </c>
      <c r="D5004" s="418"/>
    </row>
    <row r="5005" spans="1:4">
      <c r="A5005" s="201" t="s">
        <v>5197</v>
      </c>
      <c r="B5005" s="187" t="s">
        <v>5178</v>
      </c>
      <c r="C5005" s="197"/>
      <c r="D5005" s="418"/>
    </row>
    <row r="5006" spans="1:4" ht="14.45">
      <c r="A5006" s="202"/>
      <c r="B5006" s="338" t="s">
        <v>1076</v>
      </c>
      <c r="C5006" s="203" t="s">
        <v>1077</v>
      </c>
      <c r="D5006" s="418"/>
    </row>
    <row r="5007" spans="1:4">
      <c r="A5007" s="201" t="s">
        <v>5198</v>
      </c>
      <c r="B5007" s="187" t="s">
        <v>5138</v>
      </c>
      <c r="C5007" s="197"/>
      <c r="D5007" s="418"/>
    </row>
    <row r="5008" spans="1:4" ht="14.45">
      <c r="A5008" s="202"/>
      <c r="B5008" s="338" t="s">
        <v>1076</v>
      </c>
      <c r="C5008" s="203" t="s">
        <v>1077</v>
      </c>
      <c r="D5008" s="418"/>
    </row>
    <row r="5009" spans="1:4">
      <c r="A5009" s="201" t="s">
        <v>5199</v>
      </c>
      <c r="B5009" s="187" t="s">
        <v>5140</v>
      </c>
      <c r="C5009" s="197"/>
      <c r="D5009" s="418"/>
    </row>
    <row r="5010" spans="1:4" ht="14.45">
      <c r="A5010" s="206"/>
      <c r="B5010" s="338" t="s">
        <v>1076</v>
      </c>
      <c r="C5010" s="203" t="s">
        <v>1077</v>
      </c>
      <c r="D5010" s="418"/>
    </row>
    <row r="5011" spans="1:4">
      <c r="A5011" s="201" t="s">
        <v>5200</v>
      </c>
      <c r="B5011" s="187" t="s">
        <v>5182</v>
      </c>
      <c r="C5011" s="197"/>
      <c r="D5011" s="418"/>
    </row>
    <row r="5012" spans="1:4" ht="14.45">
      <c r="A5012" s="206"/>
      <c r="B5012" s="338" t="s">
        <v>1076</v>
      </c>
      <c r="C5012" s="203" t="s">
        <v>1077</v>
      </c>
      <c r="D5012" s="418"/>
    </row>
    <row r="5013" spans="1:4" ht="15.6">
      <c r="A5013" s="204" t="s">
        <v>5201</v>
      </c>
      <c r="B5013" s="205" t="s">
        <v>5202</v>
      </c>
      <c r="C5013" s="475"/>
      <c r="D5013" s="418"/>
    </row>
    <row r="5014" spans="1:4">
      <c r="A5014" s="201" t="s">
        <v>5203</v>
      </c>
      <c r="B5014" s="187" t="s">
        <v>5134</v>
      </c>
      <c r="C5014" s="197"/>
      <c r="D5014" s="418"/>
    </row>
    <row r="5015" spans="1:4" ht="14.45">
      <c r="A5015" s="202"/>
      <c r="B5015" s="338" t="s">
        <v>1076</v>
      </c>
      <c r="C5015" s="203" t="s">
        <v>1077</v>
      </c>
      <c r="D5015" s="418"/>
    </row>
    <row r="5016" spans="1:4">
      <c r="A5016" s="201" t="s">
        <v>5204</v>
      </c>
      <c r="B5016" s="187" t="s">
        <v>5136</v>
      </c>
      <c r="C5016" s="197"/>
      <c r="D5016" s="418"/>
    </row>
    <row r="5017" spans="1:4" ht="14.45">
      <c r="A5017" s="202"/>
      <c r="B5017" s="338" t="s">
        <v>1076</v>
      </c>
      <c r="C5017" s="203" t="s">
        <v>1077</v>
      </c>
      <c r="D5017" s="418"/>
    </row>
    <row r="5018" spans="1:4">
      <c r="A5018" s="201" t="s">
        <v>5205</v>
      </c>
      <c r="B5018" s="187" t="s">
        <v>5138</v>
      </c>
      <c r="C5018" s="197"/>
      <c r="D5018" s="418"/>
    </row>
    <row r="5019" spans="1:4" ht="14.45">
      <c r="A5019" s="202"/>
      <c r="B5019" s="338" t="s">
        <v>1076</v>
      </c>
      <c r="C5019" s="203" t="s">
        <v>1077</v>
      </c>
      <c r="D5019" s="418"/>
    </row>
    <row r="5020" spans="1:4">
      <c r="A5020" s="201" t="s">
        <v>5206</v>
      </c>
      <c r="B5020" s="187" t="s">
        <v>5207</v>
      </c>
      <c r="C5020" s="197"/>
      <c r="D5020" s="418"/>
    </row>
    <row r="5021" spans="1:4" ht="14.45">
      <c r="A5021" s="202"/>
      <c r="B5021" s="338" t="s">
        <v>1076</v>
      </c>
      <c r="C5021" s="203" t="s">
        <v>1077</v>
      </c>
      <c r="D5021" s="418"/>
    </row>
    <row r="5022" spans="1:4">
      <c r="A5022" s="201" t="s">
        <v>5208</v>
      </c>
      <c r="B5022" s="187" t="s">
        <v>5182</v>
      </c>
      <c r="C5022" s="197"/>
      <c r="D5022" s="418"/>
    </row>
    <row r="5023" spans="1:4" ht="14.45">
      <c r="A5023" s="206"/>
      <c r="B5023" s="338" t="s">
        <v>1076</v>
      </c>
      <c r="C5023" s="203" t="s">
        <v>1077</v>
      </c>
      <c r="D5023" s="418"/>
    </row>
    <row r="5024" spans="1:4" ht="15.6">
      <c r="A5024" s="204" t="s">
        <v>5209</v>
      </c>
      <c r="B5024" s="205" t="s">
        <v>5210</v>
      </c>
      <c r="C5024" s="475"/>
      <c r="D5024" s="418"/>
    </row>
    <row r="5025" spans="1:4">
      <c r="A5025" s="201" t="s">
        <v>5211</v>
      </c>
      <c r="B5025" s="187" t="s">
        <v>5134</v>
      </c>
      <c r="C5025" s="197"/>
      <c r="D5025" s="418"/>
    </row>
    <row r="5026" spans="1:4" ht="14.45">
      <c r="A5026" s="202"/>
      <c r="B5026" s="338" t="s">
        <v>1076</v>
      </c>
      <c r="C5026" s="203" t="s">
        <v>1077</v>
      </c>
      <c r="D5026" s="418"/>
    </row>
    <row r="5027" spans="1:4">
      <c r="A5027" s="201" t="s">
        <v>5212</v>
      </c>
      <c r="B5027" s="187" t="s">
        <v>5136</v>
      </c>
      <c r="C5027" s="197"/>
      <c r="D5027" s="418"/>
    </row>
    <row r="5028" spans="1:4" ht="14.45">
      <c r="A5028" s="202"/>
      <c r="B5028" s="338" t="s">
        <v>1076</v>
      </c>
      <c r="C5028" s="203" t="s">
        <v>1077</v>
      </c>
      <c r="D5028" s="418"/>
    </row>
    <row r="5029" spans="1:4">
      <c r="A5029" s="201" t="s">
        <v>5213</v>
      </c>
      <c r="B5029" s="187" t="s">
        <v>5138</v>
      </c>
      <c r="C5029" s="197"/>
      <c r="D5029" s="418"/>
    </row>
    <row r="5030" spans="1:4" ht="14.45">
      <c r="A5030" s="202"/>
      <c r="B5030" s="338" t="s">
        <v>1076</v>
      </c>
      <c r="C5030" s="203" t="s">
        <v>1077</v>
      </c>
      <c r="D5030" s="418"/>
    </row>
    <row r="5031" spans="1:4">
      <c r="A5031" s="201" t="s">
        <v>5214</v>
      </c>
      <c r="B5031" s="187" t="s">
        <v>5207</v>
      </c>
      <c r="C5031" s="197"/>
      <c r="D5031" s="418"/>
    </row>
    <row r="5032" spans="1:4" ht="14.45">
      <c r="A5032" s="206"/>
      <c r="B5032" s="338" t="s">
        <v>1076</v>
      </c>
      <c r="C5032" s="203" t="s">
        <v>1077</v>
      </c>
      <c r="D5032" s="418"/>
    </row>
    <row r="5033" spans="1:4">
      <c r="A5033" s="201" t="s">
        <v>5215</v>
      </c>
      <c r="B5033" s="187" t="s">
        <v>5182</v>
      </c>
      <c r="C5033" s="197"/>
      <c r="D5033" s="418"/>
    </row>
    <row r="5034" spans="1:4" ht="14.45">
      <c r="A5034" s="206"/>
      <c r="B5034" s="338" t="s">
        <v>1076</v>
      </c>
      <c r="C5034" s="203" t="s">
        <v>1077</v>
      </c>
      <c r="D5034" s="418"/>
    </row>
    <row r="5035" spans="1:4">
      <c r="A5035" s="22" t="s">
        <v>5216</v>
      </c>
      <c r="B5035" s="59" t="s">
        <v>5217</v>
      </c>
      <c r="C5035" s="45"/>
      <c r="D5035" s="455"/>
    </row>
    <row r="5036" spans="1:4" ht="52.9">
      <c r="A5036" s="209"/>
      <c r="B5036" s="338" t="s">
        <v>5218</v>
      </c>
      <c r="C5036" s="198"/>
      <c r="D5036" s="449"/>
    </row>
    <row r="5037" spans="1:4" ht="15.6">
      <c r="A5037" s="204" t="s">
        <v>5219</v>
      </c>
      <c r="B5037" s="205" t="s">
        <v>5220</v>
      </c>
      <c r="C5037" s="475"/>
      <c r="D5037" s="449"/>
    </row>
    <row r="5038" spans="1:4" ht="13.9">
      <c r="A5038" s="201" t="s">
        <v>5221</v>
      </c>
      <c r="B5038" s="187" t="s">
        <v>5222</v>
      </c>
      <c r="C5038" s="197"/>
      <c r="D5038" s="449"/>
    </row>
    <row r="5039" spans="1:4" ht="14.45">
      <c r="A5039" s="202"/>
      <c r="B5039" s="338" t="s">
        <v>5035</v>
      </c>
      <c r="C5039" s="203" t="s">
        <v>1029</v>
      </c>
      <c r="D5039" s="449"/>
    </row>
    <row r="5040" spans="1:4" ht="13.9">
      <c r="A5040" s="201" t="s">
        <v>5223</v>
      </c>
      <c r="B5040" s="187" t="s">
        <v>5224</v>
      </c>
      <c r="C5040" s="197"/>
      <c r="D5040" s="449"/>
    </row>
    <row r="5041" spans="1:4" ht="14.45">
      <c r="A5041" s="202"/>
      <c r="B5041" s="338" t="s">
        <v>5035</v>
      </c>
      <c r="C5041" s="203" t="s">
        <v>1029</v>
      </c>
      <c r="D5041" s="449"/>
    </row>
    <row r="5042" spans="1:4" ht="13.9">
      <c r="A5042" s="201" t="s">
        <v>5225</v>
      </c>
      <c r="B5042" s="187" t="s">
        <v>5226</v>
      </c>
      <c r="C5042" s="197"/>
      <c r="D5042" s="449"/>
    </row>
    <row r="5043" spans="1:4" ht="14.45">
      <c r="A5043" s="202"/>
      <c r="B5043" s="338" t="s">
        <v>5035</v>
      </c>
      <c r="C5043" s="203" t="s">
        <v>1029</v>
      </c>
      <c r="D5043" s="449"/>
    </row>
    <row r="5044" spans="1:4" ht="13.9">
      <c r="A5044" s="201" t="s">
        <v>5227</v>
      </c>
      <c r="B5044" s="187" t="s">
        <v>5228</v>
      </c>
      <c r="C5044" s="197"/>
      <c r="D5044" s="449"/>
    </row>
    <row r="5045" spans="1:4" ht="14.45">
      <c r="A5045" s="206"/>
      <c r="B5045" s="338" t="s">
        <v>5035</v>
      </c>
      <c r="C5045" s="203" t="s">
        <v>1029</v>
      </c>
      <c r="D5045" s="449"/>
    </row>
    <row r="5046" spans="1:4" ht="13.9">
      <c r="A5046" s="201" t="s">
        <v>5229</v>
      </c>
      <c r="B5046" s="187" t="s">
        <v>5230</v>
      </c>
      <c r="C5046" s="197"/>
      <c r="D5046" s="449"/>
    </row>
    <row r="5047" spans="1:4" ht="14.45">
      <c r="A5047" s="206"/>
      <c r="B5047" s="338" t="s">
        <v>5035</v>
      </c>
      <c r="C5047" s="203" t="s">
        <v>1029</v>
      </c>
      <c r="D5047" s="449"/>
    </row>
    <row r="5048" spans="1:4" ht="15.6">
      <c r="A5048" s="204" t="s">
        <v>5231</v>
      </c>
      <c r="B5048" s="205" t="s">
        <v>5232</v>
      </c>
      <c r="C5048" s="475"/>
      <c r="D5048" s="449"/>
    </row>
    <row r="5049" spans="1:4" ht="13.9">
      <c r="A5049" s="201" t="s">
        <v>5233</v>
      </c>
      <c r="B5049" s="187" t="s">
        <v>5222</v>
      </c>
      <c r="C5049" s="197"/>
      <c r="D5049" s="449"/>
    </row>
    <row r="5050" spans="1:4" ht="14.45">
      <c r="A5050" s="202"/>
      <c r="B5050" s="338" t="s">
        <v>5035</v>
      </c>
      <c r="C5050" s="203" t="s">
        <v>1029</v>
      </c>
      <c r="D5050" s="449"/>
    </row>
    <row r="5051" spans="1:4" ht="13.9">
      <c r="A5051" s="201" t="s">
        <v>5234</v>
      </c>
      <c r="B5051" s="187" t="s">
        <v>5224</v>
      </c>
      <c r="C5051" s="197"/>
      <c r="D5051" s="449"/>
    </row>
    <row r="5052" spans="1:4" ht="14.45">
      <c r="A5052" s="202"/>
      <c r="B5052" s="338" t="s">
        <v>5035</v>
      </c>
      <c r="C5052" s="203" t="s">
        <v>1029</v>
      </c>
      <c r="D5052" s="449"/>
    </row>
    <row r="5053" spans="1:4" ht="13.9">
      <c r="A5053" s="201" t="s">
        <v>5235</v>
      </c>
      <c r="B5053" s="187" t="s">
        <v>5226</v>
      </c>
      <c r="C5053" s="197"/>
      <c r="D5053" s="449"/>
    </row>
    <row r="5054" spans="1:4" ht="14.45">
      <c r="A5054" s="202"/>
      <c r="B5054" s="338" t="s">
        <v>5035</v>
      </c>
      <c r="C5054" s="203" t="s">
        <v>1029</v>
      </c>
      <c r="D5054" s="449"/>
    </row>
    <row r="5055" spans="1:4" ht="13.9">
      <c r="A5055" s="201" t="s">
        <v>5236</v>
      </c>
      <c r="B5055" s="187" t="s">
        <v>5228</v>
      </c>
      <c r="C5055" s="197"/>
      <c r="D5055" s="449"/>
    </row>
    <row r="5056" spans="1:4" ht="14.45">
      <c r="A5056" s="202"/>
      <c r="B5056" s="338" t="s">
        <v>5035</v>
      </c>
      <c r="C5056" s="203" t="s">
        <v>1029</v>
      </c>
      <c r="D5056" s="449"/>
    </row>
    <row r="5057" spans="1:4" ht="13.9">
      <c r="A5057" s="201" t="s">
        <v>5237</v>
      </c>
      <c r="B5057" s="187" t="s">
        <v>5230</v>
      </c>
      <c r="C5057" s="197"/>
      <c r="D5057" s="449"/>
    </row>
    <row r="5058" spans="1:4" ht="14.45">
      <c r="A5058" s="206"/>
      <c r="B5058" s="338" t="s">
        <v>5035</v>
      </c>
      <c r="C5058" s="203" t="s">
        <v>1029</v>
      </c>
      <c r="D5058" s="449"/>
    </row>
    <row r="5059" spans="1:4" ht="15.6">
      <c r="A5059" s="204" t="s">
        <v>5238</v>
      </c>
      <c r="B5059" s="205" t="s">
        <v>5239</v>
      </c>
      <c r="C5059" s="475"/>
      <c r="D5059" s="449"/>
    </row>
    <row r="5060" spans="1:4" ht="13.9">
      <c r="A5060" s="201" t="s">
        <v>5240</v>
      </c>
      <c r="B5060" s="187" t="s">
        <v>5222</v>
      </c>
      <c r="C5060" s="197"/>
      <c r="D5060" s="449"/>
    </row>
    <row r="5061" spans="1:4" ht="14.45">
      <c r="A5061" s="202"/>
      <c r="B5061" s="338" t="s">
        <v>5035</v>
      </c>
      <c r="C5061" s="203" t="s">
        <v>1029</v>
      </c>
      <c r="D5061" s="449"/>
    </row>
    <row r="5062" spans="1:4" ht="13.9">
      <c r="A5062" s="201" t="s">
        <v>5241</v>
      </c>
      <c r="B5062" s="187" t="s">
        <v>5224</v>
      </c>
      <c r="C5062" s="197"/>
      <c r="D5062" s="449"/>
    </row>
    <row r="5063" spans="1:4" ht="14.45">
      <c r="A5063" s="202"/>
      <c r="B5063" s="338" t="s">
        <v>5035</v>
      </c>
      <c r="C5063" s="203" t="s">
        <v>1029</v>
      </c>
      <c r="D5063" s="449"/>
    </row>
    <row r="5064" spans="1:4" ht="13.9">
      <c r="A5064" s="201" t="s">
        <v>5242</v>
      </c>
      <c r="B5064" s="187" t="s">
        <v>5226</v>
      </c>
      <c r="C5064" s="197"/>
      <c r="D5064" s="449"/>
    </row>
    <row r="5065" spans="1:4" ht="14.45">
      <c r="A5065" s="202"/>
      <c r="B5065" s="338" t="s">
        <v>5035</v>
      </c>
      <c r="C5065" s="203" t="s">
        <v>1029</v>
      </c>
      <c r="D5065" s="449"/>
    </row>
    <row r="5066" spans="1:4" ht="13.9">
      <c r="A5066" s="201" t="s">
        <v>5243</v>
      </c>
      <c r="B5066" s="187" t="s">
        <v>5228</v>
      </c>
      <c r="C5066" s="197"/>
      <c r="D5066" s="449"/>
    </row>
    <row r="5067" spans="1:4" ht="14.45">
      <c r="A5067" s="206"/>
      <c r="B5067" s="338" t="s">
        <v>5035</v>
      </c>
      <c r="C5067" s="203" t="s">
        <v>1029</v>
      </c>
      <c r="D5067" s="449"/>
    </row>
    <row r="5068" spans="1:4" ht="13.9">
      <c r="A5068" s="201" t="s">
        <v>5244</v>
      </c>
      <c r="B5068" s="187" t="s">
        <v>5230</v>
      </c>
      <c r="C5068" s="197"/>
      <c r="D5068" s="449"/>
    </row>
    <row r="5069" spans="1:4" ht="14.45">
      <c r="A5069" s="206"/>
      <c r="B5069" s="338" t="s">
        <v>5035</v>
      </c>
      <c r="C5069" s="203" t="s">
        <v>1029</v>
      </c>
      <c r="D5069" s="449"/>
    </row>
    <row r="5070" spans="1:4" ht="15.6">
      <c r="A5070" s="204" t="s">
        <v>5245</v>
      </c>
      <c r="B5070" s="205" t="s">
        <v>5246</v>
      </c>
      <c r="C5070" s="475"/>
      <c r="D5070" s="449"/>
    </row>
    <row r="5071" spans="1:4" ht="13.9">
      <c r="A5071" s="201" t="s">
        <v>5247</v>
      </c>
      <c r="B5071" s="187" t="s">
        <v>5222</v>
      </c>
      <c r="C5071" s="197"/>
      <c r="D5071" s="449"/>
    </row>
    <row r="5072" spans="1:4" ht="14.45">
      <c r="A5072" s="202"/>
      <c r="B5072" s="338" t="s">
        <v>5035</v>
      </c>
      <c r="C5072" s="203" t="s">
        <v>1029</v>
      </c>
      <c r="D5072" s="449"/>
    </row>
    <row r="5073" spans="1:4" ht="13.9">
      <c r="A5073" s="201" t="s">
        <v>5248</v>
      </c>
      <c r="B5073" s="187" t="s">
        <v>5224</v>
      </c>
      <c r="C5073" s="197"/>
      <c r="D5073" s="449"/>
    </row>
    <row r="5074" spans="1:4" ht="14.45">
      <c r="A5074" s="202"/>
      <c r="B5074" s="338" t="s">
        <v>5035</v>
      </c>
      <c r="C5074" s="203" t="s">
        <v>1029</v>
      </c>
      <c r="D5074" s="449"/>
    </row>
    <row r="5075" spans="1:4" ht="13.9">
      <c r="A5075" s="201" t="s">
        <v>5249</v>
      </c>
      <c r="B5075" s="187" t="s">
        <v>5226</v>
      </c>
      <c r="C5075" s="197"/>
      <c r="D5075" s="449"/>
    </row>
    <row r="5076" spans="1:4" ht="14.45">
      <c r="A5076" s="202"/>
      <c r="B5076" s="338" t="s">
        <v>5035</v>
      </c>
      <c r="C5076" s="203" t="s">
        <v>1029</v>
      </c>
      <c r="D5076" s="449"/>
    </row>
    <row r="5077" spans="1:4" ht="13.9">
      <c r="A5077" s="201" t="s">
        <v>5250</v>
      </c>
      <c r="B5077" s="187" t="s">
        <v>5228</v>
      </c>
      <c r="C5077" s="197"/>
      <c r="D5077" s="449"/>
    </row>
    <row r="5078" spans="1:4" ht="14.45">
      <c r="A5078" s="206"/>
      <c r="B5078" s="338" t="s">
        <v>5035</v>
      </c>
      <c r="C5078" s="203" t="s">
        <v>1029</v>
      </c>
      <c r="D5078" s="449"/>
    </row>
    <row r="5079" spans="1:4" ht="13.9">
      <c r="A5079" s="201" t="s">
        <v>5251</v>
      </c>
      <c r="B5079" s="187" t="s">
        <v>5230</v>
      </c>
      <c r="C5079" s="197"/>
      <c r="D5079" s="449"/>
    </row>
    <row r="5080" spans="1:4" ht="14.45">
      <c r="A5080" s="206"/>
      <c r="B5080" s="338" t="s">
        <v>5035</v>
      </c>
      <c r="C5080" s="203" t="s">
        <v>1029</v>
      </c>
      <c r="D5080" s="449"/>
    </row>
    <row r="5081" spans="1:4" ht="15.6">
      <c r="A5081" s="204" t="s">
        <v>5252</v>
      </c>
      <c r="B5081" s="205" t="s">
        <v>5253</v>
      </c>
      <c r="C5081" s="475"/>
      <c r="D5081" s="449"/>
    </row>
    <row r="5082" spans="1:4" ht="13.9">
      <c r="A5082" s="201" t="s">
        <v>5254</v>
      </c>
      <c r="B5082" s="187" t="s">
        <v>5222</v>
      </c>
      <c r="C5082" s="197"/>
      <c r="D5082" s="449"/>
    </row>
    <row r="5083" spans="1:4" ht="14.45">
      <c r="A5083" s="202"/>
      <c r="B5083" s="338" t="s">
        <v>5035</v>
      </c>
      <c r="C5083" s="203" t="s">
        <v>1029</v>
      </c>
      <c r="D5083" s="449"/>
    </row>
    <row r="5084" spans="1:4" ht="13.9">
      <c r="A5084" s="201" t="s">
        <v>5255</v>
      </c>
      <c r="B5084" s="187" t="s">
        <v>5224</v>
      </c>
      <c r="C5084" s="197"/>
      <c r="D5084" s="449"/>
    </row>
    <row r="5085" spans="1:4" ht="14.45">
      <c r="A5085" s="202"/>
      <c r="B5085" s="338" t="s">
        <v>5035</v>
      </c>
      <c r="C5085" s="203" t="s">
        <v>1029</v>
      </c>
      <c r="D5085" s="449"/>
    </row>
    <row r="5086" spans="1:4" ht="13.9">
      <c r="A5086" s="201" t="s">
        <v>5256</v>
      </c>
      <c r="B5086" s="187" t="s">
        <v>5226</v>
      </c>
      <c r="C5086" s="197"/>
      <c r="D5086" s="449"/>
    </row>
    <row r="5087" spans="1:4" ht="14.45">
      <c r="A5087" s="202"/>
      <c r="B5087" s="338" t="s">
        <v>5035</v>
      </c>
      <c r="C5087" s="203" t="s">
        <v>1029</v>
      </c>
      <c r="D5087" s="449"/>
    </row>
    <row r="5088" spans="1:4" ht="13.9">
      <c r="A5088" s="201" t="s">
        <v>5257</v>
      </c>
      <c r="B5088" s="187" t="s">
        <v>5228</v>
      </c>
      <c r="C5088" s="197"/>
      <c r="D5088" s="449"/>
    </row>
    <row r="5089" spans="1:4" ht="14.45">
      <c r="A5089" s="206"/>
      <c r="B5089" s="338" t="s">
        <v>5035</v>
      </c>
      <c r="C5089" s="203" t="s">
        <v>1029</v>
      </c>
      <c r="D5089" s="449"/>
    </row>
    <row r="5090" spans="1:4" ht="13.9">
      <c r="A5090" s="201" t="s">
        <v>5258</v>
      </c>
      <c r="B5090" s="187" t="s">
        <v>5230</v>
      </c>
      <c r="C5090" s="197"/>
      <c r="D5090" s="449"/>
    </row>
    <row r="5091" spans="1:4" ht="14.45">
      <c r="A5091" s="206"/>
      <c r="B5091" s="338" t="s">
        <v>5035</v>
      </c>
      <c r="C5091" s="203" t="s">
        <v>1029</v>
      </c>
      <c r="D5091" s="449"/>
    </row>
    <row r="5092" spans="1:4" ht="15.6">
      <c r="A5092" s="204" t="s">
        <v>5259</v>
      </c>
      <c r="B5092" s="205" t="s">
        <v>5260</v>
      </c>
      <c r="C5092" s="475"/>
      <c r="D5092" s="449"/>
    </row>
    <row r="5093" spans="1:4" ht="13.9">
      <c r="A5093" s="201" t="s">
        <v>5261</v>
      </c>
      <c r="B5093" s="187" t="s">
        <v>5222</v>
      </c>
      <c r="C5093" s="197"/>
      <c r="D5093" s="449"/>
    </row>
    <row r="5094" spans="1:4" ht="14.45">
      <c r="A5094" s="202"/>
      <c r="B5094" s="338" t="s">
        <v>5035</v>
      </c>
      <c r="C5094" s="203" t="s">
        <v>1029</v>
      </c>
      <c r="D5094" s="449"/>
    </row>
    <row r="5095" spans="1:4" ht="13.9">
      <c r="A5095" s="201" t="s">
        <v>5262</v>
      </c>
      <c r="B5095" s="187" t="s">
        <v>5224</v>
      </c>
      <c r="C5095" s="197"/>
      <c r="D5095" s="449"/>
    </row>
    <row r="5096" spans="1:4" ht="14.45">
      <c r="A5096" s="202"/>
      <c r="B5096" s="338" t="s">
        <v>5035</v>
      </c>
      <c r="C5096" s="203" t="s">
        <v>1029</v>
      </c>
      <c r="D5096" s="449"/>
    </row>
    <row r="5097" spans="1:4" ht="13.9">
      <c r="A5097" s="201" t="s">
        <v>5263</v>
      </c>
      <c r="B5097" s="187" t="s">
        <v>5226</v>
      </c>
      <c r="C5097" s="197"/>
      <c r="D5097" s="449"/>
    </row>
    <row r="5098" spans="1:4" ht="14.45">
      <c r="A5098" s="202"/>
      <c r="B5098" s="338" t="s">
        <v>5035</v>
      </c>
      <c r="C5098" s="203" t="s">
        <v>1029</v>
      </c>
      <c r="D5098" s="449"/>
    </row>
    <row r="5099" spans="1:4" ht="13.9">
      <c r="A5099" s="201" t="s">
        <v>5264</v>
      </c>
      <c r="B5099" s="187" t="s">
        <v>5228</v>
      </c>
      <c r="C5099" s="197"/>
      <c r="D5099" s="449"/>
    </row>
    <row r="5100" spans="1:4" ht="14.45">
      <c r="A5100" s="202"/>
      <c r="B5100" s="338" t="s">
        <v>5035</v>
      </c>
      <c r="C5100" s="203" t="s">
        <v>1029</v>
      </c>
      <c r="D5100" s="449"/>
    </row>
    <row r="5101" spans="1:4" ht="13.9">
      <c r="A5101" s="201" t="s">
        <v>5265</v>
      </c>
      <c r="B5101" s="187" t="s">
        <v>5230</v>
      </c>
      <c r="C5101" s="197"/>
      <c r="D5101" s="449"/>
    </row>
    <row r="5102" spans="1:4" ht="14.45">
      <c r="A5102" s="206"/>
      <c r="B5102" s="338" t="s">
        <v>5035</v>
      </c>
      <c r="C5102" s="203" t="s">
        <v>1029</v>
      </c>
      <c r="D5102" s="449"/>
    </row>
    <row r="5103" spans="1:4" ht="26.45">
      <c r="A5103" s="204" t="s">
        <v>5266</v>
      </c>
      <c r="B5103" s="205" t="s">
        <v>5267</v>
      </c>
      <c r="C5103" s="475"/>
      <c r="D5103" s="449"/>
    </row>
    <row r="5104" spans="1:4" ht="13.9">
      <c r="A5104" s="201" t="s">
        <v>5268</v>
      </c>
      <c r="B5104" s="187" t="s">
        <v>5269</v>
      </c>
      <c r="C5104" s="197"/>
      <c r="D5104" s="449"/>
    </row>
    <row r="5105" spans="1:4" ht="14.45">
      <c r="A5105" s="202"/>
      <c r="B5105" s="338" t="s">
        <v>5035</v>
      </c>
      <c r="C5105" s="203" t="s">
        <v>1029</v>
      </c>
      <c r="D5105" s="449"/>
    </row>
    <row r="5106" spans="1:4" ht="13.9">
      <c r="A5106" s="201" t="s">
        <v>5270</v>
      </c>
      <c r="B5106" s="187" t="s">
        <v>5271</v>
      </c>
      <c r="C5106" s="197"/>
      <c r="D5106" s="449"/>
    </row>
    <row r="5107" spans="1:4" ht="14.45">
      <c r="A5107" s="202"/>
      <c r="B5107" s="338" t="s">
        <v>5035</v>
      </c>
      <c r="C5107" s="203" t="s">
        <v>1029</v>
      </c>
      <c r="D5107" s="449"/>
    </row>
    <row r="5108" spans="1:4" ht="13.9">
      <c r="A5108" s="201" t="s">
        <v>5272</v>
      </c>
      <c r="B5108" s="187" t="s">
        <v>5273</v>
      </c>
      <c r="C5108" s="197"/>
      <c r="D5108" s="449"/>
    </row>
    <row r="5109" spans="1:4" ht="14.45">
      <c r="A5109" s="202"/>
      <c r="B5109" s="338" t="s">
        <v>5035</v>
      </c>
      <c r="C5109" s="203" t="s">
        <v>1029</v>
      </c>
      <c r="D5109" s="449"/>
    </row>
    <row r="5110" spans="1:4" ht="13.9">
      <c r="A5110" s="201" t="s">
        <v>5274</v>
      </c>
      <c r="B5110" s="187" t="s">
        <v>5275</v>
      </c>
      <c r="C5110" s="197"/>
      <c r="D5110" s="449"/>
    </row>
    <row r="5111" spans="1:4" ht="14.45">
      <c r="A5111" s="202"/>
      <c r="B5111" s="338" t="s">
        <v>5035</v>
      </c>
      <c r="C5111" s="203" t="s">
        <v>1029</v>
      </c>
      <c r="D5111" s="449"/>
    </row>
    <row r="5112" spans="1:4" ht="13.9">
      <c r="A5112" s="201" t="s">
        <v>5276</v>
      </c>
      <c r="B5112" s="187" t="s">
        <v>5277</v>
      </c>
      <c r="C5112" s="197"/>
      <c r="D5112" s="449"/>
    </row>
    <row r="5113" spans="1:4" ht="14.45">
      <c r="A5113" s="206"/>
      <c r="B5113" s="338" t="s">
        <v>5035</v>
      </c>
      <c r="C5113" s="203" t="s">
        <v>1029</v>
      </c>
      <c r="D5113" s="449"/>
    </row>
    <row r="5114" spans="1:4">
      <c r="A5114" s="22" t="s">
        <v>5278</v>
      </c>
      <c r="B5114" s="59" t="s">
        <v>5279</v>
      </c>
      <c r="C5114" s="45"/>
      <c r="D5114" s="455"/>
    </row>
    <row r="5115" spans="1:4" ht="26.45">
      <c r="A5115" s="209"/>
      <c r="B5115" s="338" t="s">
        <v>5280</v>
      </c>
      <c r="C5115" s="198"/>
      <c r="D5115" s="449"/>
    </row>
    <row r="5116" spans="1:4" ht="30.6">
      <c r="A5116" s="204" t="s">
        <v>5281</v>
      </c>
      <c r="B5116" s="205" t="s">
        <v>5282</v>
      </c>
      <c r="C5116" s="475"/>
      <c r="D5116" s="449"/>
    </row>
    <row r="5117" spans="1:4" ht="13.9">
      <c r="A5117" s="335"/>
      <c r="B5117" s="338" t="s">
        <v>5035</v>
      </c>
      <c r="C5117" s="203" t="s">
        <v>1029</v>
      </c>
      <c r="D5117" s="449"/>
    </row>
    <row r="5118" spans="1:4" ht="30.6">
      <c r="A5118" s="204" t="s">
        <v>5283</v>
      </c>
      <c r="B5118" s="205" t="s">
        <v>5284</v>
      </c>
      <c r="C5118" s="475"/>
      <c r="D5118" s="449"/>
    </row>
    <row r="5119" spans="1:4" ht="13.9">
      <c r="A5119" s="335"/>
      <c r="B5119" s="338" t="s">
        <v>5035</v>
      </c>
      <c r="C5119" s="203" t="s">
        <v>1029</v>
      </c>
      <c r="D5119" s="449"/>
    </row>
    <row r="5120" spans="1:4" ht="30.6">
      <c r="A5120" s="204" t="s">
        <v>5285</v>
      </c>
      <c r="B5120" s="205" t="s">
        <v>5286</v>
      </c>
      <c r="C5120" s="475"/>
      <c r="D5120" s="449"/>
    </row>
    <row r="5121" spans="1:4" ht="13.9">
      <c r="A5121" s="335"/>
      <c r="B5121" s="338" t="s">
        <v>5035</v>
      </c>
      <c r="C5121" s="203" t="s">
        <v>1029</v>
      </c>
      <c r="D5121" s="449"/>
    </row>
    <row r="5122" spans="1:4">
      <c r="A5122" s="22" t="s">
        <v>5287</v>
      </c>
      <c r="B5122" s="59" t="s">
        <v>5288</v>
      </c>
      <c r="C5122" s="45"/>
      <c r="D5122" s="455"/>
    </row>
    <row r="5123" spans="1:4" ht="67.150000000000006" customHeight="1">
      <c r="A5123" s="209"/>
      <c r="B5123" s="338" t="s">
        <v>5289</v>
      </c>
      <c r="C5123" s="198"/>
      <c r="D5123" s="449"/>
    </row>
    <row r="5124" spans="1:4" ht="16.149999999999999">
      <c r="A5124" s="209"/>
      <c r="B5124" s="338" t="s">
        <v>5290</v>
      </c>
      <c r="C5124" s="198"/>
      <c r="D5124" s="449"/>
    </row>
    <row r="5125" spans="1:4" ht="26.45">
      <c r="A5125" s="209"/>
      <c r="B5125" s="339" t="s">
        <v>5291</v>
      </c>
      <c r="C5125" s="198"/>
      <c r="D5125" s="449"/>
    </row>
    <row r="5126" spans="1:4" ht="26.45">
      <c r="A5126" s="209"/>
      <c r="B5126" s="339" t="s">
        <v>5292</v>
      </c>
      <c r="C5126" s="198"/>
      <c r="D5126" s="449"/>
    </row>
    <row r="5127" spans="1:4" ht="16.149999999999999">
      <c r="A5127" s="209"/>
      <c r="B5127" s="339" t="s">
        <v>5293</v>
      </c>
      <c r="C5127" s="198"/>
      <c r="D5127" s="449"/>
    </row>
    <row r="5128" spans="1:4" ht="26.45">
      <c r="A5128" s="209"/>
      <c r="B5128" s="339" t="s">
        <v>5294</v>
      </c>
      <c r="C5128" s="198"/>
      <c r="D5128" s="449"/>
    </row>
    <row r="5129" spans="1:4" ht="16.149999999999999">
      <c r="A5129" s="209"/>
      <c r="B5129" s="339" t="s">
        <v>5295</v>
      </c>
      <c r="C5129" s="198"/>
      <c r="D5129" s="449"/>
    </row>
    <row r="5130" spans="1:4" ht="15.6">
      <c r="A5130" s="204" t="s">
        <v>5296</v>
      </c>
      <c r="B5130" s="205" t="s">
        <v>5297</v>
      </c>
      <c r="C5130" s="475"/>
      <c r="D5130" s="449"/>
    </row>
    <row r="5131" spans="1:4" ht="13.9">
      <c r="A5131" s="335"/>
      <c r="B5131" s="338" t="s">
        <v>5035</v>
      </c>
      <c r="C5131" s="203" t="s">
        <v>1029</v>
      </c>
      <c r="D5131" s="449"/>
    </row>
    <row r="5132" spans="1:4" ht="15.6">
      <c r="A5132" s="204" t="s">
        <v>5298</v>
      </c>
      <c r="B5132" s="205" t="s">
        <v>5299</v>
      </c>
      <c r="C5132" s="475"/>
      <c r="D5132" s="449"/>
    </row>
    <row r="5133" spans="1:4" ht="13.9">
      <c r="A5133" s="211" t="s">
        <v>5300</v>
      </c>
      <c r="B5133" s="212" t="s">
        <v>5301</v>
      </c>
      <c r="C5133" s="197"/>
      <c r="D5133" s="449"/>
    </row>
    <row r="5134" spans="1:4" ht="14.45">
      <c r="A5134" s="202"/>
      <c r="B5134" s="338" t="s">
        <v>5035</v>
      </c>
      <c r="C5134" s="203" t="s">
        <v>1029</v>
      </c>
      <c r="D5134" s="449"/>
    </row>
    <row r="5135" spans="1:4" ht="13.9">
      <c r="A5135" s="211" t="s">
        <v>5302</v>
      </c>
      <c r="B5135" s="212" t="s">
        <v>5303</v>
      </c>
      <c r="C5135" s="197"/>
      <c r="D5135" s="449"/>
    </row>
    <row r="5136" spans="1:4" ht="14.45">
      <c r="A5136" s="206"/>
      <c r="B5136" s="338" t="s">
        <v>5035</v>
      </c>
      <c r="C5136" s="203" t="s">
        <v>1029</v>
      </c>
      <c r="D5136" s="449"/>
    </row>
    <row r="5137" spans="1:4" ht="15.6">
      <c r="A5137" s="204" t="s">
        <v>5304</v>
      </c>
      <c r="B5137" s="205" t="s">
        <v>5305</v>
      </c>
      <c r="C5137" s="475"/>
      <c r="D5137" s="449"/>
    </row>
    <row r="5138" spans="1:4" ht="28.9">
      <c r="A5138" s="209"/>
      <c r="B5138" s="338" t="s">
        <v>5306</v>
      </c>
      <c r="C5138" s="197"/>
      <c r="D5138" s="449"/>
    </row>
    <row r="5139" spans="1:4" ht="16.149999999999999">
      <c r="A5139" s="209"/>
      <c r="B5139" s="338" t="s">
        <v>5307</v>
      </c>
      <c r="C5139" s="197"/>
      <c r="D5139" s="449"/>
    </row>
    <row r="5140" spans="1:4" ht="16.149999999999999">
      <c r="A5140" s="209"/>
      <c r="B5140" s="339" t="s">
        <v>5308</v>
      </c>
      <c r="C5140" s="197"/>
      <c r="D5140" s="449"/>
    </row>
    <row r="5141" spans="1:4" ht="16.149999999999999">
      <c r="A5141" s="209"/>
      <c r="B5141" s="339" t="s">
        <v>5309</v>
      </c>
      <c r="C5141" s="197"/>
      <c r="D5141" s="449"/>
    </row>
    <row r="5142" spans="1:4" ht="16.149999999999999">
      <c r="A5142" s="209"/>
      <c r="B5142" s="339" t="s">
        <v>5310</v>
      </c>
      <c r="C5142" s="197"/>
      <c r="D5142" s="449"/>
    </row>
    <row r="5143" spans="1:4" ht="16.149999999999999">
      <c r="A5143" s="209"/>
      <c r="B5143" s="338" t="s">
        <v>5035</v>
      </c>
      <c r="C5143" s="203" t="s">
        <v>1029</v>
      </c>
      <c r="D5143" s="449"/>
    </row>
    <row r="5144" spans="1:4" ht="15.6">
      <c r="A5144" s="204" t="s">
        <v>5311</v>
      </c>
      <c r="B5144" s="205" t="s">
        <v>5312</v>
      </c>
      <c r="C5144" s="475"/>
      <c r="D5144" s="449"/>
    </row>
    <row r="5145" spans="1:4" ht="26.45">
      <c r="A5145" s="111" t="s">
        <v>959</v>
      </c>
      <c r="B5145" s="276" t="s">
        <v>5313</v>
      </c>
      <c r="C5145" s="18" t="s">
        <v>959</v>
      </c>
      <c r="D5145" s="449"/>
    </row>
    <row r="5146" spans="1:4" ht="13.9">
      <c r="A5146" s="111" t="s">
        <v>959</v>
      </c>
      <c r="B5146" s="276" t="s">
        <v>2257</v>
      </c>
      <c r="C5146" s="18" t="s">
        <v>959</v>
      </c>
      <c r="D5146" s="449"/>
    </row>
    <row r="5147" spans="1:4" ht="13.9">
      <c r="A5147" s="111" t="s">
        <v>959</v>
      </c>
      <c r="B5147" s="113" t="s">
        <v>5314</v>
      </c>
      <c r="C5147" s="18"/>
      <c r="D5147" s="449"/>
    </row>
    <row r="5148" spans="1:4" ht="13.9">
      <c r="A5148" s="111"/>
      <c r="B5148" s="113" t="s">
        <v>5315</v>
      </c>
      <c r="C5148" s="18"/>
      <c r="D5148" s="449"/>
    </row>
    <row r="5149" spans="1:4" ht="13.9">
      <c r="A5149" s="111"/>
      <c r="B5149" s="267" t="s">
        <v>2890</v>
      </c>
      <c r="C5149" s="18" t="s">
        <v>959</v>
      </c>
      <c r="D5149" s="449"/>
    </row>
    <row r="5150" spans="1:4" ht="13.9">
      <c r="A5150" s="140"/>
      <c r="B5150" s="213" t="s">
        <v>1028</v>
      </c>
      <c r="C5150" s="109" t="s">
        <v>1029</v>
      </c>
      <c r="D5150" s="449"/>
    </row>
    <row r="5151" spans="1:4">
      <c r="A5151" s="22" t="s">
        <v>5316</v>
      </c>
      <c r="B5151" s="59" t="s">
        <v>5317</v>
      </c>
      <c r="C5151" s="45"/>
      <c r="D5151" s="455"/>
    </row>
    <row r="5152" spans="1:4" ht="15.6">
      <c r="A5152" s="204" t="s">
        <v>5318</v>
      </c>
      <c r="B5152" s="205" t="s">
        <v>5319</v>
      </c>
      <c r="C5152" s="475"/>
      <c r="D5152" s="449"/>
    </row>
    <row r="5153" spans="1:4" ht="206.65" customHeight="1">
      <c r="A5153" s="209"/>
      <c r="B5153" s="338" t="s">
        <v>5320</v>
      </c>
      <c r="C5153" s="198"/>
      <c r="D5153" s="418"/>
    </row>
    <row r="5154" spans="1:4">
      <c r="A5154" s="201" t="s">
        <v>5321</v>
      </c>
      <c r="B5154" s="187" t="s">
        <v>5322</v>
      </c>
      <c r="C5154" s="197"/>
      <c r="D5154" s="418"/>
    </row>
    <row r="5155" spans="1:4" ht="14.45">
      <c r="A5155" s="202"/>
      <c r="B5155" s="338" t="s">
        <v>998</v>
      </c>
      <c r="C5155" s="203" t="s">
        <v>999</v>
      </c>
      <c r="D5155" s="418"/>
    </row>
    <row r="5156" spans="1:4">
      <c r="A5156" s="201" t="s">
        <v>5323</v>
      </c>
      <c r="B5156" s="187" t="s">
        <v>5324</v>
      </c>
      <c r="C5156" s="197"/>
      <c r="D5156" s="418"/>
    </row>
    <row r="5157" spans="1:4" ht="14.45">
      <c r="A5157" s="202"/>
      <c r="B5157" s="338" t="s">
        <v>998</v>
      </c>
      <c r="C5157" s="203" t="s">
        <v>999</v>
      </c>
      <c r="D5157" s="418"/>
    </row>
    <row r="5158" spans="1:4">
      <c r="A5158" s="201" t="s">
        <v>5325</v>
      </c>
      <c r="B5158" s="187" t="s">
        <v>5326</v>
      </c>
      <c r="C5158" s="197"/>
      <c r="D5158" s="418"/>
    </row>
    <row r="5159" spans="1:4" ht="14.45">
      <c r="A5159" s="202"/>
      <c r="B5159" s="338" t="s">
        <v>998</v>
      </c>
      <c r="C5159" s="203" t="s">
        <v>999</v>
      </c>
      <c r="D5159" s="418"/>
    </row>
    <row r="5160" spans="1:4">
      <c r="A5160" s="201" t="s">
        <v>5327</v>
      </c>
      <c r="B5160" s="187" t="s">
        <v>5328</v>
      </c>
      <c r="C5160" s="197"/>
      <c r="D5160" s="418"/>
    </row>
    <row r="5161" spans="1:4" ht="14.45">
      <c r="A5161" s="202"/>
      <c r="B5161" s="338" t="s">
        <v>998</v>
      </c>
      <c r="C5161" s="203" t="s">
        <v>999</v>
      </c>
      <c r="D5161" s="418"/>
    </row>
    <row r="5162" spans="1:4">
      <c r="A5162" s="201" t="s">
        <v>5329</v>
      </c>
      <c r="B5162" s="187" t="s">
        <v>5330</v>
      </c>
      <c r="C5162" s="197"/>
      <c r="D5162" s="418"/>
    </row>
    <row r="5163" spans="1:4" ht="14.45">
      <c r="A5163" s="202"/>
      <c r="B5163" s="338" t="s">
        <v>998</v>
      </c>
      <c r="C5163" s="203" t="s">
        <v>999</v>
      </c>
      <c r="D5163" s="418"/>
    </row>
    <row r="5164" spans="1:4" ht="15.6">
      <c r="A5164" s="204" t="s">
        <v>5331</v>
      </c>
      <c r="B5164" s="205" t="s">
        <v>5332</v>
      </c>
      <c r="C5164" s="475"/>
      <c r="D5164" s="418"/>
    </row>
    <row r="5165" spans="1:4" ht="39.6">
      <c r="A5165" s="209"/>
      <c r="B5165" s="338" t="s">
        <v>5333</v>
      </c>
      <c r="C5165" s="197"/>
      <c r="D5165" s="418"/>
    </row>
    <row r="5166" spans="1:4" ht="16.149999999999999">
      <c r="A5166" s="209"/>
      <c r="B5166" s="338" t="s">
        <v>2394</v>
      </c>
      <c r="C5166" s="197"/>
      <c r="D5166" s="418"/>
    </row>
    <row r="5167" spans="1:4" ht="16.149999999999999">
      <c r="A5167" s="209"/>
      <c r="B5167" s="339" t="s">
        <v>5334</v>
      </c>
      <c r="C5167" s="197"/>
      <c r="D5167" s="418"/>
    </row>
    <row r="5168" spans="1:4" ht="16.149999999999999">
      <c r="A5168" s="209"/>
      <c r="B5168" s="339" t="s">
        <v>5335</v>
      </c>
      <c r="C5168" s="197"/>
      <c r="D5168" s="418"/>
    </row>
    <row r="5169" spans="1:4" ht="16.149999999999999">
      <c r="A5169" s="209"/>
      <c r="B5169" s="339" t="s">
        <v>5336</v>
      </c>
      <c r="C5169" s="197"/>
      <c r="D5169" s="418"/>
    </row>
    <row r="5170" spans="1:4" ht="16.149999999999999">
      <c r="A5170" s="209"/>
      <c r="B5170" s="339" t="s">
        <v>5337</v>
      </c>
      <c r="C5170" s="197"/>
      <c r="D5170" s="418"/>
    </row>
    <row r="5171" spans="1:4" ht="16.149999999999999">
      <c r="A5171" s="209"/>
      <c r="B5171" s="339" t="s">
        <v>5338</v>
      </c>
      <c r="C5171" s="197"/>
      <c r="D5171" s="418"/>
    </row>
    <row r="5172" spans="1:4" ht="16.149999999999999">
      <c r="A5172" s="209"/>
      <c r="B5172" s="339" t="s">
        <v>5339</v>
      </c>
      <c r="C5172" s="197"/>
      <c r="D5172" s="418"/>
    </row>
    <row r="5173" spans="1:4" ht="16.149999999999999">
      <c r="A5173" s="209"/>
      <c r="B5173" s="339" t="s">
        <v>5340</v>
      </c>
      <c r="C5173" s="197"/>
      <c r="D5173" s="418"/>
    </row>
    <row r="5174" spans="1:4" ht="16.149999999999999">
      <c r="A5174" s="209"/>
      <c r="B5174" s="339" t="s">
        <v>5341</v>
      </c>
      <c r="C5174" s="197"/>
      <c r="D5174" s="418"/>
    </row>
    <row r="5175" spans="1:4" ht="16.149999999999999">
      <c r="A5175" s="209"/>
      <c r="B5175" s="339" t="s">
        <v>5342</v>
      </c>
      <c r="C5175" s="197"/>
      <c r="D5175" s="418"/>
    </row>
    <row r="5176" spans="1:4" ht="49.9" customHeight="1">
      <c r="A5176" s="209"/>
      <c r="B5176" s="338" t="s">
        <v>5343</v>
      </c>
      <c r="C5176" s="197"/>
      <c r="D5176" s="418"/>
    </row>
    <row r="5177" spans="1:4" ht="16.149999999999999">
      <c r="A5177" s="209"/>
      <c r="B5177" s="338" t="s">
        <v>998</v>
      </c>
      <c r="C5177" s="203" t="s">
        <v>999</v>
      </c>
      <c r="D5177" s="418"/>
    </row>
    <row r="5178" spans="1:4" ht="15.6">
      <c r="A5178" s="204" t="s">
        <v>5344</v>
      </c>
      <c r="B5178" s="205" t="s">
        <v>5345</v>
      </c>
      <c r="C5178" s="475"/>
      <c r="D5178" s="418"/>
    </row>
    <row r="5179" spans="1:4" ht="26.45">
      <c r="A5179" s="209"/>
      <c r="B5179" s="338" t="s">
        <v>5346</v>
      </c>
      <c r="C5179" s="197"/>
      <c r="D5179" s="418"/>
    </row>
    <row r="5180" spans="1:4" ht="16.149999999999999">
      <c r="A5180" s="209"/>
      <c r="B5180" s="187" t="s">
        <v>5345</v>
      </c>
      <c r="C5180" s="197"/>
      <c r="D5180" s="418"/>
    </row>
    <row r="5181" spans="1:4">
      <c r="A5181" s="201" t="s">
        <v>5347</v>
      </c>
      <c r="B5181" s="187" t="s">
        <v>5348</v>
      </c>
      <c r="C5181" s="197"/>
      <c r="D5181" s="418"/>
    </row>
    <row r="5182" spans="1:4">
      <c r="A5182" s="211"/>
      <c r="B5182" s="338" t="s">
        <v>1076</v>
      </c>
      <c r="C5182" s="203" t="s">
        <v>1077</v>
      </c>
      <c r="D5182" s="418"/>
    </row>
    <row r="5183" spans="1:4">
      <c r="A5183" s="201" t="s">
        <v>5349</v>
      </c>
      <c r="B5183" s="187" t="s">
        <v>5350</v>
      </c>
      <c r="C5183" s="197"/>
      <c r="D5183" s="418"/>
    </row>
    <row r="5184" spans="1:4">
      <c r="A5184" s="211"/>
      <c r="B5184" s="338" t="s">
        <v>1076</v>
      </c>
      <c r="C5184" s="203" t="s">
        <v>1077</v>
      </c>
      <c r="D5184" s="418"/>
    </row>
    <row r="5185" spans="1:4">
      <c r="A5185" s="201" t="s">
        <v>5351</v>
      </c>
      <c r="B5185" s="187" t="s">
        <v>5352</v>
      </c>
      <c r="C5185" s="197"/>
      <c r="D5185" s="418"/>
    </row>
    <row r="5186" spans="1:4" ht="16.149999999999999">
      <c r="A5186" s="209"/>
      <c r="B5186" s="338" t="s">
        <v>1076</v>
      </c>
      <c r="C5186" s="203" t="s">
        <v>1077</v>
      </c>
      <c r="D5186" s="418"/>
    </row>
    <row r="5187" spans="1:4" ht="15.6">
      <c r="A5187" s="204" t="s">
        <v>5353</v>
      </c>
      <c r="B5187" s="205" t="s">
        <v>5354</v>
      </c>
      <c r="C5187" s="475"/>
      <c r="D5187" s="418"/>
    </row>
    <row r="5188" spans="1:4" ht="26.45">
      <c r="A5188" s="209"/>
      <c r="B5188" s="338" t="s">
        <v>5355</v>
      </c>
      <c r="C5188" s="197"/>
      <c r="D5188" s="418"/>
    </row>
    <row r="5189" spans="1:4">
      <c r="A5189" s="201" t="s">
        <v>5356</v>
      </c>
      <c r="B5189" s="187" t="s">
        <v>5357</v>
      </c>
      <c r="C5189" s="197"/>
      <c r="D5189" s="418"/>
    </row>
    <row r="5190" spans="1:4">
      <c r="A5190" s="211"/>
      <c r="B5190" s="338" t="s">
        <v>1076</v>
      </c>
      <c r="C5190" s="203" t="s">
        <v>1077</v>
      </c>
      <c r="D5190" s="418"/>
    </row>
    <row r="5191" spans="1:4">
      <c r="A5191" s="201" t="s">
        <v>5358</v>
      </c>
      <c r="B5191" s="187" t="s">
        <v>5359</v>
      </c>
      <c r="C5191" s="197"/>
      <c r="D5191" s="418"/>
    </row>
    <row r="5192" spans="1:4">
      <c r="A5192" s="211"/>
      <c r="B5192" s="338" t="s">
        <v>1076</v>
      </c>
      <c r="C5192" s="203" t="s">
        <v>1077</v>
      </c>
      <c r="D5192" s="418"/>
    </row>
    <row r="5193" spans="1:4">
      <c r="A5193" s="201" t="s">
        <v>5360</v>
      </c>
      <c r="B5193" s="187" t="s">
        <v>5361</v>
      </c>
      <c r="C5193" s="197"/>
      <c r="D5193" s="418"/>
    </row>
    <row r="5194" spans="1:4">
      <c r="A5194" s="211"/>
      <c r="B5194" s="338" t="s">
        <v>1076</v>
      </c>
      <c r="C5194" s="203" t="s">
        <v>1077</v>
      </c>
      <c r="D5194" s="418"/>
    </row>
    <row r="5195" spans="1:4">
      <c r="A5195" s="201" t="s">
        <v>5362</v>
      </c>
      <c r="B5195" s="187" t="s">
        <v>5363</v>
      </c>
      <c r="C5195" s="197"/>
      <c r="D5195" s="418"/>
    </row>
    <row r="5196" spans="1:4">
      <c r="A5196" s="211"/>
      <c r="B5196" s="338" t="s">
        <v>1076</v>
      </c>
      <c r="C5196" s="203" t="s">
        <v>1077</v>
      </c>
      <c r="D5196" s="418"/>
    </row>
    <row r="5197" spans="1:4">
      <c r="A5197" s="201" t="s">
        <v>5364</v>
      </c>
      <c r="B5197" s="187" t="s">
        <v>5365</v>
      </c>
      <c r="C5197" s="197"/>
      <c r="D5197" s="418"/>
    </row>
    <row r="5198" spans="1:4">
      <c r="A5198" s="211"/>
      <c r="B5198" s="338" t="s">
        <v>1076</v>
      </c>
      <c r="C5198" s="203" t="s">
        <v>1077</v>
      </c>
      <c r="D5198" s="418"/>
    </row>
    <row r="5199" spans="1:4">
      <c r="A5199" s="201" t="s">
        <v>5366</v>
      </c>
      <c r="B5199" s="187" t="s">
        <v>5367</v>
      </c>
      <c r="C5199" s="197"/>
      <c r="D5199" s="418"/>
    </row>
    <row r="5200" spans="1:4" ht="16.149999999999999">
      <c r="A5200" s="209"/>
      <c r="B5200" s="338" t="s">
        <v>1076</v>
      </c>
      <c r="C5200" s="203" t="s">
        <v>1077</v>
      </c>
      <c r="D5200" s="418"/>
    </row>
    <row r="5201" spans="1:4" ht="15.6">
      <c r="A5201" s="204" t="s">
        <v>5368</v>
      </c>
      <c r="B5201" s="205" t="s">
        <v>5369</v>
      </c>
      <c r="C5201" s="475"/>
      <c r="D5201" s="418"/>
    </row>
    <row r="5202" spans="1:4" ht="39.6">
      <c r="A5202" s="209"/>
      <c r="B5202" s="338" t="s">
        <v>5370</v>
      </c>
      <c r="C5202" s="197"/>
      <c r="D5202" s="418"/>
    </row>
    <row r="5203" spans="1:4" ht="16.149999999999999">
      <c r="A5203" s="209"/>
      <c r="B5203" s="338" t="s">
        <v>1076</v>
      </c>
      <c r="C5203" s="203" t="s">
        <v>1077</v>
      </c>
      <c r="D5203" s="418"/>
    </row>
    <row r="5204" spans="1:4">
      <c r="A5204" s="22" t="s">
        <v>5371</v>
      </c>
      <c r="B5204" s="59" t="s">
        <v>5372</v>
      </c>
      <c r="C5204" s="45"/>
      <c r="D5204" s="455"/>
    </row>
    <row r="5205" spans="1:4" ht="66">
      <c r="A5205" s="249"/>
      <c r="B5205" s="350" t="s">
        <v>5373</v>
      </c>
      <c r="C5205" s="476"/>
      <c r="D5205" s="456"/>
    </row>
    <row r="5206" spans="1:4" ht="16.149999999999999">
      <c r="A5206" s="250"/>
      <c r="B5206" s="351" t="s">
        <v>2679</v>
      </c>
      <c r="C5206" s="477"/>
      <c r="D5206" s="457"/>
    </row>
    <row r="5207" spans="1:4" ht="16.149999999999999">
      <c r="A5207" s="250"/>
      <c r="B5207" s="352" t="s">
        <v>5374</v>
      </c>
      <c r="C5207" s="477"/>
      <c r="D5207" s="457"/>
    </row>
    <row r="5208" spans="1:4" ht="26.45">
      <c r="A5208" s="250"/>
      <c r="B5208" s="352" t="s">
        <v>5375</v>
      </c>
      <c r="C5208" s="477"/>
      <c r="D5208" s="457"/>
    </row>
    <row r="5209" spans="1:4" ht="15.6">
      <c r="A5209" s="204" t="s">
        <v>5376</v>
      </c>
      <c r="B5209" s="205" t="s">
        <v>5377</v>
      </c>
      <c r="C5209" s="475"/>
      <c r="D5209" s="449"/>
    </row>
    <row r="5210" spans="1:4" ht="13.9">
      <c r="A5210" s="201" t="s">
        <v>5378</v>
      </c>
      <c r="B5210" s="187" t="s">
        <v>5379</v>
      </c>
      <c r="C5210" s="197"/>
      <c r="D5210" s="449"/>
    </row>
    <row r="5211" spans="1:4" ht="14.45">
      <c r="A5211" s="202"/>
      <c r="B5211" s="338" t="s">
        <v>1231</v>
      </c>
      <c r="C5211" s="203" t="s">
        <v>1262</v>
      </c>
      <c r="D5211" s="449"/>
    </row>
    <row r="5212" spans="1:4" ht="13.9">
      <c r="A5212" s="201" t="s">
        <v>5380</v>
      </c>
      <c r="B5212" s="187" t="s">
        <v>5381</v>
      </c>
      <c r="C5212" s="197"/>
      <c r="D5212" s="449"/>
    </row>
    <row r="5213" spans="1:4" ht="14.45">
      <c r="A5213" s="202"/>
      <c r="B5213" s="338" t="s">
        <v>1231</v>
      </c>
      <c r="C5213" s="203" t="s">
        <v>1262</v>
      </c>
      <c r="D5213" s="449"/>
    </row>
    <row r="5214" spans="1:4" ht="13.9">
      <c r="A5214" s="201" t="s">
        <v>5382</v>
      </c>
      <c r="B5214" s="187" t="s">
        <v>5383</v>
      </c>
      <c r="C5214" s="197"/>
      <c r="D5214" s="449"/>
    </row>
    <row r="5215" spans="1:4" ht="14.45">
      <c r="A5215" s="202"/>
      <c r="B5215" s="338" t="s">
        <v>1231</v>
      </c>
      <c r="C5215" s="203" t="s">
        <v>1262</v>
      </c>
      <c r="D5215" s="449"/>
    </row>
    <row r="5216" spans="1:4" ht="13.9">
      <c r="A5216" s="204" t="s">
        <v>5384</v>
      </c>
      <c r="B5216" s="205" t="s">
        <v>5385</v>
      </c>
      <c r="C5216" s="204"/>
      <c r="D5216" s="449"/>
    </row>
    <row r="5217" spans="1:4" ht="13.9">
      <c r="A5217" s="201" t="s">
        <v>5386</v>
      </c>
      <c r="B5217" s="187" t="s">
        <v>5379</v>
      </c>
      <c r="C5217" s="197"/>
      <c r="D5217" s="449"/>
    </row>
    <row r="5218" spans="1:4" ht="14.45">
      <c r="A5218" s="206"/>
      <c r="B5218" s="338" t="s">
        <v>1231</v>
      </c>
      <c r="C5218" s="203" t="s">
        <v>1262</v>
      </c>
      <c r="D5218" s="449"/>
    </row>
    <row r="5219" spans="1:4" ht="13.9">
      <c r="A5219" s="201" t="s">
        <v>5387</v>
      </c>
      <c r="B5219" s="187" t="s">
        <v>5381</v>
      </c>
      <c r="C5219" s="197"/>
      <c r="D5219" s="449"/>
    </row>
    <row r="5220" spans="1:4" ht="13.9">
      <c r="A5220" s="201"/>
      <c r="B5220" s="338" t="s">
        <v>1231</v>
      </c>
      <c r="C5220" s="203" t="s">
        <v>1262</v>
      </c>
      <c r="D5220" s="449"/>
    </row>
    <row r="5221" spans="1:4" ht="13.9">
      <c r="A5221" s="201" t="s">
        <v>5388</v>
      </c>
      <c r="B5221" s="187" t="s">
        <v>5383</v>
      </c>
      <c r="C5221" s="197"/>
      <c r="D5221" s="449"/>
    </row>
    <row r="5222" spans="1:4" ht="14.45">
      <c r="A5222" s="214"/>
      <c r="B5222" s="342" t="s">
        <v>1231</v>
      </c>
      <c r="C5222" s="203" t="s">
        <v>1262</v>
      </c>
      <c r="D5222" s="449"/>
    </row>
    <row r="5223" spans="1:4">
      <c r="A5223" s="22" t="s">
        <v>5389</v>
      </c>
      <c r="B5223" s="59" t="s">
        <v>5390</v>
      </c>
      <c r="C5223" s="45"/>
      <c r="D5223" s="455"/>
    </row>
    <row r="5224" spans="1:4" ht="26.45">
      <c r="A5224" s="249"/>
      <c r="B5224" s="350" t="s">
        <v>5391</v>
      </c>
      <c r="C5224" s="476"/>
      <c r="D5224" s="456"/>
    </row>
    <row r="5225" spans="1:4" ht="16.149999999999999">
      <c r="A5225" s="250"/>
      <c r="B5225" s="351" t="s">
        <v>2104</v>
      </c>
      <c r="C5225" s="477"/>
      <c r="D5225" s="457"/>
    </row>
    <row r="5226" spans="1:4">
      <c r="A5226" s="25" t="s">
        <v>959</v>
      </c>
      <c r="B5226" s="309" t="s">
        <v>1542</v>
      </c>
      <c r="C5226" s="21" t="s">
        <v>959</v>
      </c>
      <c r="D5226" s="428"/>
    </row>
    <row r="5227" spans="1:4" ht="26.45">
      <c r="A5227" s="250"/>
      <c r="B5227" s="352" t="s">
        <v>5392</v>
      </c>
      <c r="C5227" s="477"/>
      <c r="D5227" s="457"/>
    </row>
    <row r="5228" spans="1:4" ht="16.149999999999999">
      <c r="A5228" s="250"/>
      <c r="B5228" s="352" t="s">
        <v>5393</v>
      </c>
      <c r="C5228" s="477"/>
      <c r="D5228" s="457"/>
    </row>
    <row r="5229" spans="1:4" ht="16.149999999999999">
      <c r="A5229" s="251"/>
      <c r="B5229" s="353" t="s">
        <v>1231</v>
      </c>
      <c r="C5229" s="215" t="s">
        <v>1262</v>
      </c>
      <c r="D5229" s="457"/>
    </row>
    <row r="5230" spans="1:4" ht="13.9">
      <c r="A5230" s="86" t="s">
        <v>5394</v>
      </c>
      <c r="B5230" s="87" t="s">
        <v>5395</v>
      </c>
      <c r="C5230" s="88" t="s">
        <v>959</v>
      </c>
      <c r="D5230" s="458"/>
    </row>
    <row r="5231" spans="1:4">
      <c r="A5231" s="22" t="s">
        <v>5396</v>
      </c>
      <c r="B5231" s="23" t="s">
        <v>5397</v>
      </c>
      <c r="C5231" s="24"/>
      <c r="D5231" s="255"/>
    </row>
    <row r="5232" spans="1:4" ht="26.45">
      <c r="A5232" s="111" t="s">
        <v>959</v>
      </c>
      <c r="B5232" s="267" t="s">
        <v>5398</v>
      </c>
      <c r="C5232" s="18" t="s">
        <v>959</v>
      </c>
      <c r="D5232" s="418"/>
    </row>
    <row r="5233" spans="1:4">
      <c r="A5233" s="111" t="s">
        <v>959</v>
      </c>
      <c r="B5233" s="267" t="s">
        <v>961</v>
      </c>
      <c r="C5233" s="18" t="s">
        <v>959</v>
      </c>
      <c r="D5233" s="418"/>
    </row>
    <row r="5234" spans="1:4">
      <c r="A5234" s="111" t="s">
        <v>959</v>
      </c>
      <c r="B5234" s="267" t="s">
        <v>1542</v>
      </c>
      <c r="C5234" s="18" t="s">
        <v>959</v>
      </c>
      <c r="D5234" s="418"/>
    </row>
    <row r="5235" spans="1:4">
      <c r="A5235" s="111" t="s">
        <v>959</v>
      </c>
      <c r="B5235" s="267" t="s">
        <v>3864</v>
      </c>
      <c r="C5235" s="18" t="s">
        <v>959</v>
      </c>
      <c r="D5235" s="418"/>
    </row>
    <row r="5236" spans="1:4" ht="26.45">
      <c r="A5236" s="111" t="s">
        <v>959</v>
      </c>
      <c r="B5236" s="267" t="s">
        <v>5399</v>
      </c>
      <c r="C5236" s="18" t="s">
        <v>959</v>
      </c>
      <c r="D5236" s="418"/>
    </row>
    <row r="5237" spans="1:4" ht="26.45">
      <c r="A5237" s="111" t="s">
        <v>959</v>
      </c>
      <c r="B5237" s="267" t="s">
        <v>5400</v>
      </c>
      <c r="C5237" s="18" t="s">
        <v>959</v>
      </c>
      <c r="D5237" s="418"/>
    </row>
    <row r="5238" spans="1:4" ht="26.45">
      <c r="A5238" s="111" t="s">
        <v>959</v>
      </c>
      <c r="B5238" s="267" t="s">
        <v>5401</v>
      </c>
      <c r="C5238" s="18" t="s">
        <v>959</v>
      </c>
      <c r="D5238" s="418"/>
    </row>
    <row r="5239" spans="1:4" ht="39.6">
      <c r="A5239" s="111" t="s">
        <v>959</v>
      </c>
      <c r="B5239" s="267" t="s">
        <v>5402</v>
      </c>
      <c r="C5239" s="18" t="s">
        <v>959</v>
      </c>
      <c r="D5239" s="418"/>
    </row>
    <row r="5240" spans="1:4" ht="26.45">
      <c r="A5240" s="111" t="s">
        <v>959</v>
      </c>
      <c r="B5240" s="267" t="s">
        <v>5403</v>
      </c>
      <c r="C5240" s="18" t="s">
        <v>959</v>
      </c>
      <c r="D5240" s="418"/>
    </row>
    <row r="5241" spans="1:4">
      <c r="A5241" s="30" t="s">
        <v>5404</v>
      </c>
      <c r="B5241" s="31" t="s">
        <v>5405</v>
      </c>
      <c r="C5241" s="18"/>
      <c r="D5241" s="418"/>
    </row>
    <row r="5242" spans="1:4">
      <c r="A5242" s="55"/>
      <c r="B5242" s="267" t="s">
        <v>998</v>
      </c>
      <c r="C5242" s="18" t="s">
        <v>999</v>
      </c>
      <c r="D5242" s="418"/>
    </row>
    <row r="5243" spans="1:4" ht="26.45">
      <c r="A5243" s="30" t="s">
        <v>5406</v>
      </c>
      <c r="B5243" s="31" t="s">
        <v>5407</v>
      </c>
      <c r="C5243" s="18"/>
      <c r="D5243" s="418"/>
    </row>
    <row r="5244" spans="1:4">
      <c r="A5244" s="55"/>
      <c r="B5244" s="267" t="s">
        <v>998</v>
      </c>
      <c r="C5244" s="18" t="s">
        <v>999</v>
      </c>
      <c r="D5244" s="418"/>
    </row>
    <row r="5245" spans="1:4" ht="26.45">
      <c r="A5245" s="30" t="s">
        <v>5408</v>
      </c>
      <c r="B5245" s="31" t="s">
        <v>5409</v>
      </c>
      <c r="C5245" s="18"/>
      <c r="D5245" s="418"/>
    </row>
    <row r="5246" spans="1:4">
      <c r="A5246" s="55"/>
      <c r="B5246" s="267" t="s">
        <v>998</v>
      </c>
      <c r="C5246" s="18" t="s">
        <v>999</v>
      </c>
      <c r="D5246" s="418"/>
    </row>
    <row r="5247" spans="1:4">
      <c r="A5247" s="30" t="s">
        <v>5410</v>
      </c>
      <c r="B5247" s="31" t="s">
        <v>5411</v>
      </c>
      <c r="C5247" s="18"/>
      <c r="D5247" s="418"/>
    </row>
    <row r="5248" spans="1:4">
      <c r="A5248" s="55"/>
      <c r="B5248" s="267" t="s">
        <v>1056</v>
      </c>
      <c r="C5248" s="18" t="s">
        <v>1057</v>
      </c>
      <c r="D5248" s="418"/>
    </row>
    <row r="5249" spans="1:4">
      <c r="A5249" s="30" t="s">
        <v>5412</v>
      </c>
      <c r="B5249" s="31" t="s">
        <v>5413</v>
      </c>
      <c r="C5249" s="18"/>
      <c r="D5249" s="418"/>
    </row>
    <row r="5250" spans="1:4">
      <c r="A5250" s="55"/>
      <c r="B5250" s="267" t="s">
        <v>1056</v>
      </c>
      <c r="C5250" s="18" t="s">
        <v>1057</v>
      </c>
      <c r="D5250" s="418"/>
    </row>
    <row r="5251" spans="1:4">
      <c r="A5251" s="30" t="s">
        <v>5414</v>
      </c>
      <c r="B5251" s="31" t="s">
        <v>5415</v>
      </c>
      <c r="C5251" s="18"/>
      <c r="D5251" s="418"/>
    </row>
    <row r="5252" spans="1:4">
      <c r="A5252" s="286"/>
      <c r="B5252" s="267" t="s">
        <v>1056</v>
      </c>
      <c r="C5252" s="18" t="s">
        <v>1057</v>
      </c>
      <c r="D5252" s="418"/>
    </row>
    <row r="5253" spans="1:4">
      <c r="A5253" s="30" t="s">
        <v>5416</v>
      </c>
      <c r="B5253" s="31" t="s">
        <v>5417</v>
      </c>
      <c r="C5253" s="18"/>
      <c r="D5253" s="418"/>
    </row>
    <row r="5254" spans="1:4">
      <c r="A5254" s="55"/>
      <c r="B5254" s="267" t="s">
        <v>3889</v>
      </c>
      <c r="C5254" s="18" t="s">
        <v>3890</v>
      </c>
      <c r="D5254" s="418"/>
    </row>
    <row r="5255" spans="1:4">
      <c r="A5255" s="30" t="s">
        <v>5418</v>
      </c>
      <c r="B5255" s="31" t="s">
        <v>5419</v>
      </c>
      <c r="C5255" s="18"/>
      <c r="D5255" s="418"/>
    </row>
    <row r="5256" spans="1:4">
      <c r="A5256" s="55"/>
      <c r="B5256" s="267" t="s">
        <v>3889</v>
      </c>
      <c r="C5256" s="18" t="s">
        <v>3890</v>
      </c>
      <c r="D5256" s="418"/>
    </row>
    <row r="5257" spans="1:4">
      <c r="A5257" s="30" t="s">
        <v>5420</v>
      </c>
      <c r="B5257" s="31" t="s">
        <v>5421</v>
      </c>
      <c r="C5257" s="18"/>
      <c r="D5257" s="418"/>
    </row>
    <row r="5258" spans="1:4">
      <c r="A5258" s="55"/>
      <c r="B5258" s="267" t="s">
        <v>3889</v>
      </c>
      <c r="C5258" s="18" t="s">
        <v>3890</v>
      </c>
      <c r="D5258" s="418"/>
    </row>
    <row r="5259" spans="1:4">
      <c r="A5259" s="30" t="s">
        <v>5422</v>
      </c>
      <c r="B5259" s="31" t="s">
        <v>5423</v>
      </c>
      <c r="C5259" s="18"/>
      <c r="D5259" s="418"/>
    </row>
    <row r="5260" spans="1:4" ht="26.45">
      <c r="A5260" s="30"/>
      <c r="B5260" s="267" t="s">
        <v>5424</v>
      </c>
      <c r="C5260" s="18"/>
      <c r="D5260" s="418"/>
    </row>
    <row r="5261" spans="1:4" ht="26.45">
      <c r="A5261" s="30"/>
      <c r="B5261" s="267" t="s">
        <v>5174</v>
      </c>
      <c r="C5261" s="18"/>
      <c r="D5261" s="418"/>
    </row>
    <row r="5262" spans="1:4">
      <c r="A5262" s="55" t="s">
        <v>5425</v>
      </c>
      <c r="B5262" s="77" t="s">
        <v>5426</v>
      </c>
      <c r="C5262" s="18"/>
      <c r="D5262" s="418"/>
    </row>
    <row r="5263" spans="1:4">
      <c r="A5263" s="30"/>
      <c r="B5263" s="267" t="s">
        <v>1076</v>
      </c>
      <c r="C5263" s="18" t="s">
        <v>1077</v>
      </c>
      <c r="D5263" s="418"/>
    </row>
    <row r="5264" spans="1:4">
      <c r="A5264" s="55" t="s">
        <v>5427</v>
      </c>
      <c r="B5264" s="77" t="s">
        <v>5428</v>
      </c>
      <c r="C5264" s="18"/>
      <c r="D5264" s="418"/>
    </row>
    <row r="5265" spans="1:4">
      <c r="A5265" s="30"/>
      <c r="B5265" s="267" t="s">
        <v>1076</v>
      </c>
      <c r="C5265" s="18" t="s">
        <v>1077</v>
      </c>
      <c r="D5265" s="418"/>
    </row>
    <row r="5266" spans="1:4">
      <c r="A5266" s="55" t="s">
        <v>5429</v>
      </c>
      <c r="B5266" s="77" t="s">
        <v>5430</v>
      </c>
      <c r="C5266" s="18"/>
      <c r="D5266" s="418"/>
    </row>
    <row r="5267" spans="1:4">
      <c r="A5267" s="30"/>
      <c r="B5267" s="267" t="s">
        <v>1076</v>
      </c>
      <c r="C5267" s="18" t="s">
        <v>1077</v>
      </c>
      <c r="D5267" s="418"/>
    </row>
    <row r="5268" spans="1:4">
      <c r="A5268" s="43" t="s">
        <v>5431</v>
      </c>
      <c r="B5268" s="44" t="s">
        <v>5432</v>
      </c>
      <c r="C5268" s="24"/>
      <c r="D5268" s="255"/>
    </row>
    <row r="5269" spans="1:4" ht="79.150000000000006">
      <c r="A5269" s="55"/>
      <c r="B5269" s="267" t="s">
        <v>5433</v>
      </c>
      <c r="C5269" s="18"/>
      <c r="D5269" s="418"/>
    </row>
    <row r="5270" spans="1:4" ht="39.6">
      <c r="A5270" s="55"/>
      <c r="B5270" s="267" t="s">
        <v>5434</v>
      </c>
      <c r="C5270" s="18"/>
      <c r="D5270" s="418"/>
    </row>
    <row r="5271" spans="1:4">
      <c r="A5271" s="55"/>
      <c r="B5271" s="267" t="s">
        <v>5435</v>
      </c>
      <c r="C5271" s="18"/>
      <c r="D5271" s="418"/>
    </row>
    <row r="5272" spans="1:4" ht="39.6">
      <c r="A5272" s="55"/>
      <c r="B5272" s="267" t="s">
        <v>5436</v>
      </c>
      <c r="C5272" s="18"/>
      <c r="D5272" s="418"/>
    </row>
    <row r="5273" spans="1:4" ht="26.45">
      <c r="A5273" s="55"/>
      <c r="B5273" s="267" t="s">
        <v>5437</v>
      </c>
      <c r="C5273" s="18"/>
      <c r="D5273" s="418"/>
    </row>
    <row r="5274" spans="1:4" ht="26.45">
      <c r="A5274" s="148"/>
      <c r="B5274" s="303" t="s">
        <v>5438</v>
      </c>
      <c r="C5274" s="109"/>
      <c r="D5274" s="421"/>
    </row>
    <row r="5275" spans="1:4" ht="26.45">
      <c r="A5275" s="55"/>
      <c r="B5275" s="267" t="s">
        <v>5439</v>
      </c>
      <c r="C5275" s="18"/>
      <c r="D5275" s="418"/>
    </row>
    <row r="5276" spans="1:4" ht="26.45">
      <c r="A5276" s="55"/>
      <c r="B5276" s="267" t="s">
        <v>5440</v>
      </c>
      <c r="C5276" s="18"/>
      <c r="D5276" s="418"/>
    </row>
    <row r="5277" spans="1:4" ht="26.45">
      <c r="A5277" s="55"/>
      <c r="B5277" s="267" t="s">
        <v>5441</v>
      </c>
      <c r="C5277" s="18"/>
      <c r="D5277" s="418"/>
    </row>
    <row r="5278" spans="1:4" ht="26.45">
      <c r="A5278" s="55"/>
      <c r="B5278" s="267" t="s">
        <v>5442</v>
      </c>
      <c r="C5278" s="18"/>
      <c r="D5278" s="418"/>
    </row>
    <row r="5279" spans="1:4">
      <c r="A5279" s="55"/>
      <c r="B5279" s="267" t="s">
        <v>5443</v>
      </c>
      <c r="C5279" s="18"/>
      <c r="D5279" s="418"/>
    </row>
    <row r="5280" spans="1:4">
      <c r="A5280" s="30" t="s">
        <v>5444</v>
      </c>
      <c r="B5280" s="31" t="s">
        <v>5445</v>
      </c>
      <c r="C5280" s="18"/>
      <c r="D5280" s="418"/>
    </row>
    <row r="5281" spans="1:4">
      <c r="A5281" s="111"/>
      <c r="B5281" s="267" t="s">
        <v>1231</v>
      </c>
      <c r="C5281" s="18" t="s">
        <v>1262</v>
      </c>
      <c r="D5281" s="418"/>
    </row>
    <row r="5282" spans="1:4">
      <c r="A5282" s="30" t="s">
        <v>5446</v>
      </c>
      <c r="B5282" s="31" t="s">
        <v>5447</v>
      </c>
      <c r="C5282" s="18"/>
      <c r="D5282" s="418"/>
    </row>
    <row r="5283" spans="1:4">
      <c r="A5283" s="111"/>
      <c r="B5283" s="267" t="s">
        <v>1231</v>
      </c>
      <c r="C5283" s="18" t="s">
        <v>1262</v>
      </c>
      <c r="D5283" s="418"/>
    </row>
    <row r="5284" spans="1:4">
      <c r="A5284" s="43" t="s">
        <v>5448</v>
      </c>
      <c r="B5284" s="44" t="s">
        <v>5449</v>
      </c>
      <c r="C5284" s="24"/>
      <c r="D5284" s="255"/>
    </row>
    <row r="5285" spans="1:4" ht="26.45">
      <c r="A5285" s="55"/>
      <c r="B5285" s="267" t="s">
        <v>5450</v>
      </c>
      <c r="C5285" s="18"/>
      <c r="D5285" s="418"/>
    </row>
    <row r="5286" spans="1:4">
      <c r="A5286" s="55"/>
      <c r="B5286" s="267" t="s">
        <v>2679</v>
      </c>
      <c r="C5286" s="18"/>
      <c r="D5286" s="418"/>
    </row>
    <row r="5287" spans="1:4">
      <c r="A5287" s="55"/>
      <c r="B5287" s="147" t="s">
        <v>5451</v>
      </c>
      <c r="C5287" s="18"/>
      <c r="D5287" s="418"/>
    </row>
    <row r="5288" spans="1:4">
      <c r="A5288" s="55"/>
      <c r="B5288" s="147" t="s">
        <v>5452</v>
      </c>
      <c r="C5288" s="18"/>
      <c r="D5288" s="418"/>
    </row>
    <row r="5289" spans="1:4">
      <c r="A5289" s="55"/>
      <c r="B5289" s="147" t="s">
        <v>5453</v>
      </c>
      <c r="C5289" s="18"/>
      <c r="D5289" s="418"/>
    </row>
    <row r="5290" spans="1:4">
      <c r="A5290" s="30" t="s">
        <v>5454</v>
      </c>
      <c r="B5290" s="31" t="s">
        <v>5455</v>
      </c>
      <c r="C5290" s="18"/>
      <c r="D5290" s="418"/>
    </row>
    <row r="5291" spans="1:4">
      <c r="A5291" s="111"/>
      <c r="B5291" s="267" t="s">
        <v>1076</v>
      </c>
      <c r="C5291" s="18" t="s">
        <v>1077</v>
      </c>
      <c r="D5291" s="418"/>
    </row>
    <row r="5292" spans="1:4">
      <c r="A5292" s="30" t="s">
        <v>5456</v>
      </c>
      <c r="B5292" s="31" t="s">
        <v>5457</v>
      </c>
      <c r="C5292" s="18"/>
      <c r="D5292" s="418"/>
    </row>
    <row r="5293" spans="1:4">
      <c r="A5293" s="111"/>
      <c r="B5293" s="267" t="s">
        <v>1076</v>
      </c>
      <c r="C5293" s="18" t="s">
        <v>1077</v>
      </c>
      <c r="D5293" s="418"/>
    </row>
    <row r="5294" spans="1:4">
      <c r="A5294" s="30" t="s">
        <v>5458</v>
      </c>
      <c r="B5294" s="31" t="s">
        <v>5459</v>
      </c>
      <c r="C5294" s="18"/>
      <c r="D5294" s="418"/>
    </row>
    <row r="5295" spans="1:4">
      <c r="A5295" s="55"/>
      <c r="B5295" s="267" t="s">
        <v>1076</v>
      </c>
      <c r="C5295" s="18" t="s">
        <v>1077</v>
      </c>
      <c r="D5295" s="418"/>
    </row>
    <row r="5296" spans="1:4">
      <c r="A5296" s="43" t="s">
        <v>5460</v>
      </c>
      <c r="B5296" s="44" t="s">
        <v>5461</v>
      </c>
      <c r="C5296" s="24"/>
      <c r="D5296" s="255"/>
    </row>
    <row r="5297" spans="1:4" ht="26.45">
      <c r="A5297" s="55"/>
      <c r="B5297" s="267" t="s">
        <v>5462</v>
      </c>
      <c r="C5297" s="18"/>
      <c r="D5297" s="418"/>
    </row>
    <row r="5298" spans="1:4">
      <c r="A5298" s="55"/>
      <c r="B5298" s="267" t="s">
        <v>961</v>
      </c>
      <c r="C5298" s="18"/>
      <c r="D5298" s="418"/>
    </row>
    <row r="5299" spans="1:4" ht="26.45">
      <c r="A5299" s="55"/>
      <c r="B5299" s="147" t="s">
        <v>5463</v>
      </c>
      <c r="C5299" s="18"/>
      <c r="D5299" s="418"/>
    </row>
    <row r="5300" spans="1:4">
      <c r="A5300" s="55"/>
      <c r="B5300" s="147" t="s">
        <v>5464</v>
      </c>
      <c r="C5300" s="18"/>
      <c r="D5300" s="418"/>
    </row>
    <row r="5301" spans="1:4">
      <c r="A5301" s="55"/>
      <c r="B5301" s="147" t="s">
        <v>5465</v>
      </c>
      <c r="C5301" s="18"/>
      <c r="D5301" s="418"/>
    </row>
    <row r="5302" spans="1:4">
      <c r="A5302" s="55"/>
      <c r="B5302" s="147" t="s">
        <v>5466</v>
      </c>
      <c r="C5302" s="18"/>
      <c r="D5302" s="418"/>
    </row>
    <row r="5303" spans="1:4">
      <c r="A5303" s="30" t="s">
        <v>5467</v>
      </c>
      <c r="B5303" s="31" t="s">
        <v>5468</v>
      </c>
      <c r="C5303" s="18"/>
      <c r="D5303" s="418"/>
    </row>
    <row r="5304" spans="1:4">
      <c r="A5304" s="111"/>
      <c r="B5304" s="267" t="s">
        <v>1028</v>
      </c>
      <c r="C5304" s="18" t="s">
        <v>1029</v>
      </c>
      <c r="D5304" s="418"/>
    </row>
    <row r="5305" spans="1:4">
      <c r="A5305" s="30" t="s">
        <v>5469</v>
      </c>
      <c r="B5305" s="31" t="s">
        <v>5470</v>
      </c>
      <c r="C5305" s="18"/>
      <c r="D5305" s="418"/>
    </row>
    <row r="5306" spans="1:4">
      <c r="A5306" s="111"/>
      <c r="B5306" s="267" t="s">
        <v>1028</v>
      </c>
      <c r="C5306" s="18" t="s">
        <v>1029</v>
      </c>
      <c r="D5306" s="418"/>
    </row>
    <row r="5307" spans="1:4">
      <c r="A5307" s="30" t="s">
        <v>5471</v>
      </c>
      <c r="B5307" s="31" t="s">
        <v>5472</v>
      </c>
      <c r="C5307" s="18"/>
      <c r="D5307" s="418"/>
    </row>
    <row r="5308" spans="1:4">
      <c r="A5308" s="55"/>
      <c r="B5308" s="267" t="s">
        <v>1028</v>
      </c>
      <c r="C5308" s="18" t="s">
        <v>1029</v>
      </c>
      <c r="D5308" s="418"/>
    </row>
    <row r="5309" spans="1:4">
      <c r="A5309" s="22" t="s">
        <v>5473</v>
      </c>
      <c r="B5309" s="44" t="s">
        <v>5474</v>
      </c>
      <c r="C5309" s="24"/>
      <c r="D5309" s="255"/>
    </row>
    <row r="5310" spans="1:4">
      <c r="A5310" s="55"/>
      <c r="B5310" s="267" t="s">
        <v>5475</v>
      </c>
      <c r="C5310" s="18"/>
      <c r="D5310" s="418"/>
    </row>
    <row r="5311" spans="1:4" ht="26.45">
      <c r="A5311" s="55"/>
      <c r="B5311" s="267" t="s">
        <v>5476</v>
      </c>
      <c r="C5311" s="18"/>
      <c r="D5311" s="418"/>
    </row>
    <row r="5312" spans="1:4">
      <c r="A5312" s="30" t="s">
        <v>5477</v>
      </c>
      <c r="B5312" s="31" t="s">
        <v>5455</v>
      </c>
      <c r="C5312" s="18"/>
      <c r="D5312" s="418"/>
    </row>
    <row r="5313" spans="1:4">
      <c r="A5313" s="30"/>
      <c r="B5313" s="267" t="s">
        <v>1080</v>
      </c>
      <c r="C5313" s="18" t="s">
        <v>1081</v>
      </c>
      <c r="D5313" s="418"/>
    </row>
    <row r="5314" spans="1:4">
      <c r="A5314" s="30" t="s">
        <v>5478</v>
      </c>
      <c r="B5314" s="31" t="s">
        <v>5457</v>
      </c>
      <c r="C5314" s="18"/>
      <c r="D5314" s="418"/>
    </row>
    <row r="5315" spans="1:4">
      <c r="A5315" s="30"/>
      <c r="B5315" s="267" t="s">
        <v>1080</v>
      </c>
      <c r="C5315" s="18" t="s">
        <v>1081</v>
      </c>
      <c r="D5315" s="418"/>
    </row>
    <row r="5316" spans="1:4">
      <c r="A5316" s="30" t="s">
        <v>5479</v>
      </c>
      <c r="B5316" s="31" t="s">
        <v>5459</v>
      </c>
      <c r="C5316" s="18"/>
      <c r="D5316" s="418"/>
    </row>
    <row r="5317" spans="1:4">
      <c r="A5317" s="55"/>
      <c r="B5317" s="267" t="s">
        <v>1080</v>
      </c>
      <c r="C5317" s="18" t="s">
        <v>1081</v>
      </c>
      <c r="D5317" s="418"/>
    </row>
    <row r="5318" spans="1:4">
      <c r="A5318" s="22" t="s">
        <v>5480</v>
      </c>
      <c r="B5318" s="49" t="s">
        <v>5481</v>
      </c>
      <c r="C5318" s="45"/>
      <c r="D5318" s="439"/>
    </row>
    <row r="5319" spans="1:4" ht="39.6">
      <c r="A5319" s="55"/>
      <c r="B5319" s="267" t="s">
        <v>5482</v>
      </c>
      <c r="C5319" s="18"/>
      <c r="D5319" s="418"/>
    </row>
    <row r="5320" spans="1:4">
      <c r="A5320" s="30" t="s">
        <v>5483</v>
      </c>
      <c r="B5320" s="31" t="s">
        <v>5455</v>
      </c>
      <c r="C5320" s="18"/>
      <c r="D5320" s="418"/>
    </row>
    <row r="5321" spans="1:4">
      <c r="A5321" s="30"/>
      <c r="B5321" s="267" t="s">
        <v>1076</v>
      </c>
      <c r="C5321" s="18" t="s">
        <v>1077</v>
      </c>
      <c r="D5321" s="418"/>
    </row>
    <row r="5322" spans="1:4">
      <c r="A5322" s="30" t="s">
        <v>5484</v>
      </c>
      <c r="B5322" s="31" t="s">
        <v>5457</v>
      </c>
      <c r="C5322" s="18"/>
      <c r="D5322" s="418"/>
    </row>
    <row r="5323" spans="1:4">
      <c r="A5323" s="30"/>
      <c r="B5323" s="267" t="s">
        <v>1076</v>
      </c>
      <c r="C5323" s="18" t="s">
        <v>1077</v>
      </c>
      <c r="D5323" s="418"/>
    </row>
    <row r="5324" spans="1:4">
      <c r="A5324" s="30" t="s">
        <v>5485</v>
      </c>
      <c r="B5324" s="31" t="s">
        <v>5459</v>
      </c>
      <c r="C5324" s="18"/>
      <c r="D5324" s="418"/>
    </row>
    <row r="5325" spans="1:4">
      <c r="A5325" s="148"/>
      <c r="B5325" s="303" t="s">
        <v>1076</v>
      </c>
      <c r="C5325" s="109" t="s">
        <v>1077</v>
      </c>
      <c r="D5325" s="418"/>
    </row>
    <row r="5326" spans="1:4">
      <c r="A5326" s="22" t="s">
        <v>5486</v>
      </c>
      <c r="B5326" s="49" t="s">
        <v>5487</v>
      </c>
      <c r="C5326" s="45"/>
      <c r="D5326" s="439"/>
    </row>
    <row r="5327" spans="1:4" ht="52.9">
      <c r="A5327" s="55"/>
      <c r="B5327" s="267" t="s">
        <v>5488</v>
      </c>
      <c r="C5327" s="18"/>
      <c r="D5327" s="418"/>
    </row>
    <row r="5328" spans="1:4" ht="26.45">
      <c r="A5328" s="55"/>
      <c r="B5328" s="267" t="s">
        <v>5489</v>
      </c>
      <c r="C5328" s="18"/>
      <c r="D5328" s="418"/>
    </row>
    <row r="5329" spans="1:4">
      <c r="A5329" s="30" t="s">
        <v>5490</v>
      </c>
      <c r="B5329" s="31" t="s">
        <v>5491</v>
      </c>
      <c r="C5329" s="18"/>
      <c r="D5329" s="418"/>
    </row>
    <row r="5330" spans="1:4">
      <c r="A5330" s="30"/>
      <c r="B5330" s="267" t="s">
        <v>5492</v>
      </c>
      <c r="C5330" s="110" t="s">
        <v>3943</v>
      </c>
      <c r="D5330" s="418"/>
    </row>
    <row r="5331" spans="1:4">
      <c r="A5331" s="30" t="s">
        <v>5493</v>
      </c>
      <c r="B5331" s="31" t="s">
        <v>5494</v>
      </c>
      <c r="C5331" s="110"/>
      <c r="D5331" s="418"/>
    </row>
    <row r="5332" spans="1:4">
      <c r="A5332" s="30"/>
      <c r="B5332" s="267" t="s">
        <v>5492</v>
      </c>
      <c r="C5332" s="110" t="s">
        <v>3943</v>
      </c>
      <c r="D5332" s="418"/>
    </row>
    <row r="5333" spans="1:4">
      <c r="A5333" s="30" t="s">
        <v>5495</v>
      </c>
      <c r="B5333" s="31" t="s">
        <v>5496</v>
      </c>
      <c r="C5333" s="110"/>
      <c r="D5333" s="418"/>
    </row>
    <row r="5334" spans="1:4">
      <c r="A5334" s="55"/>
      <c r="B5334" s="267" t="s">
        <v>5492</v>
      </c>
      <c r="C5334" s="110" t="s">
        <v>3943</v>
      </c>
      <c r="D5334" s="418"/>
    </row>
    <row r="5335" spans="1:4">
      <c r="A5335" s="30" t="s">
        <v>5497</v>
      </c>
      <c r="B5335" s="31" t="s">
        <v>5498</v>
      </c>
      <c r="C5335" s="110"/>
      <c r="D5335" s="418"/>
    </row>
    <row r="5336" spans="1:4">
      <c r="A5336" s="148"/>
      <c r="B5336" s="303" t="s">
        <v>5492</v>
      </c>
      <c r="C5336" s="110" t="s">
        <v>3943</v>
      </c>
      <c r="D5336" s="418"/>
    </row>
    <row r="5337" spans="1:4">
      <c r="A5337" s="22" t="s">
        <v>5499</v>
      </c>
      <c r="B5337" s="50" t="s">
        <v>5500</v>
      </c>
      <c r="C5337" s="45" t="s">
        <v>959</v>
      </c>
      <c r="D5337" s="439"/>
    </row>
    <row r="5338" spans="1:4" ht="26.45">
      <c r="A5338" s="111"/>
      <c r="B5338" s="267" t="s">
        <v>5501</v>
      </c>
      <c r="C5338" s="18" t="s">
        <v>959</v>
      </c>
      <c r="D5338" s="418"/>
    </row>
    <row r="5339" spans="1:4">
      <c r="A5339" s="111" t="s">
        <v>959</v>
      </c>
      <c r="B5339" s="267" t="s">
        <v>961</v>
      </c>
      <c r="C5339" s="18" t="s">
        <v>959</v>
      </c>
      <c r="D5339" s="418"/>
    </row>
    <row r="5340" spans="1:4">
      <c r="A5340" s="111" t="s">
        <v>959</v>
      </c>
      <c r="B5340" s="267" t="s">
        <v>1542</v>
      </c>
      <c r="C5340" s="18" t="s">
        <v>959</v>
      </c>
      <c r="D5340" s="418"/>
    </row>
    <row r="5341" spans="1:4" ht="26.45">
      <c r="A5341" s="111" t="s">
        <v>959</v>
      </c>
      <c r="B5341" s="267" t="s">
        <v>5502</v>
      </c>
      <c r="C5341" s="18" t="s">
        <v>959</v>
      </c>
      <c r="D5341" s="418"/>
    </row>
    <row r="5342" spans="1:4" ht="26.45">
      <c r="A5342" s="111" t="s">
        <v>959</v>
      </c>
      <c r="B5342" s="267" t="s">
        <v>5503</v>
      </c>
      <c r="C5342" s="18" t="s">
        <v>959</v>
      </c>
      <c r="D5342" s="418"/>
    </row>
    <row r="5343" spans="1:4" ht="26.45">
      <c r="A5343" s="111" t="s">
        <v>959</v>
      </c>
      <c r="B5343" s="267" t="s">
        <v>5400</v>
      </c>
      <c r="C5343" s="18" t="s">
        <v>959</v>
      </c>
      <c r="D5343" s="418"/>
    </row>
    <row r="5344" spans="1:4" ht="26.45">
      <c r="A5344" s="111" t="s">
        <v>959</v>
      </c>
      <c r="B5344" s="267" t="s">
        <v>5504</v>
      </c>
      <c r="C5344" s="18" t="s">
        <v>959</v>
      </c>
      <c r="D5344" s="418"/>
    </row>
    <row r="5345" spans="1:4" ht="26.45">
      <c r="A5345" s="111" t="s">
        <v>959</v>
      </c>
      <c r="B5345" s="267" t="s">
        <v>5505</v>
      </c>
      <c r="C5345" s="18" t="s">
        <v>959</v>
      </c>
      <c r="D5345" s="418"/>
    </row>
    <row r="5346" spans="1:4" ht="26.45">
      <c r="A5346" s="111" t="s">
        <v>959</v>
      </c>
      <c r="B5346" s="267" t="s">
        <v>5403</v>
      </c>
      <c r="C5346" s="18" t="s">
        <v>959</v>
      </c>
      <c r="D5346" s="418"/>
    </row>
    <row r="5347" spans="1:4">
      <c r="A5347" s="30" t="s">
        <v>5506</v>
      </c>
      <c r="B5347" s="31" t="s">
        <v>5507</v>
      </c>
      <c r="C5347" s="18"/>
      <c r="D5347" s="418"/>
    </row>
    <row r="5348" spans="1:4">
      <c r="A5348" s="286"/>
      <c r="B5348" s="267" t="s">
        <v>998</v>
      </c>
      <c r="C5348" s="18" t="s">
        <v>999</v>
      </c>
      <c r="D5348" s="418"/>
    </row>
    <row r="5349" spans="1:4">
      <c r="A5349" s="30" t="s">
        <v>5508</v>
      </c>
      <c r="B5349" s="31" t="s">
        <v>5509</v>
      </c>
      <c r="C5349" s="18"/>
      <c r="D5349" s="418"/>
    </row>
    <row r="5350" spans="1:4">
      <c r="A5350" s="286"/>
      <c r="B5350" s="267" t="s">
        <v>5510</v>
      </c>
      <c r="C5350" s="110" t="s">
        <v>1077</v>
      </c>
      <c r="D5350" s="418"/>
    </row>
    <row r="5351" spans="1:4">
      <c r="A5351" s="30" t="s">
        <v>5511</v>
      </c>
      <c r="B5351" s="31" t="s">
        <v>5512</v>
      </c>
      <c r="C5351" s="110"/>
      <c r="D5351" s="418"/>
    </row>
    <row r="5352" spans="1:4">
      <c r="A5352" s="286"/>
      <c r="B5352" s="267" t="s">
        <v>1056</v>
      </c>
      <c r="C5352" s="110" t="s">
        <v>1057</v>
      </c>
      <c r="D5352" s="418"/>
    </row>
    <row r="5353" spans="1:4">
      <c r="A5353" s="30" t="s">
        <v>5513</v>
      </c>
      <c r="B5353" s="31" t="s">
        <v>5514</v>
      </c>
      <c r="C5353" s="110"/>
      <c r="D5353" s="418"/>
    </row>
    <row r="5354" spans="1:4">
      <c r="A5354" s="286"/>
      <c r="B5354" s="267" t="s">
        <v>5515</v>
      </c>
      <c r="C5354" s="110" t="s">
        <v>1081</v>
      </c>
      <c r="D5354" s="418"/>
    </row>
    <row r="5355" spans="1:4">
      <c r="A5355" s="22" t="s">
        <v>5516</v>
      </c>
      <c r="B5355" s="50" t="s">
        <v>5517</v>
      </c>
      <c r="C5355" s="45" t="s">
        <v>959</v>
      </c>
      <c r="D5355" s="439"/>
    </row>
    <row r="5356" spans="1:4">
      <c r="A5356" s="111" t="s">
        <v>959</v>
      </c>
      <c r="B5356" s="267" t="s">
        <v>5518</v>
      </c>
      <c r="C5356" s="18" t="s">
        <v>959</v>
      </c>
      <c r="D5356" s="418"/>
    </row>
    <row r="5357" spans="1:4">
      <c r="A5357" s="111" t="s">
        <v>959</v>
      </c>
      <c r="B5357" s="267" t="s">
        <v>961</v>
      </c>
      <c r="C5357" s="18" t="s">
        <v>959</v>
      </c>
      <c r="D5357" s="418"/>
    </row>
    <row r="5358" spans="1:4">
      <c r="A5358" s="111" t="s">
        <v>959</v>
      </c>
      <c r="B5358" s="267" t="s">
        <v>1542</v>
      </c>
      <c r="C5358" s="18" t="s">
        <v>959</v>
      </c>
      <c r="D5358" s="418"/>
    </row>
    <row r="5359" spans="1:4">
      <c r="A5359" s="111" t="s">
        <v>959</v>
      </c>
      <c r="B5359" s="267" t="s">
        <v>5519</v>
      </c>
      <c r="C5359" s="18" t="s">
        <v>959</v>
      </c>
      <c r="D5359" s="418"/>
    </row>
    <row r="5360" spans="1:4">
      <c r="A5360" s="30" t="s">
        <v>5520</v>
      </c>
      <c r="B5360" s="31" t="s">
        <v>5521</v>
      </c>
      <c r="C5360" s="18"/>
      <c r="D5360" s="418"/>
    </row>
    <row r="5361" spans="1:4">
      <c r="A5361" s="286"/>
      <c r="B5361" s="267" t="s">
        <v>1428</v>
      </c>
      <c r="C5361" s="18" t="s">
        <v>1429</v>
      </c>
      <c r="D5361" s="418"/>
    </row>
    <row r="5362" spans="1:4">
      <c r="A5362" s="30" t="s">
        <v>5522</v>
      </c>
      <c r="B5362" s="31" t="s">
        <v>5523</v>
      </c>
      <c r="C5362" s="18"/>
      <c r="D5362" s="418"/>
    </row>
    <row r="5363" spans="1:4">
      <c r="A5363" s="286"/>
      <c r="B5363" s="267" t="s">
        <v>1428</v>
      </c>
      <c r="C5363" s="18" t="s">
        <v>1429</v>
      </c>
      <c r="D5363" s="418"/>
    </row>
    <row r="5364" spans="1:4">
      <c r="A5364" s="30" t="s">
        <v>5524</v>
      </c>
      <c r="B5364" s="31" t="s">
        <v>5525</v>
      </c>
      <c r="C5364" s="18"/>
      <c r="D5364" s="418"/>
    </row>
    <row r="5365" spans="1:4">
      <c r="A5365" s="286"/>
      <c r="B5365" s="267" t="s">
        <v>1428</v>
      </c>
      <c r="C5365" s="18" t="s">
        <v>1429</v>
      </c>
      <c r="D5365" s="418"/>
    </row>
    <row r="5366" spans="1:4">
      <c r="A5366" s="22" t="s">
        <v>5526</v>
      </c>
      <c r="B5366" s="23" t="s">
        <v>5527</v>
      </c>
      <c r="C5366" s="24"/>
      <c r="D5366" s="255"/>
    </row>
    <row r="5367" spans="1:4" ht="39.6">
      <c r="A5367" s="111"/>
      <c r="B5367" s="267" t="s">
        <v>5528</v>
      </c>
      <c r="C5367" s="18"/>
      <c r="D5367" s="418"/>
    </row>
    <row r="5368" spans="1:4" ht="13.9">
      <c r="A5368" s="30" t="s">
        <v>5529</v>
      </c>
      <c r="B5368" s="31" t="s">
        <v>5530</v>
      </c>
      <c r="C5368" s="18"/>
      <c r="D5368" s="417"/>
    </row>
    <row r="5369" spans="1:4">
      <c r="A5369" s="111"/>
      <c r="B5369" s="267" t="s">
        <v>1028</v>
      </c>
      <c r="C5369" s="18" t="s">
        <v>1029</v>
      </c>
      <c r="D5369" s="417"/>
    </row>
    <row r="5370" spans="1:4" ht="13.9">
      <c r="A5370" s="30" t="s">
        <v>5531</v>
      </c>
      <c r="B5370" s="31" t="s">
        <v>5532</v>
      </c>
      <c r="C5370" s="18"/>
      <c r="D5370" s="417"/>
    </row>
    <row r="5371" spans="1:4">
      <c r="A5371" s="111"/>
      <c r="B5371" s="267" t="s">
        <v>1028</v>
      </c>
      <c r="C5371" s="18" t="s">
        <v>1029</v>
      </c>
      <c r="D5371" s="417"/>
    </row>
    <row r="5372" spans="1:4" ht="13.9">
      <c r="A5372" s="30" t="s">
        <v>5533</v>
      </c>
      <c r="B5372" s="31" t="s">
        <v>5534</v>
      </c>
      <c r="C5372" s="18"/>
      <c r="D5372" s="417"/>
    </row>
    <row r="5373" spans="1:4">
      <c r="A5373" s="140"/>
      <c r="B5373" s="303" t="s">
        <v>1028</v>
      </c>
      <c r="C5373" s="109" t="s">
        <v>1029</v>
      </c>
      <c r="D5373" s="417"/>
    </row>
    <row r="5374" spans="1:4" ht="13.9">
      <c r="A5374" s="60" t="s">
        <v>5535</v>
      </c>
      <c r="B5374" s="61" t="s">
        <v>5536</v>
      </c>
      <c r="C5374" s="7" t="s">
        <v>959</v>
      </c>
      <c r="D5374" s="446" t="s">
        <v>959</v>
      </c>
    </row>
    <row r="5375" spans="1:4">
      <c r="A5375" s="62" t="s">
        <v>5537</v>
      </c>
      <c r="B5375" s="23" t="s">
        <v>5538</v>
      </c>
      <c r="C5375" s="56" t="s">
        <v>959</v>
      </c>
      <c r="D5375" s="439"/>
    </row>
    <row r="5376" spans="1:4" ht="52.9">
      <c r="A5376" s="354"/>
      <c r="B5376" s="355" t="s">
        <v>5539</v>
      </c>
      <c r="C5376" s="221"/>
      <c r="D5376" s="459"/>
    </row>
    <row r="5377" spans="1:4">
      <c r="A5377" s="300"/>
      <c r="B5377" s="277" t="s">
        <v>5540</v>
      </c>
      <c r="C5377" s="18"/>
      <c r="D5377" s="460"/>
    </row>
    <row r="5378" spans="1:4">
      <c r="A5378" s="300"/>
      <c r="B5378" s="277" t="s">
        <v>5541</v>
      </c>
      <c r="C5378" s="18"/>
      <c r="D5378" s="460"/>
    </row>
    <row r="5379" spans="1:4" ht="26.45">
      <c r="A5379" s="300"/>
      <c r="B5379" s="277" t="s">
        <v>5542</v>
      </c>
      <c r="C5379" s="18"/>
      <c r="D5379" s="460"/>
    </row>
    <row r="5380" spans="1:4">
      <c r="A5380" s="300"/>
      <c r="B5380" s="277" t="s">
        <v>5543</v>
      </c>
      <c r="C5380" s="18"/>
      <c r="D5380" s="460"/>
    </row>
    <row r="5381" spans="1:4">
      <c r="A5381" s="300"/>
      <c r="B5381" s="277" t="s">
        <v>5544</v>
      </c>
      <c r="C5381" s="18"/>
      <c r="D5381" s="460"/>
    </row>
    <row r="5382" spans="1:4" ht="39.6">
      <c r="A5382" s="300"/>
      <c r="B5382" s="277" t="s">
        <v>5545</v>
      </c>
      <c r="C5382" s="18"/>
      <c r="D5382" s="460"/>
    </row>
    <row r="5383" spans="1:4">
      <c r="A5383" s="300"/>
      <c r="B5383" s="277" t="s">
        <v>5546</v>
      </c>
      <c r="C5383" s="18"/>
      <c r="D5383" s="460"/>
    </row>
    <row r="5384" spans="1:4">
      <c r="A5384" s="300"/>
      <c r="B5384" s="277" t="s">
        <v>5547</v>
      </c>
      <c r="C5384" s="18"/>
      <c r="D5384" s="460"/>
    </row>
    <row r="5385" spans="1:4">
      <c r="A5385" s="300"/>
      <c r="B5385" s="277" t="s">
        <v>5548</v>
      </c>
      <c r="C5385" s="18"/>
      <c r="D5385" s="460"/>
    </row>
    <row r="5386" spans="1:4" ht="26.45">
      <c r="A5386" s="300"/>
      <c r="B5386" s="277" t="s">
        <v>5549</v>
      </c>
      <c r="C5386" s="18"/>
      <c r="D5386" s="460"/>
    </row>
    <row r="5387" spans="1:4" ht="26.45">
      <c r="A5387" s="300"/>
      <c r="B5387" s="277" t="s">
        <v>5550</v>
      </c>
      <c r="C5387" s="18"/>
      <c r="D5387" s="460"/>
    </row>
    <row r="5388" spans="1:4" ht="26.45">
      <c r="A5388" s="300"/>
      <c r="B5388" s="277" t="s">
        <v>5551</v>
      </c>
      <c r="C5388" s="18"/>
      <c r="D5388" s="460"/>
    </row>
    <row r="5389" spans="1:4">
      <c r="A5389" s="300"/>
      <c r="B5389" s="277" t="s">
        <v>5552</v>
      </c>
      <c r="C5389" s="18"/>
      <c r="D5389" s="460"/>
    </row>
    <row r="5390" spans="1:4" ht="39.6">
      <c r="A5390" s="300"/>
      <c r="B5390" s="277" t="s">
        <v>5553</v>
      </c>
      <c r="C5390" s="18"/>
      <c r="D5390" s="460"/>
    </row>
    <row r="5391" spans="1:4">
      <c r="A5391" s="300"/>
      <c r="B5391" s="277" t="s">
        <v>5554</v>
      </c>
      <c r="C5391" s="18"/>
      <c r="D5391" s="460"/>
    </row>
    <row r="5392" spans="1:4" ht="26.45">
      <c r="A5392" s="300"/>
      <c r="B5392" s="277" t="s">
        <v>5555</v>
      </c>
      <c r="C5392" s="18"/>
      <c r="D5392" s="460"/>
    </row>
    <row r="5393" spans="1:4">
      <c r="A5393" s="300"/>
      <c r="B5393" s="356" t="s">
        <v>998</v>
      </c>
      <c r="C5393" s="21" t="s">
        <v>999</v>
      </c>
      <c r="D5393" s="460"/>
    </row>
    <row r="5394" spans="1:4">
      <c r="A5394" s="62" t="s">
        <v>5556</v>
      </c>
      <c r="B5394" s="23" t="s">
        <v>5557</v>
      </c>
      <c r="C5394" s="56" t="s">
        <v>959</v>
      </c>
      <c r="D5394" s="439"/>
    </row>
    <row r="5395" spans="1:4" ht="39.6">
      <c r="A5395" s="300"/>
      <c r="B5395" s="267" t="s">
        <v>5558</v>
      </c>
      <c r="C5395" s="18"/>
      <c r="D5395" s="460"/>
    </row>
    <row r="5396" spans="1:4">
      <c r="A5396" s="300"/>
      <c r="B5396" s="267" t="s">
        <v>5559</v>
      </c>
      <c r="C5396" s="18"/>
      <c r="D5396" s="460"/>
    </row>
    <row r="5397" spans="1:4" ht="39.6">
      <c r="A5397" s="300"/>
      <c r="B5397" s="267" t="s">
        <v>5560</v>
      </c>
      <c r="C5397" s="18"/>
      <c r="D5397" s="460"/>
    </row>
    <row r="5398" spans="1:4" ht="26.45">
      <c r="A5398" s="300"/>
      <c r="B5398" s="267" t="s">
        <v>5561</v>
      </c>
      <c r="C5398" s="18"/>
      <c r="D5398" s="460"/>
    </row>
    <row r="5399" spans="1:4" ht="26.45">
      <c r="A5399" s="300"/>
      <c r="B5399" s="267" t="s">
        <v>5550</v>
      </c>
      <c r="C5399" s="18"/>
      <c r="D5399" s="460"/>
    </row>
    <row r="5400" spans="1:4" ht="26.45">
      <c r="A5400" s="300"/>
      <c r="B5400" s="267" t="s">
        <v>5551</v>
      </c>
      <c r="C5400" s="18"/>
      <c r="D5400" s="460"/>
    </row>
    <row r="5401" spans="1:4">
      <c r="A5401" s="300"/>
      <c r="B5401" s="267" t="s">
        <v>5552</v>
      </c>
      <c r="C5401" s="18"/>
      <c r="D5401" s="460"/>
    </row>
    <row r="5402" spans="1:4" ht="39.6">
      <c r="A5402" s="300"/>
      <c r="B5402" s="267" t="s">
        <v>5553</v>
      </c>
      <c r="C5402" s="18"/>
      <c r="D5402" s="460"/>
    </row>
    <row r="5403" spans="1:4">
      <c r="A5403" s="300"/>
      <c r="B5403" s="267" t="s">
        <v>5554</v>
      </c>
      <c r="C5403" s="18"/>
      <c r="D5403" s="460"/>
    </row>
    <row r="5404" spans="1:4" ht="26.45">
      <c r="A5404" s="300"/>
      <c r="B5404" s="267" t="s">
        <v>5555</v>
      </c>
      <c r="C5404" s="18"/>
      <c r="D5404" s="460"/>
    </row>
    <row r="5405" spans="1:4">
      <c r="A5405" s="333"/>
      <c r="B5405" s="356" t="s">
        <v>998</v>
      </c>
      <c r="C5405" s="21" t="s">
        <v>999</v>
      </c>
      <c r="D5405" s="460"/>
    </row>
    <row r="5406" spans="1:4" ht="26.45">
      <c r="A5406" s="62" t="s">
        <v>5562</v>
      </c>
      <c r="B5406" s="23" t="s">
        <v>5563</v>
      </c>
      <c r="C5406" s="56" t="s">
        <v>959</v>
      </c>
      <c r="D5406" s="439"/>
    </row>
    <row r="5407" spans="1:4" ht="52.9">
      <c r="A5407" s="300"/>
      <c r="B5407" s="267" t="s">
        <v>5564</v>
      </c>
      <c r="C5407" s="18"/>
      <c r="D5407" s="460"/>
    </row>
    <row r="5408" spans="1:4">
      <c r="A5408" s="300"/>
      <c r="B5408" s="267" t="s">
        <v>5565</v>
      </c>
      <c r="C5408" s="18"/>
      <c r="D5408" s="460"/>
    </row>
    <row r="5409" spans="1:4">
      <c r="A5409" s="300"/>
      <c r="B5409" s="267" t="s">
        <v>5566</v>
      </c>
      <c r="C5409" s="18"/>
      <c r="D5409" s="460"/>
    </row>
    <row r="5410" spans="1:4" ht="26.45">
      <c r="A5410" s="300"/>
      <c r="B5410" s="267" t="s">
        <v>5567</v>
      </c>
      <c r="C5410" s="18"/>
      <c r="D5410" s="460"/>
    </row>
    <row r="5411" spans="1:4">
      <c r="A5411" s="300"/>
      <c r="B5411" s="267" t="s">
        <v>5568</v>
      </c>
      <c r="C5411" s="18"/>
      <c r="D5411" s="460"/>
    </row>
    <row r="5412" spans="1:4">
      <c r="A5412" s="300"/>
      <c r="B5412" s="267" t="s">
        <v>5569</v>
      </c>
      <c r="C5412" s="18"/>
      <c r="D5412" s="460"/>
    </row>
    <row r="5413" spans="1:4">
      <c r="A5413" s="300"/>
      <c r="B5413" s="267" t="s">
        <v>5570</v>
      </c>
      <c r="C5413" s="18"/>
      <c r="D5413" s="460"/>
    </row>
    <row r="5414" spans="1:4">
      <c r="A5414" s="300"/>
      <c r="B5414" s="267" t="s">
        <v>5571</v>
      </c>
      <c r="C5414" s="18"/>
      <c r="D5414" s="460"/>
    </row>
    <row r="5415" spans="1:4">
      <c r="A5415" s="300"/>
      <c r="B5415" s="267" t="s">
        <v>5572</v>
      </c>
      <c r="C5415" s="18"/>
      <c r="D5415" s="460"/>
    </row>
    <row r="5416" spans="1:4">
      <c r="A5416" s="300"/>
      <c r="B5416" s="267" t="s">
        <v>5573</v>
      </c>
      <c r="C5416" s="18"/>
      <c r="D5416" s="460"/>
    </row>
    <row r="5417" spans="1:4" ht="26.45">
      <c r="A5417" s="300"/>
      <c r="B5417" s="267" t="s">
        <v>5574</v>
      </c>
      <c r="C5417" s="18"/>
      <c r="D5417" s="460"/>
    </row>
    <row r="5418" spans="1:4">
      <c r="A5418" s="300"/>
      <c r="B5418" s="267" t="s">
        <v>5575</v>
      </c>
      <c r="C5418" s="18"/>
      <c r="D5418" s="460"/>
    </row>
    <row r="5419" spans="1:4" ht="26.45">
      <c r="A5419" s="300"/>
      <c r="B5419" s="267" t="s">
        <v>5576</v>
      </c>
      <c r="C5419" s="18"/>
      <c r="D5419" s="460"/>
    </row>
    <row r="5420" spans="1:4">
      <c r="A5420" s="333"/>
      <c r="B5420" s="303" t="s">
        <v>998</v>
      </c>
      <c r="C5420" s="109" t="s">
        <v>999</v>
      </c>
      <c r="D5420" s="460"/>
    </row>
    <row r="5421" spans="1:4" ht="26.45">
      <c r="A5421" s="62" t="s">
        <v>5577</v>
      </c>
      <c r="B5421" s="23" t="s">
        <v>5578</v>
      </c>
      <c r="C5421" s="56" t="s">
        <v>959</v>
      </c>
      <c r="D5421" s="439"/>
    </row>
    <row r="5422" spans="1:4" ht="26.45">
      <c r="A5422" s="300"/>
      <c r="B5422" s="267" t="s">
        <v>5579</v>
      </c>
      <c r="C5422" s="18"/>
      <c r="D5422" s="418"/>
    </row>
    <row r="5423" spans="1:4">
      <c r="A5423" s="333"/>
      <c r="B5423" s="303" t="s">
        <v>1056</v>
      </c>
      <c r="C5423" s="109" t="s">
        <v>1057</v>
      </c>
      <c r="D5423" s="418"/>
    </row>
    <row r="5424" spans="1:4" ht="26.45">
      <c r="A5424" s="168" t="s">
        <v>5580</v>
      </c>
      <c r="B5424" s="169" t="s">
        <v>5581</v>
      </c>
      <c r="C5424" s="162" t="s">
        <v>959</v>
      </c>
      <c r="D5424" s="435"/>
    </row>
    <row r="5425" spans="1:4" ht="52.9">
      <c r="A5425" s="300"/>
      <c r="B5425" s="267" t="s">
        <v>5582</v>
      </c>
      <c r="C5425" s="129"/>
      <c r="D5425" s="461"/>
    </row>
    <row r="5426" spans="1:4">
      <c r="A5426" s="300"/>
      <c r="B5426" s="267" t="s">
        <v>5583</v>
      </c>
      <c r="C5426" s="129"/>
      <c r="D5426" s="461"/>
    </row>
    <row r="5427" spans="1:4">
      <c r="A5427" s="300"/>
      <c r="B5427" s="267" t="s">
        <v>5584</v>
      </c>
      <c r="C5427" s="129"/>
      <c r="D5427" s="461"/>
    </row>
    <row r="5428" spans="1:4" ht="26.45">
      <c r="A5428" s="300"/>
      <c r="B5428" s="267" t="s">
        <v>5567</v>
      </c>
      <c r="C5428" s="129"/>
      <c r="D5428" s="461"/>
    </row>
    <row r="5429" spans="1:4">
      <c r="A5429" s="300"/>
      <c r="B5429" s="267" t="s">
        <v>5568</v>
      </c>
      <c r="C5429" s="129"/>
      <c r="D5429" s="461"/>
    </row>
    <row r="5430" spans="1:4">
      <c r="A5430" s="300"/>
      <c r="B5430" s="267" t="s">
        <v>5569</v>
      </c>
      <c r="C5430" s="129"/>
      <c r="D5430" s="461"/>
    </row>
    <row r="5431" spans="1:4">
      <c r="A5431" s="300"/>
      <c r="B5431" s="267" t="s">
        <v>5570</v>
      </c>
      <c r="C5431" s="129"/>
      <c r="D5431" s="461"/>
    </row>
    <row r="5432" spans="1:4">
      <c r="A5432" s="300"/>
      <c r="B5432" s="267" t="s">
        <v>5571</v>
      </c>
      <c r="C5432" s="129"/>
      <c r="D5432" s="461"/>
    </row>
    <row r="5433" spans="1:4">
      <c r="A5433" s="300"/>
      <c r="B5433" s="267" t="s">
        <v>5572</v>
      </c>
      <c r="C5433" s="129"/>
      <c r="D5433" s="461"/>
    </row>
    <row r="5434" spans="1:4">
      <c r="A5434" s="300"/>
      <c r="B5434" s="267" t="s">
        <v>5573</v>
      </c>
      <c r="C5434" s="129"/>
      <c r="D5434" s="461"/>
    </row>
    <row r="5435" spans="1:4" ht="26.45">
      <c r="A5435" s="300"/>
      <c r="B5435" s="267" t="s">
        <v>5574</v>
      </c>
      <c r="C5435" s="129"/>
      <c r="D5435" s="461"/>
    </row>
    <row r="5436" spans="1:4">
      <c r="A5436" s="300"/>
      <c r="B5436" s="267" t="s">
        <v>5575</v>
      </c>
      <c r="C5436" s="129"/>
      <c r="D5436" s="461"/>
    </row>
    <row r="5437" spans="1:4" ht="26.45">
      <c r="A5437" s="300"/>
      <c r="B5437" s="267" t="s">
        <v>5576</v>
      </c>
      <c r="C5437" s="129"/>
      <c r="D5437" s="461"/>
    </row>
    <row r="5438" spans="1:4">
      <c r="A5438" s="333"/>
      <c r="B5438" s="303" t="s">
        <v>998</v>
      </c>
      <c r="C5438" s="109" t="s">
        <v>999</v>
      </c>
      <c r="D5438" s="461"/>
    </row>
    <row r="5439" spans="1:4">
      <c r="A5439" s="62" t="s">
        <v>5585</v>
      </c>
      <c r="B5439" s="23" t="s">
        <v>5586</v>
      </c>
      <c r="C5439" s="56" t="s">
        <v>959</v>
      </c>
      <c r="D5439" s="439"/>
    </row>
    <row r="5440" spans="1:4" ht="26.45">
      <c r="A5440" s="300"/>
      <c r="B5440" s="267" t="s">
        <v>5587</v>
      </c>
      <c r="C5440" s="18"/>
      <c r="D5440" s="418"/>
    </row>
    <row r="5441" spans="1:4">
      <c r="A5441" s="333"/>
      <c r="B5441" s="303" t="s">
        <v>1056</v>
      </c>
      <c r="C5441" s="109" t="s">
        <v>1057</v>
      </c>
      <c r="D5441" s="418"/>
    </row>
    <row r="5442" spans="1:4">
      <c r="A5442" s="62" t="s">
        <v>5588</v>
      </c>
      <c r="B5442" s="23" t="s">
        <v>5589</v>
      </c>
      <c r="C5442" s="56" t="s">
        <v>959</v>
      </c>
      <c r="D5442" s="439"/>
    </row>
    <row r="5443" spans="1:4" ht="26.45">
      <c r="A5443" s="300"/>
      <c r="B5443" s="267" t="s">
        <v>5590</v>
      </c>
      <c r="C5443" s="18"/>
      <c r="D5443" s="460"/>
    </row>
    <row r="5444" spans="1:4">
      <c r="A5444" s="300"/>
      <c r="B5444" s="267" t="s">
        <v>2257</v>
      </c>
      <c r="C5444" s="18"/>
      <c r="D5444" s="460"/>
    </row>
    <row r="5445" spans="1:4" ht="26.45">
      <c r="A5445" s="300"/>
      <c r="B5445" s="267" t="s">
        <v>5591</v>
      </c>
      <c r="C5445" s="18"/>
      <c r="D5445" s="460"/>
    </row>
    <row r="5446" spans="1:4">
      <c r="A5446" s="300"/>
      <c r="B5446" s="267" t="s">
        <v>5592</v>
      </c>
      <c r="C5446" s="18"/>
      <c r="D5446" s="460"/>
    </row>
    <row r="5447" spans="1:4">
      <c r="A5447" s="300"/>
      <c r="B5447" s="267" t="s">
        <v>5593</v>
      </c>
      <c r="C5447" s="18"/>
      <c r="D5447" s="460"/>
    </row>
    <row r="5448" spans="1:4" ht="26.45">
      <c r="A5448" s="300"/>
      <c r="B5448" s="267" t="s">
        <v>5594</v>
      </c>
      <c r="C5448" s="18"/>
      <c r="D5448" s="460"/>
    </row>
    <row r="5449" spans="1:4" ht="26.45">
      <c r="A5449" s="300"/>
      <c r="B5449" s="267" t="s">
        <v>5595</v>
      </c>
      <c r="C5449" s="18"/>
      <c r="D5449" s="460"/>
    </row>
    <row r="5450" spans="1:4">
      <c r="A5450" s="300"/>
      <c r="B5450" s="267" t="s">
        <v>1028</v>
      </c>
      <c r="C5450" s="18" t="s">
        <v>1029</v>
      </c>
      <c r="D5450" s="460"/>
    </row>
    <row r="5451" spans="1:4">
      <c r="A5451" s="62" t="s">
        <v>5596</v>
      </c>
      <c r="B5451" s="23" t="s">
        <v>5597</v>
      </c>
      <c r="C5451" s="56" t="s">
        <v>959</v>
      </c>
      <c r="D5451" s="439"/>
    </row>
    <row r="5452" spans="1:4">
      <c r="A5452" s="300"/>
      <c r="B5452" s="267" t="s">
        <v>5598</v>
      </c>
      <c r="C5452" s="18"/>
      <c r="D5452" s="460"/>
    </row>
    <row r="5453" spans="1:4">
      <c r="A5453" s="300"/>
      <c r="B5453" s="267" t="s">
        <v>5599</v>
      </c>
      <c r="C5453" s="18"/>
      <c r="D5453" s="460"/>
    </row>
    <row r="5454" spans="1:4">
      <c r="A5454" s="300"/>
      <c r="B5454" s="267" t="s">
        <v>1150</v>
      </c>
      <c r="C5454" s="18"/>
      <c r="D5454" s="460"/>
    </row>
    <row r="5455" spans="1:4">
      <c r="A5455" s="300"/>
      <c r="B5455" s="267" t="s">
        <v>2955</v>
      </c>
      <c r="C5455" s="18"/>
      <c r="D5455" s="460"/>
    </row>
    <row r="5456" spans="1:4">
      <c r="A5456" s="300"/>
      <c r="B5456" s="267" t="s">
        <v>5600</v>
      </c>
      <c r="C5456" s="18"/>
      <c r="D5456" s="460"/>
    </row>
    <row r="5457" spans="1:4">
      <c r="A5457" s="300"/>
      <c r="B5457" s="267" t="s">
        <v>5601</v>
      </c>
      <c r="C5457" s="18"/>
      <c r="D5457" s="460"/>
    </row>
    <row r="5458" spans="1:4">
      <c r="A5458" s="300"/>
      <c r="B5458" s="267" t="s">
        <v>5602</v>
      </c>
      <c r="C5458" s="18"/>
      <c r="D5458" s="460"/>
    </row>
    <row r="5459" spans="1:4" ht="26.45">
      <c r="A5459" s="300"/>
      <c r="B5459" s="267" t="s">
        <v>5603</v>
      </c>
      <c r="C5459" s="18"/>
      <c r="D5459" s="460"/>
    </row>
    <row r="5460" spans="1:4" ht="13.9">
      <c r="A5460" s="300" t="s">
        <v>5604</v>
      </c>
      <c r="B5460" s="267" t="s">
        <v>5605</v>
      </c>
      <c r="C5460" s="18"/>
      <c r="D5460" s="460"/>
    </row>
    <row r="5461" spans="1:4">
      <c r="A5461" s="300"/>
      <c r="B5461" s="267" t="s">
        <v>4796</v>
      </c>
      <c r="C5461" s="18" t="s">
        <v>1077</v>
      </c>
      <c r="D5461" s="460"/>
    </row>
    <row r="5462" spans="1:4" ht="13.9">
      <c r="A5462" s="300" t="s">
        <v>5606</v>
      </c>
      <c r="B5462" s="267" t="s">
        <v>5607</v>
      </c>
      <c r="C5462" s="18"/>
      <c r="D5462" s="460"/>
    </row>
    <row r="5463" spans="1:4">
      <c r="A5463" s="300"/>
      <c r="B5463" s="267" t="s">
        <v>4796</v>
      </c>
      <c r="C5463" s="18" t="s">
        <v>1077</v>
      </c>
      <c r="D5463" s="460"/>
    </row>
    <row r="5464" spans="1:4" ht="13.9">
      <c r="A5464" s="300" t="s">
        <v>5608</v>
      </c>
      <c r="B5464" s="267" t="s">
        <v>5609</v>
      </c>
      <c r="C5464" s="18"/>
      <c r="D5464" s="460"/>
    </row>
    <row r="5465" spans="1:4">
      <c r="A5465" s="300"/>
      <c r="B5465" s="267" t="s">
        <v>4796</v>
      </c>
      <c r="C5465" s="18" t="s">
        <v>1077</v>
      </c>
      <c r="D5465" s="460"/>
    </row>
    <row r="5466" spans="1:4" ht="13.9">
      <c r="A5466" s="300" t="s">
        <v>5610</v>
      </c>
      <c r="B5466" s="267" t="s">
        <v>5611</v>
      </c>
      <c r="C5466" s="18"/>
      <c r="D5466" s="460"/>
    </row>
    <row r="5467" spans="1:4">
      <c r="A5467" s="300"/>
      <c r="B5467" s="267" t="s">
        <v>4796</v>
      </c>
      <c r="C5467" s="18" t="s">
        <v>1077</v>
      </c>
      <c r="D5467" s="460"/>
    </row>
    <row r="5468" spans="1:4">
      <c r="A5468" s="62" t="s">
        <v>5612</v>
      </c>
      <c r="B5468" s="23" t="s">
        <v>5613</v>
      </c>
      <c r="C5468" s="162" t="s">
        <v>959</v>
      </c>
      <c r="D5468" s="435"/>
    </row>
    <row r="5469" spans="1:4">
      <c r="A5469" s="300"/>
      <c r="B5469" s="267" t="s">
        <v>5614</v>
      </c>
      <c r="C5469" s="129"/>
      <c r="D5469" s="461"/>
    </row>
    <row r="5470" spans="1:4">
      <c r="A5470" s="300"/>
      <c r="B5470" s="267" t="s">
        <v>5615</v>
      </c>
      <c r="C5470" s="129"/>
      <c r="D5470" s="461"/>
    </row>
    <row r="5471" spans="1:4">
      <c r="A5471" s="300"/>
      <c r="B5471" s="267" t="s">
        <v>2257</v>
      </c>
      <c r="C5471" s="129"/>
      <c r="D5471" s="461"/>
    </row>
    <row r="5472" spans="1:4">
      <c r="A5472" s="300"/>
      <c r="B5472" s="267" t="s">
        <v>5616</v>
      </c>
      <c r="C5472" s="129"/>
      <c r="D5472" s="461"/>
    </row>
    <row r="5473" spans="1:4">
      <c r="A5473" s="300"/>
      <c r="B5473" s="267" t="s">
        <v>5601</v>
      </c>
      <c r="C5473" s="129"/>
      <c r="D5473" s="461"/>
    </row>
    <row r="5474" spans="1:4">
      <c r="A5474" s="300"/>
      <c r="B5474" s="267" t="s">
        <v>5617</v>
      </c>
      <c r="C5474" s="129"/>
      <c r="D5474" s="461"/>
    </row>
    <row r="5475" spans="1:4" ht="26.45">
      <c r="A5475" s="300"/>
      <c r="B5475" s="267" t="s">
        <v>5618</v>
      </c>
      <c r="C5475" s="18"/>
      <c r="D5475" s="430"/>
    </row>
    <row r="5476" spans="1:4">
      <c r="A5476" s="300" t="s">
        <v>5619</v>
      </c>
      <c r="B5476" s="267" t="s">
        <v>5620</v>
      </c>
      <c r="C5476" s="18"/>
      <c r="D5476" s="430"/>
    </row>
    <row r="5477" spans="1:4">
      <c r="A5477" s="300"/>
      <c r="B5477" s="267" t="s">
        <v>1231</v>
      </c>
      <c r="C5477" s="18" t="s">
        <v>1262</v>
      </c>
      <c r="D5477" s="430"/>
    </row>
    <row r="5478" spans="1:4">
      <c r="A5478" s="300" t="s">
        <v>5621</v>
      </c>
      <c r="B5478" s="267" t="s">
        <v>5622</v>
      </c>
      <c r="C5478" s="18"/>
      <c r="D5478" s="430"/>
    </row>
    <row r="5479" spans="1:4">
      <c r="A5479" s="300"/>
      <c r="B5479" s="267" t="s">
        <v>1231</v>
      </c>
      <c r="C5479" s="18" t="s">
        <v>1262</v>
      </c>
      <c r="D5479" s="430"/>
    </row>
    <row r="5480" spans="1:4" ht="26.45">
      <c r="A5480" s="62" t="s">
        <v>5623</v>
      </c>
      <c r="B5480" s="23" t="s">
        <v>5624</v>
      </c>
      <c r="C5480" s="56" t="s">
        <v>959</v>
      </c>
      <c r="D5480" s="439"/>
    </row>
    <row r="5481" spans="1:4" ht="39.6">
      <c r="A5481" s="30"/>
      <c r="B5481" s="267" t="s">
        <v>5625</v>
      </c>
      <c r="C5481" s="18"/>
      <c r="D5481" s="418"/>
    </row>
    <row r="5482" spans="1:4">
      <c r="A5482" s="30"/>
      <c r="B5482" s="267" t="s">
        <v>1541</v>
      </c>
      <c r="C5482" s="18"/>
      <c r="D5482" s="418"/>
    </row>
    <row r="5483" spans="1:4" ht="26.45">
      <c r="A5483" s="30"/>
      <c r="B5483" s="357" t="s">
        <v>5626</v>
      </c>
      <c r="C5483" s="18"/>
      <c r="D5483" s="418"/>
    </row>
    <row r="5484" spans="1:4" ht="39.6">
      <c r="A5484" s="298"/>
      <c r="B5484" s="357" t="s">
        <v>5627</v>
      </c>
      <c r="C5484" s="41"/>
      <c r="D5484" s="427"/>
    </row>
    <row r="5485" spans="1:4" ht="39.6">
      <c r="A5485" s="298"/>
      <c r="B5485" s="357" t="s">
        <v>5628</v>
      </c>
      <c r="C5485" s="41"/>
      <c r="D5485" s="427"/>
    </row>
    <row r="5486" spans="1:4" ht="26.45">
      <c r="A5486" s="298"/>
      <c r="B5486" s="358" t="s">
        <v>5629</v>
      </c>
      <c r="C5486" s="41"/>
      <c r="D5486" s="427"/>
    </row>
    <row r="5487" spans="1:4">
      <c r="A5487" s="111"/>
      <c r="B5487" s="94" t="s">
        <v>5630</v>
      </c>
      <c r="C5487" s="18"/>
      <c r="D5487" s="418"/>
    </row>
    <row r="5488" spans="1:4" ht="26.45">
      <c r="A5488" s="111"/>
      <c r="B5488" s="94" t="s">
        <v>5631</v>
      </c>
      <c r="C5488" s="18"/>
      <c r="D5488" s="418"/>
    </row>
    <row r="5489" spans="1:4" ht="26.45">
      <c r="A5489" s="111"/>
      <c r="B5489" s="94" t="s">
        <v>5632</v>
      </c>
      <c r="C5489" s="18"/>
      <c r="D5489" s="418"/>
    </row>
    <row r="5490" spans="1:4">
      <c r="A5490" s="111"/>
      <c r="B5490" s="94" t="s">
        <v>5633</v>
      </c>
      <c r="C5490" s="18"/>
      <c r="D5490" s="418"/>
    </row>
    <row r="5491" spans="1:4">
      <c r="A5491" s="286"/>
      <c r="B5491" s="267" t="s">
        <v>1028</v>
      </c>
      <c r="C5491" s="18" t="s">
        <v>1029</v>
      </c>
      <c r="D5491" s="418"/>
    </row>
    <row r="5492" spans="1:4">
      <c r="A5492" s="62" t="s">
        <v>5634</v>
      </c>
      <c r="B5492" s="23" t="s">
        <v>5635</v>
      </c>
      <c r="C5492" s="56" t="s">
        <v>959</v>
      </c>
      <c r="D5492" s="439"/>
    </row>
    <row r="5493" spans="1:4" ht="26.45">
      <c r="A5493" s="180"/>
      <c r="B5493" s="277" t="s">
        <v>5636</v>
      </c>
      <c r="C5493" s="181"/>
      <c r="D5493" s="418"/>
    </row>
    <row r="5494" spans="1:4" ht="26.45">
      <c r="A5494" s="180"/>
      <c r="B5494" s="277" t="s">
        <v>5637</v>
      </c>
      <c r="C5494" s="181"/>
      <c r="D5494" s="418"/>
    </row>
    <row r="5495" spans="1:4">
      <c r="A5495" s="180"/>
      <c r="B5495" s="277" t="s">
        <v>2331</v>
      </c>
      <c r="C5495" s="18" t="s">
        <v>2332</v>
      </c>
      <c r="D5495" s="418"/>
    </row>
    <row r="5496" spans="1:4">
      <c r="A5496" s="168" t="s">
        <v>5638</v>
      </c>
      <c r="B5496" s="169" t="s">
        <v>5639</v>
      </c>
      <c r="C5496" s="179" t="s">
        <v>959</v>
      </c>
      <c r="D5496" s="441"/>
    </row>
    <row r="5497" spans="1:4" ht="26.45">
      <c r="A5497" s="180"/>
      <c r="B5497" s="359" t="s">
        <v>5640</v>
      </c>
      <c r="C5497" s="181"/>
      <c r="D5497" s="418"/>
    </row>
    <row r="5498" spans="1:4" ht="26.45">
      <c r="A5498" s="180"/>
      <c r="B5498" s="360" t="s">
        <v>5637</v>
      </c>
      <c r="C5498" s="181"/>
      <c r="D5498" s="418"/>
    </row>
    <row r="5499" spans="1:4">
      <c r="A5499" s="216"/>
      <c r="B5499" s="361" t="s">
        <v>2331</v>
      </c>
      <c r="C5499" s="109" t="s">
        <v>2332</v>
      </c>
      <c r="D5499" s="421"/>
    </row>
    <row r="5500" spans="1:4" ht="13.9">
      <c r="A5500" s="60" t="s">
        <v>5641</v>
      </c>
      <c r="B5500" s="61" t="s">
        <v>5642</v>
      </c>
      <c r="C5500" s="7" t="s">
        <v>959</v>
      </c>
      <c r="D5500" s="440"/>
    </row>
    <row r="5501" spans="1:4">
      <c r="A5501" s="62" t="s">
        <v>5643</v>
      </c>
      <c r="B5501" s="23" t="s">
        <v>5644</v>
      </c>
      <c r="C5501" s="56" t="s">
        <v>959</v>
      </c>
      <c r="D5501" s="439"/>
    </row>
    <row r="5502" spans="1:4" ht="26.45">
      <c r="A5502" s="180" t="s">
        <v>959</v>
      </c>
      <c r="B5502" s="267" t="s">
        <v>5645</v>
      </c>
      <c r="C5502" s="181" t="s">
        <v>959</v>
      </c>
      <c r="D5502" s="418"/>
    </row>
    <row r="5503" spans="1:4">
      <c r="A5503" s="180" t="s">
        <v>959</v>
      </c>
      <c r="B5503" s="267" t="s">
        <v>961</v>
      </c>
      <c r="C5503" s="181" t="s">
        <v>959</v>
      </c>
      <c r="D5503" s="418"/>
    </row>
    <row r="5504" spans="1:4">
      <c r="A5504" s="180" t="s">
        <v>959</v>
      </c>
      <c r="B5504" s="267" t="s">
        <v>1435</v>
      </c>
      <c r="C5504" s="181" t="s">
        <v>959</v>
      </c>
      <c r="D5504" s="418"/>
    </row>
    <row r="5505" spans="1:4">
      <c r="A5505" s="180" t="s">
        <v>959</v>
      </c>
      <c r="B5505" s="267" t="s">
        <v>1436</v>
      </c>
      <c r="C5505" s="181" t="s">
        <v>959</v>
      </c>
      <c r="D5505" s="418"/>
    </row>
    <row r="5506" spans="1:4">
      <c r="A5506" s="180" t="s">
        <v>959</v>
      </c>
      <c r="B5506" s="267" t="s">
        <v>5646</v>
      </c>
      <c r="C5506" s="181" t="s">
        <v>959</v>
      </c>
      <c r="D5506" s="418"/>
    </row>
    <row r="5507" spans="1:4">
      <c r="A5507" s="141" t="s">
        <v>5647</v>
      </c>
      <c r="B5507" s="236" t="s">
        <v>5648</v>
      </c>
      <c r="C5507" s="18"/>
      <c r="D5507" s="418"/>
    </row>
    <row r="5508" spans="1:4">
      <c r="A5508" s="300"/>
      <c r="B5508" s="362" t="s">
        <v>1428</v>
      </c>
      <c r="C5508" s="18" t="s">
        <v>1429</v>
      </c>
      <c r="D5508" s="418"/>
    </row>
    <row r="5509" spans="1:4">
      <c r="A5509" s="141" t="s">
        <v>5649</v>
      </c>
      <c r="B5509" s="236" t="s">
        <v>5650</v>
      </c>
      <c r="C5509" s="18"/>
      <c r="D5509" s="418"/>
    </row>
    <row r="5510" spans="1:4">
      <c r="A5510" s="300"/>
      <c r="B5510" s="362" t="s">
        <v>1428</v>
      </c>
      <c r="C5510" s="18" t="s">
        <v>1429</v>
      </c>
      <c r="D5510" s="418"/>
    </row>
    <row r="5511" spans="1:4">
      <c r="A5511" s="141" t="s">
        <v>5651</v>
      </c>
      <c r="B5511" s="236" t="s">
        <v>5652</v>
      </c>
      <c r="C5511" s="18"/>
      <c r="D5511" s="418"/>
    </row>
    <row r="5512" spans="1:4">
      <c r="A5512" s="300"/>
      <c r="B5512" s="362" t="s">
        <v>1428</v>
      </c>
      <c r="C5512" s="18" t="s">
        <v>1429</v>
      </c>
      <c r="D5512" s="418"/>
    </row>
    <row r="5513" spans="1:4">
      <c r="A5513" s="141" t="s">
        <v>5653</v>
      </c>
      <c r="B5513" s="236" t="s">
        <v>5654</v>
      </c>
      <c r="C5513" s="18"/>
      <c r="D5513" s="418"/>
    </row>
    <row r="5514" spans="1:4">
      <c r="A5514" s="300"/>
      <c r="B5514" s="362" t="s">
        <v>1428</v>
      </c>
      <c r="C5514" s="18" t="s">
        <v>1429</v>
      </c>
      <c r="D5514" s="418"/>
    </row>
    <row r="5515" spans="1:4">
      <c r="A5515" s="141" t="s">
        <v>5655</v>
      </c>
      <c r="B5515" s="236" t="s">
        <v>5656</v>
      </c>
      <c r="C5515" s="18"/>
      <c r="D5515" s="418"/>
    </row>
    <row r="5516" spans="1:4">
      <c r="A5516" s="333"/>
      <c r="B5516" s="363" t="s">
        <v>1428</v>
      </c>
      <c r="C5516" s="109" t="s">
        <v>1429</v>
      </c>
      <c r="D5516" s="418"/>
    </row>
    <row r="5517" spans="1:4">
      <c r="A5517" s="62" t="s">
        <v>5657</v>
      </c>
      <c r="B5517" s="23" t="s">
        <v>5658</v>
      </c>
      <c r="C5517" s="56" t="s">
        <v>959</v>
      </c>
      <c r="D5517" s="439"/>
    </row>
    <row r="5518" spans="1:4" ht="26.45">
      <c r="A5518" s="180" t="s">
        <v>959</v>
      </c>
      <c r="B5518" s="267" t="s">
        <v>5659</v>
      </c>
      <c r="C5518" s="181" t="s">
        <v>959</v>
      </c>
      <c r="D5518" s="418"/>
    </row>
    <row r="5519" spans="1:4">
      <c r="A5519" s="180" t="s">
        <v>959</v>
      </c>
      <c r="B5519" s="267" t="s">
        <v>961</v>
      </c>
      <c r="C5519" s="181" t="s">
        <v>959</v>
      </c>
      <c r="D5519" s="418"/>
    </row>
    <row r="5520" spans="1:4">
      <c r="A5520" s="180" t="s">
        <v>959</v>
      </c>
      <c r="B5520" s="267" t="s">
        <v>1435</v>
      </c>
      <c r="C5520" s="181" t="s">
        <v>959</v>
      </c>
      <c r="D5520" s="418"/>
    </row>
    <row r="5521" spans="1:4">
      <c r="A5521" s="180" t="s">
        <v>959</v>
      </c>
      <c r="B5521" s="267" t="s">
        <v>1436</v>
      </c>
      <c r="C5521" s="181" t="s">
        <v>959</v>
      </c>
      <c r="D5521" s="418"/>
    </row>
    <row r="5522" spans="1:4">
      <c r="A5522" s="180" t="s">
        <v>959</v>
      </c>
      <c r="B5522" s="267" t="s">
        <v>5660</v>
      </c>
      <c r="C5522" s="181" t="s">
        <v>959</v>
      </c>
      <c r="D5522" s="418"/>
    </row>
    <row r="5523" spans="1:4">
      <c r="A5523" s="141" t="s">
        <v>5661</v>
      </c>
      <c r="B5523" s="236" t="s">
        <v>5662</v>
      </c>
      <c r="C5523" s="18"/>
      <c r="D5523" s="418"/>
    </row>
    <row r="5524" spans="1:4">
      <c r="A5524" s="141"/>
      <c r="B5524" s="362" t="s">
        <v>1428</v>
      </c>
      <c r="C5524" s="18" t="s">
        <v>1429</v>
      </c>
      <c r="D5524" s="418"/>
    </row>
    <row r="5525" spans="1:4">
      <c r="A5525" s="141" t="s">
        <v>5663</v>
      </c>
      <c r="B5525" s="236" t="s">
        <v>5664</v>
      </c>
      <c r="C5525" s="18"/>
      <c r="D5525" s="418"/>
    </row>
    <row r="5526" spans="1:4">
      <c r="A5526" s="141"/>
      <c r="B5526" s="362" t="s">
        <v>1428</v>
      </c>
      <c r="C5526" s="18" t="s">
        <v>1429</v>
      </c>
      <c r="D5526" s="418"/>
    </row>
    <row r="5527" spans="1:4">
      <c r="A5527" s="141" t="s">
        <v>5665</v>
      </c>
      <c r="B5527" s="236" t="s">
        <v>5666</v>
      </c>
      <c r="C5527" s="18"/>
      <c r="D5527" s="418"/>
    </row>
    <row r="5528" spans="1:4">
      <c r="A5528" s="141"/>
      <c r="B5528" s="362" t="s">
        <v>1428</v>
      </c>
      <c r="C5528" s="18" t="s">
        <v>1429</v>
      </c>
      <c r="D5528" s="418"/>
    </row>
    <row r="5529" spans="1:4">
      <c r="A5529" s="141" t="s">
        <v>5667</v>
      </c>
      <c r="B5529" s="236" t="s">
        <v>5668</v>
      </c>
      <c r="C5529" s="18"/>
      <c r="D5529" s="418"/>
    </row>
    <row r="5530" spans="1:4">
      <c r="A5530" s="141"/>
      <c r="B5530" s="362" t="s">
        <v>1428</v>
      </c>
      <c r="C5530" s="18" t="s">
        <v>1429</v>
      </c>
      <c r="D5530" s="418"/>
    </row>
    <row r="5531" spans="1:4">
      <c r="A5531" s="141" t="s">
        <v>5669</v>
      </c>
      <c r="B5531" s="236" t="s">
        <v>5670</v>
      </c>
      <c r="C5531" s="18"/>
      <c r="D5531" s="418"/>
    </row>
    <row r="5532" spans="1:4">
      <c r="A5532" s="141"/>
      <c r="B5532" s="362" t="s">
        <v>1428</v>
      </c>
      <c r="C5532" s="18" t="s">
        <v>1429</v>
      </c>
      <c r="D5532" s="418"/>
    </row>
    <row r="5533" spans="1:4">
      <c r="A5533" s="62" t="s">
        <v>5671</v>
      </c>
      <c r="B5533" s="23" t="s">
        <v>5672</v>
      </c>
      <c r="C5533" s="56" t="s">
        <v>959</v>
      </c>
      <c r="D5533" s="439"/>
    </row>
    <row r="5534" spans="1:4" ht="26.45">
      <c r="A5534" s="180" t="s">
        <v>959</v>
      </c>
      <c r="B5534" s="267" t="s">
        <v>5673</v>
      </c>
      <c r="C5534" s="181" t="s">
        <v>959</v>
      </c>
      <c r="D5534" s="418"/>
    </row>
    <row r="5535" spans="1:4">
      <c r="A5535" s="180" t="s">
        <v>959</v>
      </c>
      <c r="B5535" s="362" t="s">
        <v>961</v>
      </c>
      <c r="C5535" s="181" t="s">
        <v>959</v>
      </c>
      <c r="D5535" s="418"/>
    </row>
    <row r="5536" spans="1:4">
      <c r="A5536" s="180" t="s">
        <v>959</v>
      </c>
      <c r="B5536" s="362" t="s">
        <v>1435</v>
      </c>
      <c r="C5536" s="181" t="s">
        <v>959</v>
      </c>
      <c r="D5536" s="418"/>
    </row>
    <row r="5537" spans="1:4">
      <c r="A5537" s="180" t="s">
        <v>959</v>
      </c>
      <c r="B5537" s="362" t="s">
        <v>1436</v>
      </c>
      <c r="C5537" s="181" t="s">
        <v>959</v>
      </c>
      <c r="D5537" s="418"/>
    </row>
    <row r="5538" spans="1:4">
      <c r="A5538" s="180" t="s">
        <v>959</v>
      </c>
      <c r="B5538" s="362" t="s">
        <v>5660</v>
      </c>
      <c r="C5538" s="181" t="s">
        <v>959</v>
      </c>
      <c r="D5538" s="418"/>
    </row>
    <row r="5539" spans="1:4">
      <c r="A5539" s="141" t="s">
        <v>5674</v>
      </c>
      <c r="B5539" s="236" t="s">
        <v>5675</v>
      </c>
      <c r="C5539" s="18"/>
      <c r="D5539" s="418"/>
    </row>
    <row r="5540" spans="1:4">
      <c r="A5540" s="141"/>
      <c r="B5540" s="362" t="s">
        <v>1028</v>
      </c>
      <c r="C5540" s="18" t="s">
        <v>1029</v>
      </c>
      <c r="D5540" s="418"/>
    </row>
    <row r="5541" spans="1:4">
      <c r="A5541" s="141" t="s">
        <v>5676</v>
      </c>
      <c r="B5541" s="236" t="s">
        <v>5677</v>
      </c>
      <c r="C5541" s="18"/>
      <c r="D5541" s="418"/>
    </row>
    <row r="5542" spans="1:4">
      <c r="A5542" s="141"/>
      <c r="B5542" s="362" t="s">
        <v>1028</v>
      </c>
      <c r="C5542" s="18" t="s">
        <v>1029</v>
      </c>
      <c r="D5542" s="418"/>
    </row>
    <row r="5543" spans="1:4">
      <c r="A5543" s="141" t="s">
        <v>5678</v>
      </c>
      <c r="B5543" s="236" t="s">
        <v>5679</v>
      </c>
      <c r="C5543" s="18"/>
      <c r="D5543" s="418"/>
    </row>
    <row r="5544" spans="1:4">
      <c r="A5544" s="141"/>
      <c r="B5544" s="362" t="s">
        <v>1028</v>
      </c>
      <c r="C5544" s="18" t="s">
        <v>1029</v>
      </c>
      <c r="D5544" s="418"/>
    </row>
    <row r="5545" spans="1:4">
      <c r="A5545" s="141" t="s">
        <v>5680</v>
      </c>
      <c r="B5545" s="236" t="s">
        <v>5681</v>
      </c>
      <c r="C5545" s="18"/>
      <c r="D5545" s="418"/>
    </row>
    <row r="5546" spans="1:4">
      <c r="A5546" s="141"/>
      <c r="B5546" s="362" t="s">
        <v>1028</v>
      </c>
      <c r="C5546" s="18" t="s">
        <v>1029</v>
      </c>
      <c r="D5546" s="418"/>
    </row>
    <row r="5547" spans="1:4">
      <c r="A5547" s="141" t="s">
        <v>5682</v>
      </c>
      <c r="B5547" s="236" t="s">
        <v>5683</v>
      </c>
      <c r="C5547" s="18"/>
      <c r="D5547" s="418"/>
    </row>
    <row r="5548" spans="1:4">
      <c r="A5548" s="141"/>
      <c r="B5548" s="362" t="s">
        <v>1028</v>
      </c>
      <c r="C5548" s="18" t="s">
        <v>1029</v>
      </c>
      <c r="D5548" s="418"/>
    </row>
    <row r="5549" spans="1:4">
      <c r="A5549" s="62" t="s">
        <v>5684</v>
      </c>
      <c r="B5549" s="23" t="s">
        <v>5685</v>
      </c>
      <c r="C5549" s="56" t="s">
        <v>959</v>
      </c>
      <c r="D5549" s="439"/>
    </row>
    <row r="5550" spans="1:4">
      <c r="A5550" s="180" t="s">
        <v>959</v>
      </c>
      <c r="B5550" s="277" t="s">
        <v>5686</v>
      </c>
      <c r="C5550" s="181" t="s">
        <v>959</v>
      </c>
      <c r="D5550" s="418"/>
    </row>
    <row r="5551" spans="1:4">
      <c r="A5551" s="180" t="s">
        <v>959</v>
      </c>
      <c r="B5551" s="277" t="s">
        <v>961</v>
      </c>
      <c r="C5551" s="181" t="s">
        <v>959</v>
      </c>
      <c r="D5551" s="418"/>
    </row>
    <row r="5552" spans="1:4">
      <c r="A5552" s="180" t="s">
        <v>959</v>
      </c>
      <c r="B5552" s="277" t="s">
        <v>1435</v>
      </c>
      <c r="C5552" s="181" t="s">
        <v>959</v>
      </c>
      <c r="D5552" s="418"/>
    </row>
    <row r="5553" spans="1:4">
      <c r="A5553" s="180" t="s">
        <v>959</v>
      </c>
      <c r="B5553" s="277" t="s">
        <v>1436</v>
      </c>
      <c r="C5553" s="181" t="s">
        <v>959</v>
      </c>
      <c r="D5553" s="418"/>
    </row>
    <row r="5554" spans="1:4">
      <c r="A5554" s="180" t="s">
        <v>959</v>
      </c>
      <c r="B5554" s="277" t="s">
        <v>5660</v>
      </c>
      <c r="C5554" s="181" t="s">
        <v>959</v>
      </c>
      <c r="D5554" s="418"/>
    </row>
    <row r="5555" spans="1:4">
      <c r="A5555" s="141" t="s">
        <v>5687</v>
      </c>
      <c r="B5555" s="236" t="s">
        <v>5688</v>
      </c>
      <c r="C5555" s="18"/>
      <c r="D5555" s="418"/>
    </row>
    <row r="5556" spans="1:4">
      <c r="A5556" s="300"/>
      <c r="B5556" s="362" t="s">
        <v>1028</v>
      </c>
      <c r="C5556" s="18" t="s">
        <v>1029</v>
      </c>
      <c r="D5556" s="418"/>
    </row>
    <row r="5557" spans="1:4">
      <c r="A5557" s="141" t="s">
        <v>5689</v>
      </c>
      <c r="B5557" s="236" t="s">
        <v>5690</v>
      </c>
      <c r="C5557" s="18"/>
      <c r="D5557" s="418"/>
    </row>
    <row r="5558" spans="1:4">
      <c r="A5558" s="300"/>
      <c r="B5558" s="362" t="s">
        <v>1028</v>
      </c>
      <c r="C5558" s="18" t="s">
        <v>1029</v>
      </c>
      <c r="D5558" s="418"/>
    </row>
    <row r="5559" spans="1:4">
      <c r="A5559" s="141" t="s">
        <v>5691</v>
      </c>
      <c r="B5559" s="236" t="s">
        <v>5692</v>
      </c>
      <c r="C5559" s="18"/>
      <c r="D5559" s="418"/>
    </row>
    <row r="5560" spans="1:4">
      <c r="A5560" s="300"/>
      <c r="B5560" s="362" t="s">
        <v>1028</v>
      </c>
      <c r="C5560" s="18" t="s">
        <v>1029</v>
      </c>
      <c r="D5560" s="418"/>
    </row>
    <row r="5561" spans="1:4">
      <c r="A5561" s="141" t="s">
        <v>5693</v>
      </c>
      <c r="B5561" s="236" t="s">
        <v>5694</v>
      </c>
      <c r="C5561" s="18"/>
      <c r="D5561" s="418"/>
    </row>
    <row r="5562" spans="1:4">
      <c r="A5562" s="300"/>
      <c r="B5562" s="362" t="s">
        <v>1028</v>
      </c>
      <c r="C5562" s="18" t="s">
        <v>1029</v>
      </c>
      <c r="D5562" s="418"/>
    </row>
    <row r="5563" spans="1:4">
      <c r="A5563" s="141" t="s">
        <v>5695</v>
      </c>
      <c r="B5563" s="236" t="s">
        <v>5696</v>
      </c>
      <c r="C5563" s="18"/>
      <c r="D5563" s="418"/>
    </row>
    <row r="5564" spans="1:4">
      <c r="A5564" s="300"/>
      <c r="B5564" s="362" t="s">
        <v>1028</v>
      </c>
      <c r="C5564" s="18" t="s">
        <v>1029</v>
      </c>
      <c r="D5564" s="418"/>
    </row>
    <row r="5565" spans="1:4">
      <c r="A5565" s="141" t="s">
        <v>5697</v>
      </c>
      <c r="B5565" s="236" t="s">
        <v>5698</v>
      </c>
      <c r="C5565" s="18"/>
      <c r="D5565" s="418"/>
    </row>
    <row r="5566" spans="1:4">
      <c r="A5566" s="300"/>
      <c r="B5566" s="362" t="s">
        <v>1028</v>
      </c>
      <c r="C5566" s="18" t="s">
        <v>1029</v>
      </c>
      <c r="D5566" s="418"/>
    </row>
    <row r="5567" spans="1:4">
      <c r="A5567" s="141" t="s">
        <v>5699</v>
      </c>
      <c r="B5567" s="236" t="s">
        <v>5700</v>
      </c>
      <c r="C5567" s="18"/>
      <c r="D5567" s="418"/>
    </row>
    <row r="5568" spans="1:4">
      <c r="A5568" s="300"/>
      <c r="B5568" s="362" t="s">
        <v>1028</v>
      </c>
      <c r="C5568" s="18" t="s">
        <v>1029</v>
      </c>
      <c r="D5568" s="418"/>
    </row>
    <row r="5569" spans="1:4">
      <c r="A5569" s="22" t="s">
        <v>5701</v>
      </c>
      <c r="B5569" s="59" t="s">
        <v>5702</v>
      </c>
      <c r="C5569" s="45" t="s">
        <v>959</v>
      </c>
      <c r="D5569" s="439"/>
    </row>
    <row r="5570" spans="1:4" ht="26.45">
      <c r="A5570" s="111" t="s">
        <v>959</v>
      </c>
      <c r="B5570" s="267" t="s">
        <v>5703</v>
      </c>
      <c r="C5570" s="18" t="s">
        <v>959</v>
      </c>
      <c r="D5570" s="418"/>
    </row>
    <row r="5571" spans="1:4">
      <c r="A5571" s="111" t="s">
        <v>959</v>
      </c>
      <c r="B5571" s="267" t="s">
        <v>961</v>
      </c>
      <c r="C5571" s="18" t="s">
        <v>959</v>
      </c>
      <c r="D5571" s="418"/>
    </row>
    <row r="5572" spans="1:4">
      <c r="A5572" s="111" t="s">
        <v>959</v>
      </c>
      <c r="B5572" s="267" t="s">
        <v>5704</v>
      </c>
      <c r="C5572" s="18" t="s">
        <v>959</v>
      </c>
      <c r="D5572" s="418"/>
    </row>
    <row r="5573" spans="1:4">
      <c r="A5573" s="111" t="s">
        <v>959</v>
      </c>
      <c r="B5573" s="267" t="s">
        <v>5705</v>
      </c>
      <c r="C5573" s="18" t="s">
        <v>959</v>
      </c>
      <c r="D5573" s="418"/>
    </row>
    <row r="5574" spans="1:4">
      <c r="A5574" s="111" t="s">
        <v>959</v>
      </c>
      <c r="B5574" s="267" t="s">
        <v>5706</v>
      </c>
      <c r="C5574" s="18" t="s">
        <v>959</v>
      </c>
      <c r="D5574" s="418"/>
    </row>
    <row r="5575" spans="1:4">
      <c r="A5575" s="30" t="s">
        <v>5707</v>
      </c>
      <c r="B5575" s="17" t="s">
        <v>5708</v>
      </c>
      <c r="C5575" s="18"/>
      <c r="D5575" s="418"/>
    </row>
    <row r="5576" spans="1:4">
      <c r="A5576" s="55"/>
      <c r="B5576" s="283" t="s">
        <v>1028</v>
      </c>
      <c r="C5576" s="18" t="s">
        <v>1029</v>
      </c>
      <c r="D5576" s="418"/>
    </row>
    <row r="5577" spans="1:4">
      <c r="A5577" s="30" t="s">
        <v>5709</v>
      </c>
      <c r="B5577" s="17" t="s">
        <v>5710</v>
      </c>
      <c r="C5577" s="18"/>
      <c r="D5577" s="418"/>
    </row>
    <row r="5578" spans="1:4">
      <c r="A5578" s="55"/>
      <c r="B5578" s="283" t="s">
        <v>1028</v>
      </c>
      <c r="C5578" s="18" t="s">
        <v>1029</v>
      </c>
      <c r="D5578" s="418"/>
    </row>
    <row r="5579" spans="1:4">
      <c r="A5579" s="30" t="s">
        <v>5711</v>
      </c>
      <c r="B5579" s="17" t="s">
        <v>5712</v>
      </c>
      <c r="C5579" s="18"/>
      <c r="D5579" s="418"/>
    </row>
    <row r="5580" spans="1:4">
      <c r="A5580" s="55"/>
      <c r="B5580" s="283" t="s">
        <v>1028</v>
      </c>
      <c r="C5580" s="18" t="s">
        <v>1029</v>
      </c>
      <c r="D5580" s="418"/>
    </row>
    <row r="5581" spans="1:4">
      <c r="A5581" s="30" t="s">
        <v>5713</v>
      </c>
      <c r="B5581" s="17" t="s">
        <v>5714</v>
      </c>
      <c r="C5581" s="18"/>
      <c r="D5581" s="418"/>
    </row>
    <row r="5582" spans="1:4">
      <c r="A5582" s="55"/>
      <c r="B5582" s="283" t="s">
        <v>1028</v>
      </c>
      <c r="C5582" s="18" t="s">
        <v>1029</v>
      </c>
      <c r="D5582" s="418"/>
    </row>
    <row r="5583" spans="1:4">
      <c r="A5583" s="22" t="s">
        <v>5715</v>
      </c>
      <c r="B5583" s="59" t="s">
        <v>5716</v>
      </c>
      <c r="C5583" s="45" t="s">
        <v>959</v>
      </c>
      <c r="D5583" s="439"/>
    </row>
    <row r="5584" spans="1:4" ht="26.45">
      <c r="A5584" s="111" t="s">
        <v>959</v>
      </c>
      <c r="B5584" s="267" t="s">
        <v>5717</v>
      </c>
      <c r="C5584" s="18" t="s">
        <v>959</v>
      </c>
      <c r="D5584" s="418"/>
    </row>
    <row r="5585" spans="1:4">
      <c r="A5585" s="111" t="s">
        <v>959</v>
      </c>
      <c r="B5585" s="267" t="s">
        <v>961</v>
      </c>
      <c r="C5585" s="18" t="s">
        <v>959</v>
      </c>
      <c r="D5585" s="418"/>
    </row>
    <row r="5586" spans="1:4">
      <c r="A5586" s="111" t="s">
        <v>959</v>
      </c>
      <c r="B5586" s="267" t="s">
        <v>4780</v>
      </c>
      <c r="C5586" s="18" t="s">
        <v>959</v>
      </c>
      <c r="D5586" s="418"/>
    </row>
    <row r="5587" spans="1:4">
      <c r="A5587" s="111" t="s">
        <v>959</v>
      </c>
      <c r="B5587" s="267" t="s">
        <v>4781</v>
      </c>
      <c r="C5587" s="18" t="s">
        <v>959</v>
      </c>
      <c r="D5587" s="418"/>
    </row>
    <row r="5588" spans="1:4">
      <c r="A5588" s="111" t="s">
        <v>959</v>
      </c>
      <c r="B5588" s="267" t="s">
        <v>5718</v>
      </c>
      <c r="C5588" s="18" t="s">
        <v>959</v>
      </c>
      <c r="D5588" s="418"/>
    </row>
    <row r="5589" spans="1:4">
      <c r="A5589" s="30" t="s">
        <v>5719</v>
      </c>
      <c r="B5589" s="30" t="s">
        <v>5720</v>
      </c>
      <c r="C5589" s="18"/>
      <c r="D5589" s="418"/>
    </row>
    <row r="5590" spans="1:4">
      <c r="A5590" s="55"/>
      <c r="B5590" s="283" t="s">
        <v>1028</v>
      </c>
      <c r="C5590" s="18" t="s">
        <v>1029</v>
      </c>
      <c r="D5590" s="418"/>
    </row>
    <row r="5591" spans="1:4">
      <c r="A5591" s="30" t="s">
        <v>5721</v>
      </c>
      <c r="B5591" s="30" t="s">
        <v>5722</v>
      </c>
      <c r="C5591" s="18"/>
      <c r="D5591" s="418"/>
    </row>
    <row r="5592" spans="1:4">
      <c r="A5592" s="148"/>
      <c r="B5592" s="284" t="s">
        <v>1028</v>
      </c>
      <c r="C5592" s="109" t="s">
        <v>1029</v>
      </c>
      <c r="D5592" s="418"/>
    </row>
    <row r="5593" spans="1:4" ht="13.9">
      <c r="A5593" s="60" t="s">
        <v>5723</v>
      </c>
      <c r="B5593" s="63" t="s">
        <v>5724</v>
      </c>
      <c r="C5593" s="64" t="s">
        <v>959</v>
      </c>
      <c r="D5593" s="440"/>
    </row>
    <row r="5594" spans="1:4" ht="26.45">
      <c r="A5594" s="62" t="s">
        <v>5725</v>
      </c>
      <c r="B5594" s="23" t="s">
        <v>5726</v>
      </c>
      <c r="C5594" s="56" t="s">
        <v>959</v>
      </c>
      <c r="D5594" s="439"/>
    </row>
    <row r="5595" spans="1:4" ht="26.45">
      <c r="A5595" s="180" t="s">
        <v>959</v>
      </c>
      <c r="B5595" s="267" t="s">
        <v>5727</v>
      </c>
      <c r="C5595" s="181" t="s">
        <v>959</v>
      </c>
      <c r="D5595" s="418"/>
    </row>
    <row r="5596" spans="1:4">
      <c r="A5596" s="141" t="s">
        <v>5728</v>
      </c>
      <c r="B5596" s="51" t="s">
        <v>5729</v>
      </c>
      <c r="C5596" s="18"/>
      <c r="D5596" s="418"/>
    </row>
    <row r="5597" spans="1:4">
      <c r="A5597" s="300"/>
      <c r="B5597" s="277" t="s">
        <v>3889</v>
      </c>
      <c r="C5597" s="18" t="s">
        <v>3890</v>
      </c>
      <c r="D5597" s="418"/>
    </row>
    <row r="5598" spans="1:4">
      <c r="A5598" s="141" t="s">
        <v>5730</v>
      </c>
      <c r="B5598" s="51" t="s">
        <v>5731</v>
      </c>
      <c r="C5598" s="18"/>
      <c r="D5598" s="418"/>
    </row>
    <row r="5599" spans="1:4">
      <c r="A5599" s="300"/>
      <c r="B5599" s="277" t="s">
        <v>3889</v>
      </c>
      <c r="C5599" s="18" t="s">
        <v>3890</v>
      </c>
      <c r="D5599" s="418"/>
    </row>
    <row r="5600" spans="1:4">
      <c r="A5600" s="141" t="s">
        <v>5732</v>
      </c>
      <c r="B5600" s="51" t="s">
        <v>5733</v>
      </c>
      <c r="C5600" s="18"/>
      <c r="D5600" s="418"/>
    </row>
    <row r="5601" spans="1:4">
      <c r="A5601" s="300"/>
      <c r="B5601" s="277" t="s">
        <v>3889</v>
      </c>
      <c r="C5601" s="18" t="s">
        <v>3890</v>
      </c>
      <c r="D5601" s="418"/>
    </row>
    <row r="5602" spans="1:4">
      <c r="A5602" s="141" t="s">
        <v>5734</v>
      </c>
      <c r="B5602" s="51" t="s">
        <v>5735</v>
      </c>
      <c r="C5602" s="18"/>
      <c r="D5602" s="418"/>
    </row>
    <row r="5603" spans="1:4">
      <c r="A5603" s="300"/>
      <c r="B5603" s="277" t="s">
        <v>3889</v>
      </c>
      <c r="C5603" s="18" t="s">
        <v>3890</v>
      </c>
      <c r="D5603" s="418"/>
    </row>
    <row r="5604" spans="1:4">
      <c r="A5604" s="141" t="s">
        <v>5736</v>
      </c>
      <c r="B5604" s="51" t="s">
        <v>5737</v>
      </c>
      <c r="C5604" s="18"/>
      <c r="D5604" s="418"/>
    </row>
    <row r="5605" spans="1:4">
      <c r="A5605" s="300"/>
      <c r="B5605" s="277" t="s">
        <v>3889</v>
      </c>
      <c r="C5605" s="18" t="s">
        <v>3890</v>
      </c>
      <c r="D5605" s="418"/>
    </row>
    <row r="5606" spans="1:4" ht="26.45">
      <c r="A5606" s="62" t="s">
        <v>5738</v>
      </c>
      <c r="B5606" s="23" t="s">
        <v>5739</v>
      </c>
      <c r="C5606" s="56" t="s">
        <v>959</v>
      </c>
      <c r="D5606" s="439"/>
    </row>
    <row r="5607" spans="1:4" ht="26.45">
      <c r="A5607" s="180" t="s">
        <v>959</v>
      </c>
      <c r="B5607" s="267" t="s">
        <v>5740</v>
      </c>
      <c r="C5607" s="181" t="s">
        <v>959</v>
      </c>
      <c r="D5607" s="418"/>
    </row>
    <row r="5608" spans="1:4">
      <c r="A5608" s="141" t="s">
        <v>5741</v>
      </c>
      <c r="B5608" s="51" t="s">
        <v>5731</v>
      </c>
      <c r="C5608" s="18"/>
      <c r="D5608" s="418"/>
    </row>
    <row r="5609" spans="1:4">
      <c r="A5609" s="141"/>
      <c r="B5609" s="277" t="s">
        <v>3889</v>
      </c>
      <c r="C5609" s="18" t="s">
        <v>3890</v>
      </c>
      <c r="D5609" s="418"/>
    </row>
    <row r="5610" spans="1:4">
      <c r="A5610" s="141" t="s">
        <v>5742</v>
      </c>
      <c r="B5610" s="51" t="s">
        <v>5733</v>
      </c>
      <c r="C5610" s="18"/>
      <c r="D5610" s="418"/>
    </row>
    <row r="5611" spans="1:4">
      <c r="A5611" s="141"/>
      <c r="B5611" s="277" t="s">
        <v>3889</v>
      </c>
      <c r="C5611" s="18" t="s">
        <v>3890</v>
      </c>
      <c r="D5611" s="418"/>
    </row>
    <row r="5612" spans="1:4">
      <c r="A5612" s="141" t="s">
        <v>5743</v>
      </c>
      <c r="B5612" s="51" t="s">
        <v>5735</v>
      </c>
      <c r="C5612" s="18"/>
      <c r="D5612" s="418"/>
    </row>
    <row r="5613" spans="1:4">
      <c r="A5613" s="141"/>
      <c r="B5613" s="277" t="s">
        <v>3889</v>
      </c>
      <c r="C5613" s="18" t="s">
        <v>3890</v>
      </c>
      <c r="D5613" s="418"/>
    </row>
    <row r="5614" spans="1:4" ht="26.45">
      <c r="A5614" s="62" t="s">
        <v>5744</v>
      </c>
      <c r="B5614" s="23" t="s">
        <v>5745</v>
      </c>
      <c r="C5614" s="56" t="s">
        <v>959</v>
      </c>
      <c r="D5614" s="439"/>
    </row>
    <row r="5615" spans="1:4" ht="26.45">
      <c r="A5615" s="180" t="s">
        <v>959</v>
      </c>
      <c r="B5615" s="267" t="s">
        <v>5746</v>
      </c>
      <c r="C5615" s="181" t="s">
        <v>959</v>
      </c>
      <c r="D5615" s="418"/>
    </row>
    <row r="5616" spans="1:4">
      <c r="A5616" s="141" t="s">
        <v>5747</v>
      </c>
      <c r="B5616" s="51" t="s">
        <v>5731</v>
      </c>
      <c r="C5616" s="18"/>
      <c r="D5616" s="418"/>
    </row>
    <row r="5617" spans="1:4">
      <c r="A5617" s="141"/>
      <c r="B5617" s="277" t="s">
        <v>3889</v>
      </c>
      <c r="C5617" s="18" t="s">
        <v>3890</v>
      </c>
      <c r="D5617" s="418"/>
    </row>
    <row r="5618" spans="1:4">
      <c r="A5618" s="141" t="s">
        <v>5748</v>
      </c>
      <c r="B5618" s="51" t="s">
        <v>5733</v>
      </c>
      <c r="C5618" s="18"/>
      <c r="D5618" s="418"/>
    </row>
    <row r="5619" spans="1:4">
      <c r="A5619" s="141"/>
      <c r="B5619" s="277" t="s">
        <v>3889</v>
      </c>
      <c r="C5619" s="18" t="s">
        <v>3890</v>
      </c>
      <c r="D5619" s="418"/>
    </row>
    <row r="5620" spans="1:4">
      <c r="A5620" s="141" t="s">
        <v>5749</v>
      </c>
      <c r="B5620" s="51" t="s">
        <v>5735</v>
      </c>
      <c r="C5620" s="18"/>
      <c r="D5620" s="418"/>
    </row>
    <row r="5621" spans="1:4">
      <c r="A5621" s="141"/>
      <c r="B5621" s="277" t="s">
        <v>3889</v>
      </c>
      <c r="C5621" s="18" t="s">
        <v>3890</v>
      </c>
      <c r="D5621" s="418"/>
    </row>
    <row r="5622" spans="1:4" ht="26.45">
      <c r="A5622" s="62" t="s">
        <v>5750</v>
      </c>
      <c r="B5622" s="23" t="s">
        <v>5751</v>
      </c>
      <c r="C5622" s="56" t="s">
        <v>959</v>
      </c>
      <c r="D5622" s="439"/>
    </row>
    <row r="5623" spans="1:4" ht="26.45">
      <c r="A5623" s="180"/>
      <c r="B5623" s="267" t="s">
        <v>5752</v>
      </c>
      <c r="C5623" s="181"/>
      <c r="D5623" s="418"/>
    </row>
    <row r="5624" spans="1:4">
      <c r="A5624" s="141" t="s">
        <v>5753</v>
      </c>
      <c r="B5624" s="51" t="s">
        <v>5731</v>
      </c>
      <c r="C5624" s="18"/>
      <c r="D5624" s="418"/>
    </row>
    <row r="5625" spans="1:4">
      <c r="A5625" s="141"/>
      <c r="B5625" s="277" t="s">
        <v>3889</v>
      </c>
      <c r="C5625" s="18" t="s">
        <v>3890</v>
      </c>
      <c r="D5625" s="418"/>
    </row>
    <row r="5626" spans="1:4">
      <c r="A5626" s="141" t="s">
        <v>5754</v>
      </c>
      <c r="B5626" s="51" t="s">
        <v>5733</v>
      </c>
      <c r="C5626" s="18"/>
      <c r="D5626" s="418"/>
    </row>
    <row r="5627" spans="1:4">
      <c r="A5627" s="141"/>
      <c r="B5627" s="277" t="s">
        <v>3889</v>
      </c>
      <c r="C5627" s="18" t="s">
        <v>3890</v>
      </c>
      <c r="D5627" s="418"/>
    </row>
    <row r="5628" spans="1:4">
      <c r="A5628" s="141" t="s">
        <v>5755</v>
      </c>
      <c r="B5628" s="51" t="s">
        <v>5735</v>
      </c>
      <c r="C5628" s="18"/>
      <c r="D5628" s="418"/>
    </row>
    <row r="5629" spans="1:4">
      <c r="A5629" s="141"/>
      <c r="B5629" s="277" t="s">
        <v>3889</v>
      </c>
      <c r="C5629" s="18" t="s">
        <v>3890</v>
      </c>
      <c r="D5629" s="418"/>
    </row>
    <row r="5630" spans="1:4" ht="39.6">
      <c r="A5630" s="62" t="s">
        <v>5756</v>
      </c>
      <c r="B5630" s="23" t="s">
        <v>5757</v>
      </c>
      <c r="C5630" s="56" t="s">
        <v>959</v>
      </c>
      <c r="D5630" s="439"/>
    </row>
    <row r="5631" spans="1:4" ht="39.6">
      <c r="A5631" s="180" t="s">
        <v>959</v>
      </c>
      <c r="B5631" s="267" t="s">
        <v>5758</v>
      </c>
      <c r="C5631" s="181" t="s">
        <v>959</v>
      </c>
      <c r="D5631" s="418"/>
    </row>
    <row r="5632" spans="1:4" ht="26.45">
      <c r="A5632" s="141" t="s">
        <v>5759</v>
      </c>
      <c r="B5632" s="31" t="s">
        <v>5760</v>
      </c>
      <c r="C5632" s="18"/>
      <c r="D5632" s="418"/>
    </row>
    <row r="5633" spans="1:4">
      <c r="A5633" s="141"/>
      <c r="B5633" s="277" t="s">
        <v>5761</v>
      </c>
      <c r="C5633" s="18" t="s">
        <v>5762</v>
      </c>
      <c r="D5633" s="418"/>
    </row>
    <row r="5634" spans="1:4" ht="26.45">
      <c r="A5634" s="141" t="s">
        <v>5763</v>
      </c>
      <c r="B5634" s="31" t="s">
        <v>5764</v>
      </c>
      <c r="C5634" s="18"/>
      <c r="D5634" s="418"/>
    </row>
    <row r="5635" spans="1:4">
      <c r="A5635" s="237"/>
      <c r="B5635" s="361" t="s">
        <v>5765</v>
      </c>
      <c r="C5635" s="109" t="s">
        <v>1057</v>
      </c>
      <c r="D5635" s="418"/>
    </row>
    <row r="5636" spans="1:4" ht="13.9">
      <c r="A5636" s="60">
        <v>19</v>
      </c>
      <c r="B5636" s="63" t="s">
        <v>5766</v>
      </c>
      <c r="C5636" s="64" t="s">
        <v>959</v>
      </c>
      <c r="D5636" s="440"/>
    </row>
    <row r="5637" spans="1:4" ht="26.45">
      <c r="A5637" s="62" t="s">
        <v>5767</v>
      </c>
      <c r="B5637" s="59" t="s">
        <v>5768</v>
      </c>
      <c r="C5637" s="56" t="s">
        <v>959</v>
      </c>
      <c r="D5637" s="439"/>
    </row>
    <row r="5638" spans="1:4" ht="26.45">
      <c r="A5638" s="180" t="s">
        <v>959</v>
      </c>
      <c r="B5638" s="267" t="s">
        <v>5769</v>
      </c>
      <c r="C5638" s="181" t="s">
        <v>959</v>
      </c>
      <c r="D5638" s="418"/>
    </row>
    <row r="5639" spans="1:4">
      <c r="A5639" s="141" t="s">
        <v>5770</v>
      </c>
      <c r="B5639" s="31" t="s">
        <v>5771</v>
      </c>
      <c r="C5639" s="18"/>
      <c r="D5639" s="418"/>
    </row>
    <row r="5640" spans="1:4">
      <c r="A5640" s="141"/>
      <c r="B5640" s="267" t="s">
        <v>3889</v>
      </c>
      <c r="C5640" s="18" t="s">
        <v>3890</v>
      </c>
      <c r="D5640" s="418"/>
    </row>
    <row r="5641" spans="1:4">
      <c r="A5641" s="141" t="s">
        <v>5772</v>
      </c>
      <c r="B5641" s="31" t="s">
        <v>5773</v>
      </c>
      <c r="C5641" s="18"/>
      <c r="D5641" s="418"/>
    </row>
    <row r="5642" spans="1:4">
      <c r="A5642" s="141"/>
      <c r="B5642" s="267" t="s">
        <v>3889</v>
      </c>
      <c r="C5642" s="18" t="s">
        <v>3890</v>
      </c>
      <c r="D5642" s="418"/>
    </row>
    <row r="5643" spans="1:4">
      <c r="A5643" s="141" t="s">
        <v>5774</v>
      </c>
      <c r="B5643" s="31" t="s">
        <v>5775</v>
      </c>
      <c r="C5643" s="18"/>
      <c r="D5643" s="418"/>
    </row>
    <row r="5644" spans="1:4">
      <c r="A5644" s="141"/>
      <c r="B5644" s="267" t="s">
        <v>3889</v>
      </c>
      <c r="C5644" s="18" t="s">
        <v>3890</v>
      </c>
      <c r="D5644" s="418"/>
    </row>
    <row r="5645" spans="1:4">
      <c r="A5645" s="141" t="s">
        <v>5776</v>
      </c>
      <c r="B5645" s="31" t="s">
        <v>5777</v>
      </c>
      <c r="C5645" s="18"/>
      <c r="D5645" s="418"/>
    </row>
    <row r="5646" spans="1:4">
      <c r="A5646" s="141"/>
      <c r="B5646" s="267" t="s">
        <v>3889</v>
      </c>
      <c r="C5646" s="18" t="s">
        <v>3890</v>
      </c>
      <c r="D5646" s="418"/>
    </row>
    <row r="5647" spans="1:4">
      <c r="A5647" s="141" t="s">
        <v>5778</v>
      </c>
      <c r="B5647" s="31" t="s">
        <v>5779</v>
      </c>
      <c r="C5647" s="18"/>
      <c r="D5647" s="418"/>
    </row>
    <row r="5648" spans="1:4">
      <c r="A5648" s="141"/>
      <c r="B5648" s="267" t="s">
        <v>3889</v>
      </c>
      <c r="C5648" s="18" t="s">
        <v>3890</v>
      </c>
      <c r="D5648" s="418"/>
    </row>
    <row r="5649" spans="1:4">
      <c r="A5649" s="141" t="s">
        <v>5780</v>
      </c>
      <c r="B5649" s="31" t="s">
        <v>5781</v>
      </c>
      <c r="C5649" s="18"/>
      <c r="D5649" s="418"/>
    </row>
    <row r="5650" spans="1:4">
      <c r="A5650" s="141"/>
      <c r="B5650" s="267" t="s">
        <v>3889</v>
      </c>
      <c r="C5650" s="18" t="s">
        <v>3890</v>
      </c>
      <c r="D5650" s="418"/>
    </row>
    <row r="5651" spans="1:4">
      <c r="A5651" s="141" t="s">
        <v>5782</v>
      </c>
      <c r="B5651" s="31" t="s">
        <v>5783</v>
      </c>
      <c r="C5651" s="18"/>
      <c r="D5651" s="418"/>
    </row>
    <row r="5652" spans="1:4">
      <c r="A5652" s="141"/>
      <c r="B5652" s="267" t="s">
        <v>3889</v>
      </c>
      <c r="C5652" s="18" t="s">
        <v>3890</v>
      </c>
      <c r="D5652" s="418"/>
    </row>
    <row r="5653" spans="1:4">
      <c r="A5653" s="141" t="s">
        <v>5784</v>
      </c>
      <c r="B5653" s="31" t="s">
        <v>5785</v>
      </c>
      <c r="C5653" s="18"/>
      <c r="D5653" s="418"/>
    </row>
    <row r="5654" spans="1:4">
      <c r="A5654" s="141"/>
      <c r="B5654" s="267" t="s">
        <v>3889</v>
      </c>
      <c r="C5654" s="18" t="s">
        <v>3890</v>
      </c>
      <c r="D5654" s="418"/>
    </row>
    <row r="5655" spans="1:4">
      <c r="A5655" s="141" t="s">
        <v>5786</v>
      </c>
      <c r="B5655" s="31" t="s">
        <v>5787</v>
      </c>
      <c r="C5655" s="18"/>
      <c r="D5655" s="418"/>
    </row>
    <row r="5656" spans="1:4">
      <c r="A5656" s="141"/>
      <c r="B5656" s="267" t="s">
        <v>3889</v>
      </c>
      <c r="C5656" s="18" t="s">
        <v>3890</v>
      </c>
      <c r="D5656" s="418"/>
    </row>
    <row r="5657" spans="1:4">
      <c r="A5657" s="141" t="s">
        <v>5788</v>
      </c>
      <c r="B5657" s="31" t="s">
        <v>5789</v>
      </c>
      <c r="C5657" s="18"/>
      <c r="D5657" s="418"/>
    </row>
    <row r="5658" spans="1:4">
      <c r="A5658" s="141"/>
      <c r="B5658" s="267" t="s">
        <v>3889</v>
      </c>
      <c r="C5658" s="18" t="s">
        <v>3890</v>
      </c>
      <c r="D5658" s="418"/>
    </row>
    <row r="5659" spans="1:4" ht="26.45">
      <c r="A5659" s="141" t="s">
        <v>5790</v>
      </c>
      <c r="B5659" s="31" t="s">
        <v>5791</v>
      </c>
      <c r="C5659" s="18"/>
      <c r="D5659" s="418"/>
    </row>
    <row r="5660" spans="1:4">
      <c r="A5660" s="141"/>
      <c r="B5660" s="267" t="s">
        <v>3889</v>
      </c>
      <c r="C5660" s="18" t="s">
        <v>3890</v>
      </c>
      <c r="D5660" s="418"/>
    </row>
    <row r="5661" spans="1:4" ht="26.45">
      <c r="A5661" s="141" t="s">
        <v>5792</v>
      </c>
      <c r="B5661" s="31" t="s">
        <v>5793</v>
      </c>
      <c r="C5661" s="18"/>
      <c r="D5661" s="418"/>
    </row>
    <row r="5662" spans="1:4">
      <c r="A5662" s="141"/>
      <c r="B5662" s="267" t="s">
        <v>3889</v>
      </c>
      <c r="C5662" s="18" t="s">
        <v>3890</v>
      </c>
      <c r="D5662" s="418"/>
    </row>
    <row r="5663" spans="1:4" ht="26.45">
      <c r="A5663" s="141" t="s">
        <v>5794</v>
      </c>
      <c r="B5663" s="31" t="s">
        <v>5795</v>
      </c>
      <c r="C5663" s="18"/>
      <c r="D5663" s="418"/>
    </row>
    <row r="5664" spans="1:4">
      <c r="A5664" s="141"/>
      <c r="B5664" s="267" t="s">
        <v>3889</v>
      </c>
      <c r="C5664" s="18" t="s">
        <v>3890</v>
      </c>
      <c r="D5664" s="418"/>
    </row>
    <row r="5665" spans="1:4">
      <c r="A5665" s="141" t="s">
        <v>5796</v>
      </c>
      <c r="B5665" s="31" t="s">
        <v>5797</v>
      </c>
      <c r="C5665" s="18"/>
      <c r="D5665" s="418"/>
    </row>
    <row r="5666" spans="1:4">
      <c r="A5666" s="141"/>
      <c r="B5666" s="267" t="s">
        <v>1028</v>
      </c>
      <c r="C5666" s="18" t="s">
        <v>1029</v>
      </c>
      <c r="D5666" s="418"/>
    </row>
    <row r="5667" spans="1:4" ht="26.45">
      <c r="A5667" s="62" t="s">
        <v>5798</v>
      </c>
      <c r="B5667" s="23" t="s">
        <v>5799</v>
      </c>
      <c r="C5667" s="56" t="s">
        <v>959</v>
      </c>
      <c r="D5667" s="439"/>
    </row>
    <row r="5668" spans="1:4" ht="26.45">
      <c r="A5668" s="180" t="s">
        <v>959</v>
      </c>
      <c r="B5668" s="267" t="s">
        <v>5800</v>
      </c>
      <c r="C5668" s="181" t="s">
        <v>959</v>
      </c>
      <c r="D5668" s="418"/>
    </row>
    <row r="5669" spans="1:4" ht="26.45">
      <c r="A5669" s="180" t="s">
        <v>959</v>
      </c>
      <c r="B5669" s="267" t="s">
        <v>5801</v>
      </c>
      <c r="C5669" s="181" t="s">
        <v>959</v>
      </c>
      <c r="D5669" s="418"/>
    </row>
    <row r="5670" spans="1:4">
      <c r="A5670" s="141" t="s">
        <v>5802</v>
      </c>
      <c r="B5670" s="31" t="s">
        <v>5803</v>
      </c>
      <c r="C5670" s="18"/>
      <c r="D5670" s="418"/>
    </row>
    <row r="5671" spans="1:4">
      <c r="A5671" s="300"/>
      <c r="B5671" s="267" t="s">
        <v>3889</v>
      </c>
      <c r="C5671" s="18" t="s">
        <v>3890</v>
      </c>
      <c r="D5671" s="418"/>
    </row>
    <row r="5672" spans="1:4">
      <c r="A5672" s="141" t="s">
        <v>5804</v>
      </c>
      <c r="B5672" s="31" t="s">
        <v>5805</v>
      </c>
      <c r="C5672" s="18"/>
      <c r="D5672" s="418"/>
    </row>
    <row r="5673" spans="1:4">
      <c r="A5673" s="300"/>
      <c r="B5673" s="267" t="s">
        <v>3889</v>
      </c>
      <c r="C5673" s="18" t="s">
        <v>3890</v>
      </c>
      <c r="D5673" s="418"/>
    </row>
    <row r="5674" spans="1:4">
      <c r="A5674" s="141" t="s">
        <v>5806</v>
      </c>
      <c r="B5674" s="31" t="s">
        <v>5807</v>
      </c>
      <c r="C5674" s="18"/>
      <c r="D5674" s="418"/>
    </row>
    <row r="5675" spans="1:4">
      <c r="A5675" s="300"/>
      <c r="B5675" s="267" t="s">
        <v>3889</v>
      </c>
      <c r="C5675" s="18" t="s">
        <v>3890</v>
      </c>
      <c r="D5675" s="418"/>
    </row>
    <row r="5676" spans="1:4">
      <c r="A5676" s="141" t="s">
        <v>5808</v>
      </c>
      <c r="B5676" s="31" t="s">
        <v>5809</v>
      </c>
      <c r="C5676" s="18"/>
      <c r="D5676" s="418"/>
    </row>
    <row r="5677" spans="1:4">
      <c r="A5677" s="300"/>
      <c r="B5677" s="267" t="s">
        <v>3889</v>
      </c>
      <c r="C5677" s="18" t="s">
        <v>3890</v>
      </c>
      <c r="D5677" s="418"/>
    </row>
    <row r="5678" spans="1:4">
      <c r="A5678" s="141" t="s">
        <v>5810</v>
      </c>
      <c r="B5678" s="115" t="s">
        <v>5811</v>
      </c>
      <c r="C5678" s="18"/>
      <c r="D5678" s="418"/>
    </row>
    <row r="5679" spans="1:4">
      <c r="A5679" s="333"/>
      <c r="B5679" s="303" t="s">
        <v>3889</v>
      </c>
      <c r="C5679" s="109" t="s">
        <v>3890</v>
      </c>
      <c r="D5679" s="418"/>
    </row>
    <row r="5680" spans="1:4">
      <c r="A5680" s="272" t="s">
        <v>5812</v>
      </c>
      <c r="B5680" s="270" t="s">
        <v>5813</v>
      </c>
      <c r="C5680" s="271"/>
      <c r="D5680" s="462"/>
    </row>
    <row r="5681" spans="1:4">
      <c r="A5681" s="364"/>
      <c r="B5681" s="365" t="s">
        <v>5814</v>
      </c>
      <c r="C5681" s="273"/>
      <c r="D5681" s="463"/>
    </row>
    <row r="5682" spans="1:4">
      <c r="A5682" s="274"/>
      <c r="B5682" s="366" t="s">
        <v>1231</v>
      </c>
      <c r="C5682" s="275" t="s">
        <v>1262</v>
      </c>
      <c r="D5682" s="463"/>
    </row>
    <row r="5683" spans="1:4" ht="13.9">
      <c r="A5683" s="60">
        <v>20</v>
      </c>
      <c r="B5683" s="63" t="s">
        <v>5815</v>
      </c>
      <c r="C5683" s="64"/>
      <c r="D5683" s="440"/>
    </row>
    <row r="5684" spans="1:4" ht="52.9">
      <c r="A5684" s="180"/>
      <c r="B5684" s="267" t="s">
        <v>5816</v>
      </c>
      <c r="C5684" s="181"/>
      <c r="D5684" s="418"/>
    </row>
    <row r="5685" spans="1:4">
      <c r="A5685" s="141" t="s">
        <v>5817</v>
      </c>
      <c r="B5685" s="31" t="s">
        <v>5818</v>
      </c>
      <c r="C5685" s="18" t="s">
        <v>5819</v>
      </c>
      <c r="D5685" s="464"/>
    </row>
    <row r="5686" spans="1:4">
      <c r="A5686" s="141" t="s">
        <v>5820</v>
      </c>
      <c r="B5686" s="31" t="s">
        <v>5821</v>
      </c>
      <c r="C5686" s="18" t="s">
        <v>5819</v>
      </c>
      <c r="D5686" s="464"/>
    </row>
    <row r="5687" spans="1:4">
      <c r="A5687" s="141" t="s">
        <v>5822</v>
      </c>
      <c r="B5687" s="31" t="s">
        <v>5823</v>
      </c>
      <c r="C5687" s="18" t="s">
        <v>5819</v>
      </c>
      <c r="D5687" s="464"/>
    </row>
    <row r="5688" spans="1:4">
      <c r="A5688" s="141" t="s">
        <v>5824</v>
      </c>
      <c r="B5688" s="31" t="s">
        <v>5825</v>
      </c>
      <c r="C5688" s="18" t="s">
        <v>5819</v>
      </c>
      <c r="D5688" s="464"/>
    </row>
  </sheetData>
  <sheetProtection algorithmName="SHA-512" hashValue="naByc7VwE1o42Dgu/VnTm6Kq56MRhqkdFnAQ9A7NP0ipSCgKsnEjGXM+2xcdj8SoZphL8vAH1Vd1pztatWZofw==" saltValue="KnfrNZMmQknMSrXu7/punA==" spinCount="100000" sheet="1" formatCells="0" formatColumns="0" formatRows="0" insertColumns="0" insertRows="0" insertHyperlinks="0" deleteColumns="0" deleteRows="0" sort="0" autoFilter="0" pivotTables="0"/>
  <autoFilter ref="A8:D5679" xr:uid="{AC306FCE-CF15-4F57-A64C-C791AF7E8868}"/>
  <mergeCells count="4">
    <mergeCell ref="B1:D1"/>
    <mergeCell ref="D797:D798"/>
    <mergeCell ref="B2:D3"/>
    <mergeCell ref="C4:D4"/>
  </mergeCells>
  <phoneticPr fontId="0" type="noConversion"/>
  <printOptions horizontalCentered="1"/>
  <pageMargins left="0.39370078740157483" right="0.39370078740157483" top="0.39370078740157483" bottom="0.84" header="0.39370078740157483" footer="0.53"/>
  <pageSetup paperSize="9" scale="63" fitToHeight="1000" orientation="portrait" r:id="rId1"/>
  <headerFooter alignWithMargins="0">
    <oddFooter>&amp;R&amp;P/&amp;N</oddFooter>
  </headerFooter>
  <rowBreaks count="55" manualBreakCount="55">
    <brk id="41" max="3" man="1"/>
    <brk id="91" max="3" man="1"/>
    <brk id="149" max="3" man="1"/>
    <brk id="195" max="3" man="1"/>
    <brk id="252" max="3" man="1"/>
    <brk id="297" max="3" man="1"/>
    <brk id="349" max="16383" man="1"/>
    <brk id="535" max="3" man="1"/>
    <brk id="772" max="3" man="1"/>
    <brk id="902" max="3" man="1"/>
    <brk id="1074" max="3" man="1"/>
    <brk id="1092" max="16383" man="1"/>
    <brk id="1141" max="3" man="1"/>
    <brk id="1191" max="3" man="1"/>
    <brk id="1257" max="16383" man="1"/>
    <brk id="1314" max="3" man="1"/>
    <brk id="1437" max="3" man="1"/>
    <brk id="1842" max="3" man="1"/>
    <brk id="1891" max="3" man="1"/>
    <brk id="1952" max="3" man="1"/>
    <brk id="1994" max="3" man="1"/>
    <brk id="2084" max="3" man="1"/>
    <brk id="2289" max="16383" man="1"/>
    <brk id="2348" max="3" man="1"/>
    <brk id="2471" max="3" man="1"/>
    <brk id="2526" max="3" man="1"/>
    <brk id="2582" max="3" man="1"/>
    <brk id="2643" max="3" man="1"/>
    <brk id="2701" max="3" man="1"/>
    <brk id="2848" max="3" man="1"/>
    <brk id="3031" max="3" man="1"/>
    <brk id="3196" max="3" man="1"/>
    <brk id="3328" max="16383" man="1"/>
    <brk id="3386" max="3" man="1"/>
    <brk id="3474" max="16383" man="1"/>
    <brk id="3539" max="3" man="1"/>
    <brk id="3592" max="3" man="1"/>
    <brk id="3767" max="16383" man="1"/>
    <brk id="3809" max="3" man="1"/>
    <brk id="3885" max="3" man="1"/>
    <brk id="4143" max="16383" man="1"/>
    <brk id="4207" max="3" man="1"/>
    <brk id="4263" max="3" man="1"/>
    <brk id="4493" max="3" man="1"/>
    <brk id="4531" max="3" man="1"/>
    <brk id="4540" max="16383" man="1"/>
    <brk id="4593" max="3" man="1"/>
    <brk id="4773" max="16383" man="1"/>
    <brk id="5150" max="3" man="1"/>
    <brk id="5229" max="16383" man="1"/>
    <brk id="5274" max="3" man="1"/>
    <brk id="5373" max="16383" man="1"/>
    <brk id="5526" max="3" man="1"/>
    <brk id="5592" max="3" man="1"/>
    <brk id="5635" max="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6f4e610-6d57-4469-ab9c-ced3bcf070c4">
      <Terms xmlns="http://schemas.microsoft.com/office/infopath/2007/PartnerControls"/>
    </lcf76f155ced4ddcb4097134ff3c332f>
    <SharedWithUsers xmlns="18d74a7f-e489-4891-a144-6163e5694d06">
      <UserInfo>
        <DisplayName/>
        <AccountId xsi:nil="true"/>
        <AccountType/>
      </UserInfo>
    </SharedWithUsers>
    <TaxCatchAll xmlns="18d74a7f-e489-4891-a144-6163e5694d06"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5CDEAF761AFA4AB0E0EC0364BF1684" ma:contentTypeVersion="18" ma:contentTypeDescription="Crée un document." ma:contentTypeScope="" ma:versionID="10df5690536da318ce1a3aefd093ed95">
  <xsd:schema xmlns:xsd="http://www.w3.org/2001/XMLSchema" xmlns:xs="http://www.w3.org/2001/XMLSchema" xmlns:p="http://schemas.microsoft.com/office/2006/metadata/properties" xmlns:ns2="18d74a7f-e489-4891-a144-6163e5694d06" xmlns:ns3="06f4e610-6d57-4469-ab9c-ced3bcf070c4" targetNamespace="http://schemas.microsoft.com/office/2006/metadata/properties" ma:root="true" ma:fieldsID="1c929bae5ba7807e85985e05ea542ab1" ns2:_="" ns3:_="">
    <xsd:import namespace="18d74a7f-e489-4891-a144-6163e5694d06"/>
    <xsd:import namespace="06f4e610-6d57-4469-ab9c-ced3bcf070c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LengthInSeconds" minOccurs="0"/>
                <xsd:element ref="ns2:TaxCatchAll" minOccurs="0"/>
                <xsd:element ref="ns3:MediaServiceGenerationTime" minOccurs="0"/>
                <xsd:element ref="ns3:MediaServiceEventHashCode" minOccurs="0"/>
                <xsd:element ref="ns3:lcf76f155ced4ddcb4097134ff3c332f" minOccurs="0"/>
                <xsd:element ref="ns3:MediaServiceOCR" minOccurs="0"/>
                <xsd:element ref="ns3:MediaServiceLocation"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d74a7f-e489-4891-a144-6163e5694d0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14" nillable="true" ma:displayName="Taxonomy Catch All Column" ma:hidden="true" ma:list="{e3f52b36-7916-4fa4-b449-c69d7777750e}" ma:internalName="TaxCatchAll" ma:showField="CatchAllData" ma:web="18d74a7f-e489-4891-a144-6163e5694d0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f4e610-6d57-4469-ab9c-ced3bcf070c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Balises d’images" ma:readOnly="false" ma:fieldId="{5cf76f15-5ced-4ddc-b409-7134ff3c332f}" ma:taxonomyMulti="true" ma:sspId="544576b8-bfbf-4af1-be5b-b090daeea6f7"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C334B36-BDD9-44A1-95BF-11DED90BA449}"/>
</file>

<file path=customXml/itemProps2.xml><?xml version="1.0" encoding="utf-8"?>
<ds:datastoreItem xmlns:ds="http://schemas.openxmlformats.org/officeDocument/2006/customXml" ds:itemID="{7B3F736E-6A81-47F4-836A-4CE6077FFBF2}"/>
</file>

<file path=customXml/itemProps3.xml><?xml version="1.0" encoding="utf-8"?>
<ds:datastoreItem xmlns:ds="http://schemas.openxmlformats.org/officeDocument/2006/customXml" ds:itemID="{A5F7DD69-9BC6-42F6-9FDE-C4B207843456}"/>
</file>

<file path=docProps/app.xml><?xml version="1.0" encoding="utf-8"?>
<Properties xmlns="http://schemas.openxmlformats.org/officeDocument/2006/extended-properties" xmlns:vt="http://schemas.openxmlformats.org/officeDocument/2006/docPropsVTypes">
  <Application>Microsoft Excel Online</Application>
  <Manager/>
  <Company>Edisys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KANAGAVALLI</dc:creator>
  <cp:keywords/>
  <dc:description/>
  <cp:lastModifiedBy>SAMAIN Celeste</cp:lastModifiedBy>
  <cp:revision/>
  <dcterms:created xsi:type="dcterms:W3CDTF">2010-08-06T11:30:59Z</dcterms:created>
  <dcterms:modified xsi:type="dcterms:W3CDTF">2025-06-11T08:30:42Z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ET_Orient">
    <vt:lpwstr>portrait</vt:lpwstr>
  </property>
  <property fmtid="{D5CDD505-2E9C-101B-9397-08002B2CF9AE}" pid="3" name="EtapEnCours">
    <vt:i4>6</vt:i4>
  </property>
  <property fmtid="{D5CDD505-2E9C-101B-9397-08002B2CF9AE}" pid="4" name="DatDebT">
    <vt:lpwstr>06/08/2010 16:50:39</vt:lpwstr>
  </property>
  <property fmtid="{D5CDD505-2E9C-101B-9397-08002B2CF9AE}" pid="5" name="NomStd">
    <vt:lpwstr>malabry</vt:lpwstr>
  </property>
  <property fmtid="{D5CDD505-2E9C-101B-9397-08002B2CF9AE}" pid="6" name="MT_DET">
    <vt:lpwstr>=Qté_DET*PU_DET</vt:lpwstr>
  </property>
  <property fmtid="{D5CDD505-2E9C-101B-9397-08002B2CF9AE}" pid="7" name="NumDossier">
    <vt:lpwstr>1435646</vt:lpwstr>
  </property>
  <property fmtid="{D5CDD505-2E9C-101B-9397-08002B2CF9AE}" pid="8" name="TVA">
    <vt:lpwstr>0.196</vt:lpwstr>
  </property>
  <property fmtid="{D5CDD505-2E9C-101B-9397-08002B2CF9AE}" pid="9" name="Unit">
    <vt:bool>false</vt:bool>
  </property>
  <property fmtid="{D5CDD505-2E9C-101B-9397-08002B2CF9AE}" pid="10" name="StdVersion">
    <vt:lpwstr>3.3.7</vt:lpwstr>
  </property>
  <property fmtid="{D5CDD505-2E9C-101B-9397-08002B2CF9AE}" pid="11" name="bRecap">
    <vt:bool>false</vt:bool>
  </property>
  <property fmtid="{D5CDD505-2E9C-101B-9397-08002B2CF9AE}" pid="12" name="DET_NbPages">
    <vt:i4>138</vt:i4>
  </property>
  <property fmtid="{D5CDD505-2E9C-101B-9397-08002B2CF9AE}" pid="13" name="DET_NbGarde">
    <vt:i4>1</vt:i4>
  </property>
  <property fmtid="{D5CDD505-2E9C-101B-9397-08002B2CF9AE}" pid="14" name="BPX_Orient">
    <vt:lpwstr>portrait</vt:lpwstr>
  </property>
  <property fmtid="{D5CDD505-2E9C-101B-9397-08002B2CF9AE}" pid="15" name="BPX_NbPages">
    <vt:i4>0</vt:i4>
  </property>
  <property fmtid="{D5CDD505-2E9C-101B-9397-08002B2CF9AE}" pid="16" name="BPX_NbGarde">
    <vt:i4>0</vt:i4>
  </property>
  <property fmtid="{D5CDD505-2E9C-101B-9397-08002B2CF9AE}" pid="17" name="BPX_Type">
    <vt:i4>1</vt:i4>
  </property>
  <property fmtid="{D5CDD505-2E9C-101B-9397-08002B2CF9AE}" pid="18" name="DebutDossier">
    <vt:i4>4</vt:i4>
  </property>
  <property fmtid="{D5CDD505-2E9C-101B-9397-08002B2CF9AE}" pid="19" name="cLsiQte">
    <vt:i4>4</vt:i4>
  </property>
  <property fmtid="{D5CDD505-2E9C-101B-9397-08002B2CF9AE}" pid="20" name="cLsiPU">
    <vt:i4>5</vt:i4>
  </property>
  <property fmtid="{D5CDD505-2E9C-101B-9397-08002B2CF9AE}" pid="21" name="Déci">
    <vt:i4>2</vt:i4>
  </property>
  <property fmtid="{D5CDD505-2E9C-101B-9397-08002B2CF9AE}" pid="22" name="DDE">
    <vt:bool>false</vt:bool>
  </property>
  <property fmtid="{D5CDD505-2E9C-101B-9397-08002B2CF9AE}" pid="23" name="Romain">
    <vt:bool>false</vt:bool>
  </property>
  <property fmtid="{D5CDD505-2E9C-101B-9397-08002B2CF9AE}" pid="24" name="RecupCols">
    <vt:lpwstr>-Qté-PU-</vt:lpwstr>
  </property>
  <property fmtid="{D5CDD505-2E9C-101B-9397-08002B2CF9AE}" pid="25" name="TexteCols">
    <vt:lpwstr>-</vt:lpwstr>
  </property>
  <property fmtid="{D5CDD505-2E9C-101B-9397-08002B2CF9AE}" pid="26" name="Doublons">
    <vt:bool>false</vt:bool>
  </property>
  <property fmtid="{D5CDD505-2E9C-101B-9397-08002B2CF9AE}" pid="27" name="Liaisons">
    <vt:bool>false</vt:bool>
  </property>
  <property fmtid="{D5CDD505-2E9C-101B-9397-08002B2CF9AE}" pid="28" name="IsUpdateFiles">
    <vt:bool>true</vt:bool>
  </property>
  <property fmtid="{D5CDD505-2E9C-101B-9397-08002B2CF9AE}" pid="29" name="VisuQtte">
    <vt:lpwstr>Qté</vt:lpwstr>
  </property>
  <property fmtid="{D5CDD505-2E9C-101B-9397-08002B2CF9AE}" pid="30" name="DatFinT">
    <vt:lpwstr>09/08/2010 13:59:12</vt:lpwstr>
  </property>
  <property fmtid="{D5CDD505-2E9C-101B-9397-08002B2CF9AE}" pid="31" name="DateDebT">
    <vt:lpwstr>09/08/2010 13:59:13</vt:lpwstr>
  </property>
  <property fmtid="{D5CDD505-2E9C-101B-9397-08002B2CF9AE}" pid="32" name="DateFinT">
    <vt:lpwstr>09/08/2010 13:59:13</vt:lpwstr>
  </property>
  <property fmtid="{D5CDD505-2E9C-101B-9397-08002B2CF9AE}" pid="33" name="dateMU">
    <vt:lpwstr>1435646|09/08/2010 15:20:33|06/08/2010 17:14:33|06/08/2010 17:30:41|06/08/2010 17:58:21|09/08/2010 15:25:29|09/08/2010 13:52:39</vt:lpwstr>
  </property>
  <property fmtid="{D5CDD505-2E9C-101B-9397-08002B2CF9AE}" pid="34" name="comments">
    <vt:lpwstr>Numéro du dossier : 1435646</vt:lpwstr>
  </property>
  <property fmtid="{D5CDD505-2E9C-101B-9397-08002B2CF9AE}" pid="35" name="MailAgence">
    <vt:lpwstr>paris@edisys.eu</vt:lpwstr>
  </property>
  <property fmtid="{D5CDD505-2E9C-101B-9397-08002B2CF9AE}" pid="36" name="ContentTypeId">
    <vt:lpwstr>0x0101005B5CDEAF761AFA4AB0E0EC0364BF1684</vt:lpwstr>
  </property>
  <property fmtid="{D5CDD505-2E9C-101B-9397-08002B2CF9AE}" pid="37" name="Order">
    <vt:r8>2423700</vt:r8>
  </property>
  <property fmtid="{D5CDD505-2E9C-101B-9397-08002B2CF9AE}" pid="38" name="ComplianceAssetId">
    <vt:lpwstr/>
  </property>
  <property fmtid="{D5CDD505-2E9C-101B-9397-08002B2CF9AE}" pid="39" name="_ExtendedDescription">
    <vt:lpwstr/>
  </property>
  <property fmtid="{D5CDD505-2E9C-101B-9397-08002B2CF9AE}" pid="40" name="TriggerFlowInfo">
    <vt:lpwstr/>
  </property>
  <property fmtid="{D5CDD505-2E9C-101B-9397-08002B2CF9AE}" pid="41" name="MediaServiceImageTags">
    <vt:lpwstr/>
  </property>
</Properties>
</file>