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https://valleesud.sharepoint.com/sites/Directionjuridiqueetcommandepublique/Documents partages/S7-DOSSIER MARCHES/Travaux/2025/25TRX08_AC Tvx Infra/01Prep/V2/PiècesTechniquesLot1/Etude de cas n°1 Lot1/"/>
    </mc:Choice>
  </mc:AlternateContent>
  <xr:revisionPtr revIDLastSave="401" documentId="13_ncr:1_{0A166400-E774-40C9-BE51-6BCDEE2A5CBE}" xr6:coauthVersionLast="47" xr6:coauthVersionMax="47" xr10:uidLastSave="{CF911A65-0B1E-425E-9583-4A50CCA13332}"/>
  <bookViews>
    <workbookView xWindow="792" yWindow="36" windowWidth="21600" windowHeight="11328" firstSheet="1" activeTab="1" xr2:uid="{D8114ABD-7DD0-476C-9E08-4BC19B9DCEE5}"/>
  </bookViews>
  <sheets>
    <sheet name="malabrydet" sheetId="4" state="hidden" r:id="rId1"/>
    <sheet name="Mode d'emploi" sheetId="30" r:id="rId2"/>
    <sheet name="Saisie" sheetId="21" r:id="rId3"/>
    <sheet name="Récapitulatif" sheetId="31" r:id="rId4"/>
    <sheet name="Etude de cas n°1" sheetId="24" r:id="rId5"/>
  </sheets>
  <externalReferences>
    <externalReference r:id="rId6"/>
  </externalReferences>
  <definedNames>
    <definedName name="_xlnm._FilterDatabase" localSheetId="2" hidden="1">Saisie!$A$7:$I$7</definedName>
    <definedName name="Espaces_verts">'[1]Cahier de Prix'!$B$871:$B$1044</definedName>
    <definedName name="EURO">6.55957</definedName>
    <definedName name="HT_0_HT01" localSheetId="4">#REF!</definedName>
    <definedName name="HT_0_HT01" localSheetId="2">#REF!</definedName>
    <definedName name="HT_0_HT01">#REF!</definedName>
    <definedName name="_xlnm.Print_Titles" localSheetId="4">'Etude de cas n°1'!$1:$6</definedName>
    <definedName name="_xlnm.Print_Titles" localSheetId="2">Saisie!$1:$6</definedName>
    <definedName name="MT" localSheetId="4">#REF!</definedName>
    <definedName name="MT" localSheetId="2">#REF!</definedName>
    <definedName name="MT">#REF!</definedName>
    <definedName name="P_1_1.1.1" localSheetId="4">#REF!</definedName>
    <definedName name="P_1_1.1.1" localSheetId="2">#REF!</definedName>
    <definedName name="P_1_1.1.1">#REF!</definedName>
    <definedName name="P_1_1.1.2" localSheetId="4">#REF!</definedName>
    <definedName name="P_1_1.1.2" localSheetId="2">#REF!</definedName>
    <definedName name="P_1_1.1.2">#REF!</definedName>
    <definedName name="P_1_1.2">#REF!</definedName>
    <definedName name="P_1_1.3.1.1" localSheetId="4">#REF!</definedName>
    <definedName name="P_1_1.3.1.1" localSheetId="2">#REF!</definedName>
    <definedName name="P_1_1.3.1.1">#REF!</definedName>
    <definedName name="P_1_1.3.1.2" localSheetId="4">#REF!</definedName>
    <definedName name="P_1_1.3.1.2" localSheetId="2">#REF!</definedName>
    <definedName name="P_1_1.3.1.2">#REF!</definedName>
    <definedName name="P_1_1.3.1.3" localSheetId="4">#REF!</definedName>
    <definedName name="P_1_1.3.1.3" localSheetId="2">#REF!</definedName>
    <definedName name="P_1_1.3.1.3">#REF!</definedName>
    <definedName name="P_1_1.3.1.4" localSheetId="4">#REF!</definedName>
    <definedName name="P_1_1.3.1.4" localSheetId="2">#REF!</definedName>
    <definedName name="P_1_1.3.1.4">#REF!</definedName>
    <definedName name="P_1_1.3.1.5" localSheetId="4">#REF!</definedName>
    <definedName name="P_1_1.3.1.5" localSheetId="2">#REF!</definedName>
    <definedName name="P_1_1.3.1.5">#REF!</definedName>
    <definedName name="P_1_1.3.1.6" localSheetId="4">#REF!</definedName>
    <definedName name="P_1_1.3.1.6" localSheetId="2">#REF!</definedName>
    <definedName name="P_1_1.3.1.6">#REF!</definedName>
    <definedName name="P_1_1.3.1.7" localSheetId="4">#REF!</definedName>
    <definedName name="P_1_1.3.1.7" localSheetId="2">#REF!</definedName>
    <definedName name="P_1_1.3.1.7">#REF!</definedName>
    <definedName name="P_1_1.3.1.8" localSheetId="4">#REF!</definedName>
    <definedName name="P_1_1.3.1.8" localSheetId="2">#REF!</definedName>
    <definedName name="P_1_1.3.1.8">#REF!</definedName>
    <definedName name="P_1_1.3.10">#REF!</definedName>
    <definedName name="P_1_1.3.11" localSheetId="4">#REF!</definedName>
    <definedName name="P_1_1.3.11" localSheetId="2">#REF!</definedName>
    <definedName name="P_1_1.3.11">#REF!</definedName>
    <definedName name="P_1_1.3.2.1" localSheetId="4">#REF!</definedName>
    <definedName name="P_1_1.3.2.1" localSheetId="2">#REF!</definedName>
    <definedName name="P_1_1.3.2.1">#REF!</definedName>
    <definedName name="P_1_1.3.2.2" localSheetId="4">#REF!</definedName>
    <definedName name="P_1_1.3.2.2" localSheetId="2">#REF!</definedName>
    <definedName name="P_1_1.3.2.2">#REF!</definedName>
    <definedName name="P_1_1.3.2.3" localSheetId="4">#REF!</definedName>
    <definedName name="P_1_1.3.2.3" localSheetId="2">#REF!</definedName>
    <definedName name="P_1_1.3.2.3">#REF!</definedName>
    <definedName name="P_1_1.3.2.4" localSheetId="4">#REF!</definedName>
    <definedName name="P_1_1.3.2.4" localSheetId="2">#REF!</definedName>
    <definedName name="P_1_1.3.2.4">#REF!</definedName>
    <definedName name="P_1_1.3.3.1" localSheetId="4">#REF!</definedName>
    <definedName name="P_1_1.3.3.1" localSheetId="2">#REF!</definedName>
    <definedName name="P_1_1.3.3.1">#REF!</definedName>
    <definedName name="P_1_1.3.3.2" localSheetId="4">#REF!</definedName>
    <definedName name="P_1_1.3.3.2" localSheetId="2">#REF!</definedName>
    <definedName name="P_1_1.3.3.2">#REF!</definedName>
    <definedName name="P_1_1.3.3.3" localSheetId="4">#REF!</definedName>
    <definedName name="P_1_1.3.3.3" localSheetId="2">#REF!</definedName>
    <definedName name="P_1_1.3.3.3">#REF!</definedName>
    <definedName name="P_1_1.3.3.4" localSheetId="4">#REF!</definedName>
    <definedName name="P_1_1.3.3.4" localSheetId="2">#REF!</definedName>
    <definedName name="P_1_1.3.3.4">#REF!</definedName>
    <definedName name="P_1_1.3.4">#REF!</definedName>
    <definedName name="P_1_1.3.5">#REF!</definedName>
    <definedName name="P_1_1.3.6">#REF!</definedName>
    <definedName name="P_1_1.3.7">#REF!</definedName>
    <definedName name="P_1_1.3.8">#REF!</definedName>
    <definedName name="P_1_1.3.9">#REF!</definedName>
    <definedName name="P_1_1.4.1">#REF!</definedName>
    <definedName name="P_1_1.4.2">#REF!</definedName>
    <definedName name="P_1_1.4.3">#REF!</definedName>
    <definedName name="P_1_1.5">#REF!</definedName>
    <definedName name="P_1_1.6">#REF!</definedName>
    <definedName name="P_1_1.7.1" localSheetId="4">#REF!</definedName>
    <definedName name="P_1_1.7.1" localSheetId="2">#REF!</definedName>
    <definedName name="P_1_1.7.1">#REF!</definedName>
    <definedName name="P_1_1.7.2" localSheetId="4">#REF!</definedName>
    <definedName name="P_1_1.7.2" localSheetId="2">#REF!</definedName>
    <definedName name="P_1_1.7.2">#REF!</definedName>
    <definedName name="P_1_1.7.3" localSheetId="4">#REF!</definedName>
    <definedName name="P_1_1.7.3" localSheetId="2">#REF!</definedName>
    <definedName name="P_1_1.7.3">#REF!</definedName>
    <definedName name="P_1_10.1.1">#REF!</definedName>
    <definedName name="P_1_10.1.10">#REF!</definedName>
    <definedName name="P_1_10.1.11">#REF!</definedName>
    <definedName name="P_1_10.1.2">#REF!</definedName>
    <definedName name="P_1_10.1.3">#REF!</definedName>
    <definedName name="P_1_10.1.4">#REF!</definedName>
    <definedName name="P_1_10.1.5">#REF!</definedName>
    <definedName name="P_1_10.1.6">#REF!</definedName>
    <definedName name="P_1_10.1.7">#REF!</definedName>
    <definedName name="P_1_10.1.8">#REF!</definedName>
    <definedName name="P_1_10.1.9">#REF!</definedName>
    <definedName name="P_1_10.2.1" localSheetId="4">#REF!</definedName>
    <definedName name="P_1_10.2.1" localSheetId="2">#REF!</definedName>
    <definedName name="P_1_10.2.1">#REF!</definedName>
    <definedName name="P_1_10.2.10.1" localSheetId="4">#REF!</definedName>
    <definedName name="P_1_10.2.10.1" localSheetId="2">#REF!</definedName>
    <definedName name="P_1_10.2.10.1">#REF!</definedName>
    <definedName name="P_1_10.2.10.2" localSheetId="4">#REF!</definedName>
    <definedName name="P_1_10.2.10.2" localSheetId="2">#REF!</definedName>
    <definedName name="P_1_10.2.10.2">#REF!</definedName>
    <definedName name="P_1_10.2.11.1" localSheetId="4">#REF!</definedName>
    <definedName name="P_1_10.2.11.1" localSheetId="2">#REF!</definedName>
    <definedName name="P_1_10.2.11.1">#REF!</definedName>
    <definedName name="P_1_10.2.11.2" localSheetId="4">#REF!</definedName>
    <definedName name="P_1_10.2.11.2" localSheetId="2">#REF!</definedName>
    <definedName name="P_1_10.2.11.2">#REF!</definedName>
    <definedName name="P_1_10.2.12.1" localSheetId="4">#REF!</definedName>
    <definedName name="P_1_10.2.12.1" localSheetId="2">#REF!</definedName>
    <definedName name="P_1_10.2.12.1">#REF!</definedName>
    <definedName name="P_1_10.2.12.2" localSheetId="4">#REF!</definedName>
    <definedName name="P_1_10.2.12.2" localSheetId="2">#REF!</definedName>
    <definedName name="P_1_10.2.12.2">#REF!</definedName>
    <definedName name="P_1_10.2.13.1.1" localSheetId="4">#REF!</definedName>
    <definedName name="P_1_10.2.13.1.1" localSheetId="2">#REF!</definedName>
    <definedName name="P_1_10.2.13.1.1">#REF!</definedName>
    <definedName name="P_1_10.2.13.1.2" localSheetId="4">#REF!</definedName>
    <definedName name="P_1_10.2.13.1.2" localSheetId="2">#REF!</definedName>
    <definedName name="P_1_10.2.13.1.2">#REF!</definedName>
    <definedName name="P_1_10.2.13.1.3" localSheetId="4">#REF!</definedName>
    <definedName name="P_1_10.2.13.1.3" localSheetId="2">#REF!</definedName>
    <definedName name="P_1_10.2.13.1.3">#REF!</definedName>
    <definedName name="P_1_10.2.13.1.4" localSheetId="4">#REF!</definedName>
    <definedName name="P_1_10.2.13.1.4" localSheetId="2">#REF!</definedName>
    <definedName name="P_1_10.2.13.1.4">#REF!</definedName>
    <definedName name="P_1_10.2.13.1.5" localSheetId="4">#REF!</definedName>
    <definedName name="P_1_10.2.13.1.5" localSheetId="2">#REF!</definedName>
    <definedName name="P_1_10.2.13.1.5">#REF!</definedName>
    <definedName name="P_1_10.2.13.1.6" localSheetId="4">#REF!</definedName>
    <definedName name="P_1_10.2.13.1.6" localSheetId="2">#REF!</definedName>
    <definedName name="P_1_10.2.13.1.6">#REF!</definedName>
    <definedName name="P_1_10.2.13.2.1" localSheetId="4">#REF!</definedName>
    <definedName name="P_1_10.2.13.2.1" localSheetId="2">#REF!</definedName>
    <definedName name="P_1_10.2.13.2.1">#REF!</definedName>
    <definedName name="P_1_10.2.13.2.2" localSheetId="4">#REF!</definedName>
    <definedName name="P_1_10.2.13.2.2" localSheetId="2">#REF!</definedName>
    <definedName name="P_1_10.2.13.2.2">#REF!</definedName>
    <definedName name="P_1_10.2.13.2.3" localSheetId="4">#REF!</definedName>
    <definedName name="P_1_10.2.13.2.3" localSheetId="2">#REF!</definedName>
    <definedName name="P_1_10.2.13.2.3">#REF!</definedName>
    <definedName name="P_1_10.2.13.2.4" localSheetId="4">#REF!</definedName>
    <definedName name="P_1_10.2.13.2.4" localSheetId="2">#REF!</definedName>
    <definedName name="P_1_10.2.13.2.4">#REF!</definedName>
    <definedName name="P_1_10.2.13.2.5" localSheetId="4">#REF!</definedName>
    <definedName name="P_1_10.2.13.2.5" localSheetId="2">#REF!</definedName>
    <definedName name="P_1_10.2.13.2.5">#REF!</definedName>
    <definedName name="P_1_10.2.13.2.6" localSheetId="4">#REF!</definedName>
    <definedName name="P_1_10.2.13.2.6" localSheetId="2">#REF!</definedName>
    <definedName name="P_1_10.2.13.2.6">#REF!</definedName>
    <definedName name="P_1_10.2.13.3.1" localSheetId="4">#REF!</definedName>
    <definedName name="P_1_10.2.13.3.1" localSheetId="2">#REF!</definedName>
    <definedName name="P_1_10.2.13.3.1">#REF!</definedName>
    <definedName name="P_1_10.2.13.3.2" localSheetId="4">#REF!</definedName>
    <definedName name="P_1_10.2.13.3.2" localSheetId="2">#REF!</definedName>
    <definedName name="P_1_10.2.13.3.2">#REF!</definedName>
    <definedName name="P_1_10.2.13.3.3" localSheetId="4">#REF!</definedName>
    <definedName name="P_1_10.2.13.3.3" localSheetId="2">#REF!</definedName>
    <definedName name="P_1_10.2.13.3.3">#REF!</definedName>
    <definedName name="P_1_10.2.13.3.4" localSheetId="4">#REF!</definedName>
    <definedName name="P_1_10.2.13.3.4" localSheetId="2">#REF!</definedName>
    <definedName name="P_1_10.2.13.3.4">#REF!</definedName>
    <definedName name="P_1_10.2.13.3.5" localSheetId="4">#REF!</definedName>
    <definedName name="P_1_10.2.13.3.5" localSheetId="2">#REF!</definedName>
    <definedName name="P_1_10.2.13.3.5">#REF!</definedName>
    <definedName name="P_1_10.2.13.3.6" localSheetId="4">#REF!</definedName>
    <definedName name="P_1_10.2.13.3.6" localSheetId="2">#REF!</definedName>
    <definedName name="P_1_10.2.13.3.6">#REF!</definedName>
    <definedName name="P_1_10.2.13.4.1" localSheetId="4">#REF!</definedName>
    <definedName name="P_1_10.2.13.4.1" localSheetId="2">#REF!</definedName>
    <definedName name="P_1_10.2.13.4.1">#REF!</definedName>
    <definedName name="P_1_10.2.13.4.2" localSheetId="4">#REF!</definedName>
    <definedName name="P_1_10.2.13.4.2" localSheetId="2">#REF!</definedName>
    <definedName name="P_1_10.2.13.4.2">#REF!</definedName>
    <definedName name="P_1_10.2.13.4.3" localSheetId="4">#REF!</definedName>
    <definedName name="P_1_10.2.13.4.3" localSheetId="2">#REF!</definedName>
    <definedName name="P_1_10.2.13.4.3">#REF!</definedName>
    <definedName name="P_1_10.2.13.4.4" localSheetId="4">#REF!</definedName>
    <definedName name="P_1_10.2.13.4.4" localSheetId="2">#REF!</definedName>
    <definedName name="P_1_10.2.13.4.4">#REF!</definedName>
    <definedName name="P_1_10.2.13.4.5" localSheetId="4">#REF!</definedName>
    <definedName name="P_1_10.2.13.4.5" localSheetId="2">#REF!</definedName>
    <definedName name="P_1_10.2.13.4.5">#REF!</definedName>
    <definedName name="P_1_10.2.14.1.1" localSheetId="4">#REF!</definedName>
    <definedName name="P_1_10.2.14.1.1" localSheetId="2">#REF!</definedName>
    <definedName name="P_1_10.2.14.1.1">#REF!</definedName>
    <definedName name="P_1_10.2.14.1.2" localSheetId="4">#REF!</definedName>
    <definedName name="P_1_10.2.14.1.2" localSheetId="2">#REF!</definedName>
    <definedName name="P_1_10.2.14.1.2">#REF!</definedName>
    <definedName name="P_1_10.2.14.1.3" localSheetId="4">#REF!</definedName>
    <definedName name="P_1_10.2.14.1.3" localSheetId="2">#REF!</definedName>
    <definedName name="P_1_10.2.14.1.3">#REF!</definedName>
    <definedName name="P_1_10.2.14.1.4" localSheetId="4">#REF!</definedName>
    <definedName name="P_1_10.2.14.1.4" localSheetId="2">#REF!</definedName>
    <definedName name="P_1_10.2.14.1.4">#REF!</definedName>
    <definedName name="P_1_10.2.14.1.5" localSheetId="4">#REF!</definedName>
    <definedName name="P_1_10.2.14.1.5" localSheetId="2">#REF!</definedName>
    <definedName name="P_1_10.2.14.1.5">#REF!</definedName>
    <definedName name="P_1_10.2.14.1.6" localSheetId="4">#REF!</definedName>
    <definedName name="P_1_10.2.14.1.6" localSheetId="2">#REF!</definedName>
    <definedName name="P_1_10.2.14.1.6">#REF!</definedName>
    <definedName name="P_1_10.2.14.2.1" localSheetId="4">#REF!</definedName>
    <definedName name="P_1_10.2.14.2.1" localSheetId="2">#REF!</definedName>
    <definedName name="P_1_10.2.14.2.1">#REF!</definedName>
    <definedName name="P_1_10.2.14.2.2" localSheetId="4">#REF!</definedName>
    <definedName name="P_1_10.2.14.2.2" localSheetId="2">#REF!</definedName>
    <definedName name="P_1_10.2.14.2.2">#REF!</definedName>
    <definedName name="P_1_10.2.14.2.3" localSheetId="4">#REF!</definedName>
    <definedName name="P_1_10.2.14.2.3" localSheetId="2">#REF!</definedName>
    <definedName name="P_1_10.2.14.2.3">#REF!</definedName>
    <definedName name="P_1_10.2.14.2.4" localSheetId="4">#REF!</definedName>
    <definedName name="P_1_10.2.14.2.4" localSheetId="2">#REF!</definedName>
    <definedName name="P_1_10.2.14.2.4">#REF!</definedName>
    <definedName name="P_1_10.2.14.2.5" localSheetId="4">#REF!</definedName>
    <definedName name="P_1_10.2.14.2.5" localSheetId="2">#REF!</definedName>
    <definedName name="P_1_10.2.14.2.5">#REF!</definedName>
    <definedName name="P_1_10.2.14.2.6" localSheetId="4">#REF!</definedName>
    <definedName name="P_1_10.2.14.2.6" localSheetId="2">#REF!</definedName>
    <definedName name="P_1_10.2.14.2.6">#REF!</definedName>
    <definedName name="P_1_10.2.14.3.1" localSheetId="4">#REF!</definedName>
    <definedName name="P_1_10.2.14.3.1" localSheetId="2">#REF!</definedName>
    <definedName name="P_1_10.2.14.3.1">#REF!</definedName>
    <definedName name="P_1_10.2.14.3.2" localSheetId="4">#REF!</definedName>
    <definedName name="P_1_10.2.14.3.2" localSheetId="2">#REF!</definedName>
    <definedName name="P_1_10.2.14.3.2">#REF!</definedName>
    <definedName name="P_1_10.2.14.3.3" localSheetId="4">#REF!</definedName>
    <definedName name="P_1_10.2.14.3.3" localSheetId="2">#REF!</definedName>
    <definedName name="P_1_10.2.14.3.3">#REF!</definedName>
    <definedName name="P_1_10.2.14.3.4" localSheetId="4">#REF!</definedName>
    <definedName name="P_1_10.2.14.3.4" localSheetId="2">#REF!</definedName>
    <definedName name="P_1_10.2.14.3.4">#REF!</definedName>
    <definedName name="P_1_10.2.14.3.5" localSheetId="4">#REF!</definedName>
    <definedName name="P_1_10.2.14.3.5" localSheetId="2">#REF!</definedName>
    <definedName name="P_1_10.2.14.3.5">#REF!</definedName>
    <definedName name="P_1_10.2.14.3.6" localSheetId="4">#REF!</definedName>
    <definedName name="P_1_10.2.14.3.6" localSheetId="2">#REF!</definedName>
    <definedName name="P_1_10.2.14.3.6">#REF!</definedName>
    <definedName name="P_1_10.2.14.4.1" localSheetId="4">#REF!</definedName>
    <definedName name="P_1_10.2.14.4.1" localSheetId="2">#REF!</definedName>
    <definedName name="P_1_10.2.14.4.1">#REF!</definedName>
    <definedName name="P_1_10.2.14.4.2" localSheetId="4">#REF!</definedName>
    <definedName name="P_1_10.2.14.4.2" localSheetId="2">#REF!</definedName>
    <definedName name="P_1_10.2.14.4.2">#REF!</definedName>
    <definedName name="P_1_10.2.14.4.3" localSheetId="4">#REF!</definedName>
    <definedName name="P_1_10.2.14.4.3" localSheetId="2">#REF!</definedName>
    <definedName name="P_1_10.2.14.4.3">#REF!</definedName>
    <definedName name="P_1_10.2.14.4.4" localSheetId="4">#REF!</definedName>
    <definedName name="P_1_10.2.14.4.4" localSheetId="2">#REF!</definedName>
    <definedName name="P_1_10.2.14.4.4">#REF!</definedName>
    <definedName name="P_1_10.2.14.4.5" localSheetId="4">#REF!</definedName>
    <definedName name="P_1_10.2.14.4.5" localSheetId="2">#REF!</definedName>
    <definedName name="P_1_10.2.14.4.5">#REF!</definedName>
    <definedName name="P_1_10.2.14.4.6" localSheetId="4">#REF!</definedName>
    <definedName name="P_1_10.2.14.4.6" localSheetId="2">#REF!</definedName>
    <definedName name="P_1_10.2.14.4.6">#REF!</definedName>
    <definedName name="P_1_10.2.15.1" localSheetId="4">#REF!</definedName>
    <definedName name="P_1_10.2.15.1" localSheetId="2">#REF!</definedName>
    <definedName name="P_1_10.2.15.1">#REF!</definedName>
    <definedName name="P_1_10.2.15.2" localSheetId="4">#REF!</definedName>
    <definedName name="P_1_10.2.15.2" localSheetId="2">#REF!</definedName>
    <definedName name="P_1_10.2.15.2">#REF!</definedName>
    <definedName name="P_1_10.2.15.3" localSheetId="4">#REF!</definedName>
    <definedName name="P_1_10.2.15.3" localSheetId="2">#REF!</definedName>
    <definedName name="P_1_10.2.15.3">#REF!</definedName>
    <definedName name="P_1_10.2.15.4" localSheetId="4">#REF!</definedName>
    <definedName name="P_1_10.2.15.4" localSheetId="2">#REF!</definedName>
    <definedName name="P_1_10.2.15.4">#REF!</definedName>
    <definedName name="P_1_10.2.2" localSheetId="4">#REF!</definedName>
    <definedName name="P_1_10.2.2" localSheetId="2">#REF!</definedName>
    <definedName name="P_1_10.2.2">#REF!</definedName>
    <definedName name="P_1_10.2.3" localSheetId="4">#REF!</definedName>
    <definedName name="P_1_10.2.3" localSheetId="2">#REF!</definedName>
    <definedName name="P_1_10.2.3">#REF!</definedName>
    <definedName name="P_1_10.2.4.1" localSheetId="4">#REF!</definedName>
    <definedName name="P_1_10.2.4.1" localSheetId="2">#REF!</definedName>
    <definedName name="P_1_10.2.4.1">#REF!</definedName>
    <definedName name="P_1_10.2.4.2" localSheetId="4">#REF!</definedName>
    <definedName name="P_1_10.2.4.2" localSheetId="2">#REF!</definedName>
    <definedName name="P_1_10.2.4.2">#REF!</definedName>
    <definedName name="P_1_10.2.4.3" localSheetId="4">#REF!</definedName>
    <definedName name="P_1_10.2.4.3" localSheetId="2">#REF!</definedName>
    <definedName name="P_1_10.2.4.3">#REF!</definedName>
    <definedName name="P_1_10.2.4.4" localSheetId="4">#REF!</definedName>
    <definedName name="P_1_10.2.4.4" localSheetId="2">#REF!</definedName>
    <definedName name="P_1_10.2.4.4">#REF!</definedName>
    <definedName name="P_1_10.2.4.5" localSheetId="4">#REF!</definedName>
    <definedName name="P_1_10.2.4.5" localSheetId="2">#REF!</definedName>
    <definedName name="P_1_10.2.4.5">#REF!</definedName>
    <definedName name="P_1_10.2.4.6" localSheetId="4">#REF!</definedName>
    <definedName name="P_1_10.2.4.6" localSheetId="2">#REF!</definedName>
    <definedName name="P_1_10.2.4.6">#REF!</definedName>
    <definedName name="P_1_10.2.5.1" localSheetId="4">#REF!</definedName>
    <definedName name="P_1_10.2.5.1" localSheetId="2">#REF!</definedName>
    <definedName name="P_1_10.2.5.1">#REF!</definedName>
    <definedName name="P_1_10.2.5.2" localSheetId="4">#REF!</definedName>
    <definedName name="P_1_10.2.5.2" localSheetId="2">#REF!</definedName>
    <definedName name="P_1_10.2.5.2">#REF!</definedName>
    <definedName name="P_1_10.2.5.3" localSheetId="4">#REF!</definedName>
    <definedName name="P_1_10.2.5.3" localSheetId="2">#REF!</definedName>
    <definedName name="P_1_10.2.5.3">#REF!</definedName>
    <definedName name="P_1_10.2.5.4" localSheetId="4">#REF!</definedName>
    <definedName name="P_1_10.2.5.4" localSheetId="2">#REF!</definedName>
    <definedName name="P_1_10.2.5.4">#REF!</definedName>
    <definedName name="P_1_10.2.5.5" localSheetId="4">#REF!</definedName>
    <definedName name="P_1_10.2.5.5" localSheetId="2">#REF!</definedName>
    <definedName name="P_1_10.2.5.5">#REF!</definedName>
    <definedName name="P_1_10.2.5.6" localSheetId="4">#REF!</definedName>
    <definedName name="P_1_10.2.5.6" localSheetId="2">#REF!</definedName>
    <definedName name="P_1_10.2.5.6">#REF!</definedName>
    <definedName name="P_1_10.2.6.1" localSheetId="4">#REF!</definedName>
    <definedName name="P_1_10.2.6.1" localSheetId="2">#REF!</definedName>
    <definedName name="P_1_10.2.6.1">#REF!</definedName>
    <definedName name="P_1_10.2.6.2" localSheetId="4">#REF!</definedName>
    <definedName name="P_1_10.2.6.2" localSheetId="2">#REF!</definedName>
    <definedName name="P_1_10.2.6.2">#REF!</definedName>
    <definedName name="P_1_10.2.6.3" localSheetId="4">#REF!</definedName>
    <definedName name="P_1_10.2.6.3" localSheetId="2">#REF!</definedName>
    <definedName name="P_1_10.2.6.3">#REF!</definedName>
    <definedName name="P_1_10.2.7.1" localSheetId="4">#REF!</definedName>
    <definedName name="P_1_10.2.7.1" localSheetId="2">#REF!</definedName>
    <definedName name="P_1_10.2.7.1">#REF!</definedName>
    <definedName name="P_1_10.2.7.2" localSheetId="4">#REF!</definedName>
    <definedName name="P_1_10.2.7.2" localSheetId="2">#REF!</definedName>
    <definedName name="P_1_10.2.7.2">#REF!</definedName>
    <definedName name="P_1_10.2.7.3" localSheetId="4">#REF!</definedName>
    <definedName name="P_1_10.2.7.3" localSheetId="2">#REF!</definedName>
    <definedName name="P_1_10.2.7.3">#REF!</definedName>
    <definedName name="P_1_10.2.7.4" localSheetId="4">#REF!</definedName>
    <definedName name="P_1_10.2.7.4" localSheetId="2">#REF!</definedName>
    <definedName name="P_1_10.2.7.4">#REF!</definedName>
    <definedName name="P_1_10.2.7.5" localSheetId="4">#REF!</definedName>
    <definedName name="P_1_10.2.7.5" localSheetId="2">#REF!</definedName>
    <definedName name="P_1_10.2.7.5">#REF!</definedName>
    <definedName name="P_1_10.2.7.6" localSheetId="4">#REF!</definedName>
    <definedName name="P_1_10.2.7.6" localSheetId="2">#REF!</definedName>
    <definedName name="P_1_10.2.7.6">#REF!</definedName>
    <definedName name="P_1_10.2.8.1" localSheetId="4">#REF!</definedName>
    <definedName name="P_1_10.2.8.1" localSheetId="2">#REF!</definedName>
    <definedName name="P_1_10.2.8.1">#REF!</definedName>
    <definedName name="P_1_10.2.8.2" localSheetId="4">#REF!</definedName>
    <definedName name="P_1_10.2.8.2" localSheetId="2">#REF!</definedName>
    <definedName name="P_1_10.2.8.2">#REF!</definedName>
    <definedName name="P_1_10.2.8.3" localSheetId="4">#REF!</definedName>
    <definedName name="P_1_10.2.8.3" localSheetId="2">#REF!</definedName>
    <definedName name="P_1_10.2.8.3">#REF!</definedName>
    <definedName name="P_1_10.2.8.4" localSheetId="4">#REF!</definedName>
    <definedName name="P_1_10.2.8.4" localSheetId="2">#REF!</definedName>
    <definedName name="P_1_10.2.8.4">#REF!</definedName>
    <definedName name="P_1_10.2.8.5" localSheetId="4">#REF!</definedName>
    <definedName name="P_1_10.2.8.5" localSheetId="2">#REF!</definedName>
    <definedName name="P_1_10.2.8.5">#REF!</definedName>
    <definedName name="P_1_10.2.8.6" localSheetId="4">#REF!</definedName>
    <definedName name="P_1_10.2.8.6" localSheetId="2">#REF!</definedName>
    <definedName name="P_1_10.2.8.6">#REF!</definedName>
    <definedName name="P_1_10.2.9.1" localSheetId="4">#REF!</definedName>
    <definedName name="P_1_10.2.9.1" localSheetId="2">#REF!</definedName>
    <definedName name="P_1_10.2.9.1">#REF!</definedName>
    <definedName name="P_1_10.2.9.2" localSheetId="4">#REF!</definedName>
    <definedName name="P_1_10.2.9.2" localSheetId="2">#REF!</definedName>
    <definedName name="P_1_10.2.9.2">#REF!</definedName>
    <definedName name="P_1_10.3.1">#REF!</definedName>
    <definedName name="P_1_10.3.10">#REF!</definedName>
    <definedName name="P_1_10.3.11">#REF!</definedName>
    <definedName name="P_1_10.3.12">#REF!</definedName>
    <definedName name="P_1_10.3.13">#REF!</definedName>
    <definedName name="P_1_10.3.14">#REF!</definedName>
    <definedName name="P_1_10.3.15">#REF!</definedName>
    <definedName name="P_1_10.3.16" localSheetId="4">#REF!</definedName>
    <definedName name="P_1_10.3.16" localSheetId="2">#REF!</definedName>
    <definedName name="P_1_10.3.16">#REF!</definedName>
    <definedName name="P_1_10.3.17" localSheetId="4">#REF!</definedName>
    <definedName name="P_1_10.3.17" localSheetId="2">#REF!</definedName>
    <definedName name="P_1_10.3.17">#REF!</definedName>
    <definedName name="P_1_10.3.18" localSheetId="4">#REF!</definedName>
    <definedName name="P_1_10.3.18" localSheetId="2">#REF!</definedName>
    <definedName name="P_1_10.3.18">#REF!</definedName>
    <definedName name="P_1_10.3.19" localSheetId="4">#REF!</definedName>
    <definedName name="P_1_10.3.19" localSheetId="2">#REF!</definedName>
    <definedName name="P_1_10.3.19">#REF!</definedName>
    <definedName name="P_1_10.3.2" localSheetId="4">#REF!</definedName>
    <definedName name="P_1_10.3.2" localSheetId="2">#REF!</definedName>
    <definedName name="P_1_10.3.2">#REF!</definedName>
    <definedName name="P_1_10.3.20" localSheetId="4">#REF!</definedName>
    <definedName name="P_1_10.3.20" localSheetId="2">#REF!</definedName>
    <definedName name="P_1_10.3.20">#REF!</definedName>
    <definedName name="P_1_10.3.21" localSheetId="4">#REF!</definedName>
    <definedName name="P_1_10.3.21" localSheetId="2">#REF!</definedName>
    <definedName name="P_1_10.3.21">#REF!</definedName>
    <definedName name="P_1_10.3.3" localSheetId="4">#REF!</definedName>
    <definedName name="P_1_10.3.3" localSheetId="2">#REF!</definedName>
    <definedName name="P_1_10.3.3">#REF!</definedName>
    <definedName name="P_1_10.3.4" localSheetId="4">#REF!</definedName>
    <definedName name="P_1_10.3.4" localSheetId="2">#REF!</definedName>
    <definedName name="P_1_10.3.4">#REF!</definedName>
    <definedName name="P_1_10.3.5" localSheetId="4">#REF!</definedName>
    <definedName name="P_1_10.3.5" localSheetId="2">#REF!</definedName>
    <definedName name="P_1_10.3.5">#REF!</definedName>
    <definedName name="P_1_10.3.6" localSheetId="4">#REF!</definedName>
    <definedName name="P_1_10.3.6" localSheetId="2">#REF!</definedName>
    <definedName name="P_1_10.3.6">#REF!</definedName>
    <definedName name="P_1_10.3.7" localSheetId="4">#REF!</definedName>
    <definedName name="P_1_10.3.7" localSheetId="2">#REF!</definedName>
    <definedName name="P_1_10.3.7">#REF!</definedName>
    <definedName name="P_1_10.3.8">#REF!</definedName>
    <definedName name="P_1_10.3.9">#REF!</definedName>
    <definedName name="P_1_10.4.1">#REF!</definedName>
    <definedName name="P_1_10.4.10">#REF!</definedName>
    <definedName name="P_1_10.4.11">#REF!</definedName>
    <definedName name="P_1_10.4.12">#REF!</definedName>
    <definedName name="P_1_10.4.13" localSheetId="4">#REF!</definedName>
    <definedName name="P_1_10.4.13" localSheetId="2">#REF!</definedName>
    <definedName name="P_1_10.4.13">#REF!</definedName>
    <definedName name="P_1_10.4.14" localSheetId="4">#REF!</definedName>
    <definedName name="P_1_10.4.14" localSheetId="2">#REF!</definedName>
    <definedName name="P_1_10.4.14">#REF!</definedName>
    <definedName name="P_1_10.4.15">#REF!</definedName>
    <definedName name="P_1_10.4.2">#REF!</definedName>
    <definedName name="P_1_10.4.3">#REF!</definedName>
    <definedName name="P_1_10.4.4" localSheetId="4">#REF!</definedName>
    <definedName name="P_1_10.4.4" localSheetId="2">#REF!</definedName>
    <definedName name="P_1_10.4.4">#REF!</definedName>
    <definedName name="P_1_10.4.5">#REF!</definedName>
    <definedName name="P_1_10.4.6">#REF!</definedName>
    <definedName name="P_1_10.4.7">#REF!</definedName>
    <definedName name="P_1_10.4.8">#REF!</definedName>
    <definedName name="P_1_10.4.9">#REF!</definedName>
    <definedName name="P_1_11.1.1.1">#REF!</definedName>
    <definedName name="P_1_11.1.1.2">#REF!</definedName>
    <definedName name="P_1_11.1.1.3">#REF!</definedName>
    <definedName name="P_1_11.1.1.4">#REF!</definedName>
    <definedName name="P_1_11.1.2.1">#REF!</definedName>
    <definedName name="P_1_11.1.2.2">#REF!</definedName>
    <definedName name="P_1_11.1.2.3">#REF!</definedName>
    <definedName name="P_1_11.1.2.4">#REF!</definedName>
    <definedName name="P_1_11.1.3.1">#REF!</definedName>
    <definedName name="P_1_11.1.3.2">#REF!</definedName>
    <definedName name="P_1_11.1.3.3">#REF!</definedName>
    <definedName name="P_1_11.1.3.4">#REF!</definedName>
    <definedName name="P_1_11.2.1">#REF!</definedName>
    <definedName name="P_1_11.2.2">#REF!</definedName>
    <definedName name="P_1_11.2.3">#REF!</definedName>
    <definedName name="P_1_11.2.4">#REF!</definedName>
    <definedName name="P_1_11.2.5">#REF!</definedName>
    <definedName name="P_1_11.3.1">#REF!</definedName>
    <definedName name="P_1_11.3.2">#REF!</definedName>
    <definedName name="P_1_11.3.3">#REF!</definedName>
    <definedName name="P_1_11.3.4">#REF!</definedName>
    <definedName name="P_1_11.3.5">#REF!</definedName>
    <definedName name="P_1_11.3.6">#REF!</definedName>
    <definedName name="P_1_11.4.1" localSheetId="4">#REF!</definedName>
    <definedName name="P_1_11.4.1" localSheetId="2">#REF!</definedName>
    <definedName name="P_1_11.4.1">#REF!</definedName>
    <definedName name="P_1_11.4.2.1" localSheetId="4">#REF!</definedName>
    <definedName name="P_1_11.4.2.1" localSheetId="2">#REF!</definedName>
    <definedName name="P_1_11.4.2.1">#REF!</definedName>
    <definedName name="P_1_11.4.2.2" localSheetId="4">#REF!</definedName>
    <definedName name="P_1_11.4.2.2" localSheetId="2">#REF!</definedName>
    <definedName name="P_1_11.4.2.2">#REF!</definedName>
    <definedName name="P_1_11.4.2.3" localSheetId="4">#REF!</definedName>
    <definedName name="P_1_11.4.2.3" localSheetId="2">#REF!</definedName>
    <definedName name="P_1_11.4.2.3">#REF!</definedName>
    <definedName name="P_1_11.4.2.4" localSheetId="4">#REF!</definedName>
    <definedName name="P_1_11.4.2.4" localSheetId="2">#REF!</definedName>
    <definedName name="P_1_11.4.2.4">#REF!</definedName>
    <definedName name="P_1_11.4.2.5" localSheetId="4">#REF!</definedName>
    <definedName name="P_1_11.4.2.5" localSheetId="2">#REF!</definedName>
    <definedName name="P_1_11.4.2.5">#REF!</definedName>
    <definedName name="P_1_11.4.3.1" localSheetId="4">#REF!</definedName>
    <definedName name="P_1_11.4.3.1" localSheetId="2">#REF!</definedName>
    <definedName name="P_1_11.4.3.1">#REF!</definedName>
    <definedName name="P_1_11.4.3.2" localSheetId="4">#REF!</definedName>
    <definedName name="P_1_11.4.3.2" localSheetId="2">#REF!</definedName>
    <definedName name="P_1_11.4.3.2">#REF!</definedName>
    <definedName name="P_1_11.4.3.3" localSheetId="4">#REF!</definedName>
    <definedName name="P_1_11.4.3.3" localSheetId="2">#REF!</definedName>
    <definedName name="P_1_11.4.3.3">#REF!</definedName>
    <definedName name="P_1_11.4.3.4" localSheetId="4">#REF!</definedName>
    <definedName name="P_1_11.4.3.4" localSheetId="2">#REF!</definedName>
    <definedName name="P_1_11.4.3.4">#REF!</definedName>
    <definedName name="P_1_11.4.3.5" localSheetId="4">#REF!</definedName>
    <definedName name="P_1_11.4.3.5" localSheetId="2">#REF!</definedName>
    <definedName name="P_1_11.4.3.5">#REF!</definedName>
    <definedName name="P_1_11.4.4.1" localSheetId="4">#REF!</definedName>
    <definedName name="P_1_11.4.4.1" localSheetId="2">#REF!</definedName>
    <definedName name="P_1_11.4.4.1">#REF!</definedName>
    <definedName name="P_1_11.4.4.2" localSheetId="4">#REF!</definedName>
    <definedName name="P_1_11.4.4.2" localSheetId="2">#REF!</definedName>
    <definedName name="P_1_11.4.4.2">#REF!</definedName>
    <definedName name="P_1_11.4.4.3" localSheetId="4">#REF!</definedName>
    <definedName name="P_1_11.4.4.3" localSheetId="2">#REF!</definedName>
    <definedName name="P_1_11.4.4.3">#REF!</definedName>
    <definedName name="P_1_11.4.4.4" localSheetId="4">#REF!</definedName>
    <definedName name="P_1_11.4.4.4" localSheetId="2">#REF!</definedName>
    <definedName name="P_1_11.4.4.4">#REF!</definedName>
    <definedName name="P_1_11.4.4.5" localSheetId="4">#REF!</definedName>
    <definedName name="P_1_11.4.4.5" localSheetId="2">#REF!</definedName>
    <definedName name="P_1_11.4.4.5">#REF!</definedName>
    <definedName name="P_1_11.5.1">#REF!</definedName>
    <definedName name="P_1_11.5.2">#REF!</definedName>
    <definedName name="P_1_11.5.3">#REF!</definedName>
    <definedName name="P_1_11.5.4">#REF!</definedName>
    <definedName name="P_1_11.5.5">#REF!</definedName>
    <definedName name="P_1_11.5.6">#REF!</definedName>
    <definedName name="P_1_11.5.7">#REF!</definedName>
    <definedName name="P_1_11.6.1.1">#REF!</definedName>
    <definedName name="P_1_11.6.1.10">#REF!</definedName>
    <definedName name="P_1_11.6.1.11">#REF!</definedName>
    <definedName name="P_1_11.6.1.12">#REF!</definedName>
    <definedName name="P_1_11.6.1.2">#REF!</definedName>
    <definedName name="P_1_11.6.1.3">#REF!</definedName>
    <definedName name="P_1_11.6.1.4">#REF!</definedName>
    <definedName name="P_1_11.6.1.5">#REF!</definedName>
    <definedName name="P_1_11.6.1.6">#REF!</definedName>
    <definedName name="P_1_11.6.1.7">#REF!</definedName>
    <definedName name="P_1_11.6.1.8">#REF!</definedName>
    <definedName name="P_1_11.6.1.9">#REF!</definedName>
    <definedName name="P_1_11.6.2.1">#REF!</definedName>
    <definedName name="P_1_11.6.2.10">#REF!</definedName>
    <definedName name="P_1_11.6.2.11">#REF!</definedName>
    <definedName name="P_1_11.6.2.12">#REF!</definedName>
    <definedName name="P_1_11.6.2.2">#REF!</definedName>
    <definedName name="P_1_11.6.2.3">#REF!</definedName>
    <definedName name="P_1_11.6.2.4">#REF!</definedName>
    <definedName name="P_1_11.6.2.5">#REF!</definedName>
    <definedName name="P_1_11.6.2.6">#REF!</definedName>
    <definedName name="P_1_11.6.2.7">#REF!</definedName>
    <definedName name="P_1_11.6.2.8">#REF!</definedName>
    <definedName name="P_1_11.6.2.9">#REF!</definedName>
    <definedName name="P_1_11.7.1">#REF!</definedName>
    <definedName name="P_1_11.7.2">#REF!</definedName>
    <definedName name="P_1_11.7.3">#REF!</definedName>
    <definedName name="P_1_11.8.1">#REF!</definedName>
    <definedName name="P_1_11.8.2">#REF!</definedName>
    <definedName name="P_1_11.8.3">#REF!</definedName>
    <definedName name="P_1_11.8.4" localSheetId="4">#REF!</definedName>
    <definedName name="P_1_11.8.4" localSheetId="2">#REF!</definedName>
    <definedName name="P_1_11.8.4">#REF!</definedName>
    <definedName name="P_1_11.8.5" localSheetId="4">#REF!</definedName>
    <definedName name="P_1_11.8.5" localSheetId="2">#REF!</definedName>
    <definedName name="P_1_11.8.5">#REF!</definedName>
    <definedName name="P_1_12.1.1" localSheetId="4">#REF!</definedName>
    <definedName name="P_1_12.1.1" localSheetId="2">#REF!</definedName>
    <definedName name="P_1_12.1.1">#REF!</definedName>
    <definedName name="P_1_12.1.2" localSheetId="4">#REF!</definedName>
    <definedName name="P_1_12.1.2" localSheetId="2">#REF!</definedName>
    <definedName name="P_1_12.1.2">#REF!</definedName>
    <definedName name="P_1_12.1.3" localSheetId="4">#REF!</definedName>
    <definedName name="P_1_12.1.3" localSheetId="2">#REF!</definedName>
    <definedName name="P_1_12.1.3">#REF!</definedName>
    <definedName name="P_1_12.1.4" localSheetId="4">#REF!</definedName>
    <definedName name="P_1_12.1.4" localSheetId="2">#REF!</definedName>
    <definedName name="P_1_12.1.4">#REF!</definedName>
    <definedName name="P_1_12.10.1">#REF!</definedName>
    <definedName name="P_1_12.10.2">#REF!</definedName>
    <definedName name="P_1_12.10.3">#REF!</definedName>
    <definedName name="P_1_12.10.4">#REF!</definedName>
    <definedName name="P_1_12.10.5">#REF!</definedName>
    <definedName name="P_1_12.11.1" localSheetId="4">#REF!</definedName>
    <definedName name="P_1_12.11.1" localSheetId="2">#REF!</definedName>
    <definedName name="P_1_12.11.1">#REF!</definedName>
    <definedName name="P_1_12.11.2" localSheetId="4">#REF!</definedName>
    <definedName name="P_1_12.11.2" localSheetId="2">#REF!</definedName>
    <definedName name="P_1_12.11.2">#REF!</definedName>
    <definedName name="P_1_12.11.3" localSheetId="4">#REF!</definedName>
    <definedName name="P_1_12.11.3" localSheetId="2">#REF!</definedName>
    <definedName name="P_1_12.11.3">#REF!</definedName>
    <definedName name="P_1_12.11.4" localSheetId="4">#REF!</definedName>
    <definedName name="P_1_12.11.4" localSheetId="2">#REF!</definedName>
    <definedName name="P_1_12.11.4">#REF!</definedName>
    <definedName name="P_1_12.2.1.1">#REF!</definedName>
    <definedName name="P_1_12.2.1.2">#REF!</definedName>
    <definedName name="P_1_12.2.1.3">#REF!</definedName>
    <definedName name="P_1_12.2.1.4">#REF!</definedName>
    <definedName name="P_1_12.2.1.5">#REF!</definedName>
    <definedName name="P_1_12.2.1.6">#REF!</definedName>
    <definedName name="P_1_12.2.1.7">#REF!</definedName>
    <definedName name="P_1_12.2.1.8">#REF!</definedName>
    <definedName name="P_1_12.2.1.9">#REF!</definedName>
    <definedName name="P_1_12.2.2.1" localSheetId="4">#REF!</definedName>
    <definedName name="P_1_12.2.2.1" localSheetId="2">#REF!</definedName>
    <definedName name="P_1_12.2.2.1">#REF!</definedName>
    <definedName name="P_1_12.2.2.2" localSheetId="4">#REF!</definedName>
    <definedName name="P_1_12.2.2.2" localSheetId="2">#REF!</definedName>
    <definedName name="P_1_12.2.2.2">#REF!</definedName>
    <definedName name="P_1_12.2.2.3" localSheetId="4">#REF!</definedName>
    <definedName name="P_1_12.2.2.3" localSheetId="2">#REF!</definedName>
    <definedName name="P_1_12.2.2.3">#REF!</definedName>
    <definedName name="P_1_12.2.2.4" localSheetId="4">#REF!</definedName>
    <definedName name="P_1_12.2.2.4" localSheetId="2">#REF!</definedName>
    <definedName name="P_1_12.2.2.4">#REF!</definedName>
    <definedName name="P_1_12.2.2.5" localSheetId="4">#REF!</definedName>
    <definedName name="P_1_12.2.2.5" localSheetId="2">#REF!</definedName>
    <definedName name="P_1_12.2.2.5">#REF!</definedName>
    <definedName name="P_1_12.2.3">#REF!</definedName>
    <definedName name="P_1_12.2.4" localSheetId="4">#REF!</definedName>
    <definedName name="P_1_12.2.4" localSheetId="2">#REF!</definedName>
    <definedName name="P_1_12.2.4">#REF!</definedName>
    <definedName name="P_1_12.3.1">#REF!</definedName>
    <definedName name="P_1_12.3.2">#REF!</definedName>
    <definedName name="P_1_12.3.3">#REF!</definedName>
    <definedName name="P_1_12.3.4">#REF!</definedName>
    <definedName name="P_1_12.4.1" localSheetId="4">#REF!</definedName>
    <definedName name="P_1_12.4.1" localSheetId="2">#REF!</definedName>
    <definedName name="P_1_12.4.1">#REF!</definedName>
    <definedName name="P_1_12.4.2" localSheetId="4">#REF!</definedName>
    <definedName name="P_1_12.4.2" localSheetId="2">#REF!</definedName>
    <definedName name="P_1_12.4.2">#REF!</definedName>
    <definedName name="P_1_12.4.3">#REF!</definedName>
    <definedName name="P_1_12.4.4" localSheetId="4">#REF!</definedName>
    <definedName name="P_1_12.4.4" localSheetId="2">#REF!</definedName>
    <definedName name="P_1_12.4.4">#REF!</definedName>
    <definedName name="P_1_12.4.5" localSheetId="4">#REF!</definedName>
    <definedName name="P_1_12.4.5" localSheetId="2">#REF!</definedName>
    <definedName name="P_1_12.4.5">#REF!</definedName>
    <definedName name="P_1_12.4.6" localSheetId="4">#REF!</definedName>
    <definedName name="P_1_12.4.6" localSheetId="2">#REF!</definedName>
    <definedName name="P_1_12.4.6">#REF!</definedName>
    <definedName name="P_1_12.4.7" localSheetId="4">#REF!</definedName>
    <definedName name="P_1_12.4.7" localSheetId="2">#REF!</definedName>
    <definedName name="P_1_12.4.7">#REF!</definedName>
    <definedName name="P_1_12.4.8" localSheetId="4">#REF!</definedName>
    <definedName name="P_1_12.4.8" localSheetId="2">#REF!</definedName>
    <definedName name="P_1_12.4.8">#REF!</definedName>
    <definedName name="P_1_12.5.1">#REF!</definedName>
    <definedName name="P_1_12.5.2">#REF!</definedName>
    <definedName name="P_1_12.5.3">#REF!</definedName>
    <definedName name="P_1_12.5.4">#REF!</definedName>
    <definedName name="P_1_12.5.5">#REF!</definedName>
    <definedName name="P_1_12.5.6">#REF!</definedName>
    <definedName name="P_1_12.6.1">#REF!</definedName>
    <definedName name="P_1_12.6.2" localSheetId="4">#REF!</definedName>
    <definedName name="P_1_12.6.2" localSheetId="2">#REF!</definedName>
    <definedName name="P_1_12.6.2">#REF!</definedName>
    <definedName name="P_1_12.6.3.1">#REF!</definedName>
    <definedName name="P_1_12.6.3.2">#REF!</definedName>
    <definedName name="P_1_12.6.3.3">#REF!</definedName>
    <definedName name="P_1_12.6.3.4">#REF!</definedName>
    <definedName name="P_1_12.6.3.5">#REF!</definedName>
    <definedName name="P_1_12.6.3.6">#REF!</definedName>
    <definedName name="P_1_12.6.3.7">#REF!</definedName>
    <definedName name="P_1_12.7.1">#REF!</definedName>
    <definedName name="P_1_12.7.10">#REF!</definedName>
    <definedName name="P_1_12.7.2">#REF!</definedName>
    <definedName name="P_1_12.7.3">#REF!</definedName>
    <definedName name="P_1_12.7.4">#REF!</definedName>
    <definedName name="P_1_12.7.5">#REF!</definedName>
    <definedName name="P_1_12.7.6">#REF!</definedName>
    <definedName name="P_1_12.7.7">#REF!</definedName>
    <definedName name="P_1_12.7.8">#REF!</definedName>
    <definedName name="P_1_12.7.9">#REF!</definedName>
    <definedName name="P_1_12.8.1">#REF!</definedName>
    <definedName name="P_1_12.8.2">#REF!</definedName>
    <definedName name="P_1_12.8.3">#REF!</definedName>
    <definedName name="P_1_12.8.4">#REF!</definedName>
    <definedName name="P_1_12.9.1.1">#REF!</definedName>
    <definedName name="P_1_12.9.1.2" localSheetId="4">#REF!</definedName>
    <definedName name="P_1_12.9.1.2" localSheetId="2">#REF!</definedName>
    <definedName name="P_1_12.9.1.2">#REF!</definedName>
    <definedName name="P_1_12.9.1.3" localSheetId="4">#REF!</definedName>
    <definedName name="P_1_12.9.1.3" localSheetId="2">#REF!</definedName>
    <definedName name="P_1_12.9.1.3">#REF!</definedName>
    <definedName name="P_1_12.9.1.4" localSheetId="4">#REF!</definedName>
    <definedName name="P_1_12.9.1.4" localSheetId="2">#REF!</definedName>
    <definedName name="P_1_12.9.1.4">#REF!</definedName>
    <definedName name="P_1_12.9.1.5" localSheetId="4">#REF!</definedName>
    <definedName name="P_1_12.9.1.5" localSheetId="2">#REF!</definedName>
    <definedName name="P_1_12.9.1.5">#REF!</definedName>
    <definedName name="P_1_12.9.2.1">#REF!</definedName>
    <definedName name="P_1_12.9.2.2">#REF!</definedName>
    <definedName name="P_1_12.9.2.3" localSheetId="4">#REF!</definedName>
    <definedName name="P_1_12.9.2.3" localSheetId="2">#REF!</definedName>
    <definedName name="P_1_12.9.2.3">#REF!</definedName>
    <definedName name="P_1_12.9.2.4" localSheetId="4">#REF!</definedName>
    <definedName name="P_1_12.9.2.4" localSheetId="2">#REF!</definedName>
    <definedName name="P_1_12.9.2.4">#REF!</definedName>
    <definedName name="P_1_12.9.2.5" localSheetId="4">#REF!</definedName>
    <definedName name="P_1_12.9.2.5" localSheetId="2">#REF!</definedName>
    <definedName name="P_1_12.9.2.5">#REF!</definedName>
    <definedName name="P_1_12.9.2.6">#REF!</definedName>
    <definedName name="P_1_12.9.2.7" localSheetId="4">#REF!</definedName>
    <definedName name="P_1_12.9.2.7" localSheetId="2">#REF!</definedName>
    <definedName name="P_1_12.9.2.7">#REF!</definedName>
    <definedName name="P_1_12.9.2.8" localSheetId="4">#REF!</definedName>
    <definedName name="P_1_12.9.2.8" localSheetId="2">#REF!</definedName>
    <definedName name="P_1_12.9.2.8">#REF!</definedName>
    <definedName name="P_1_12.9.3.1">#REF!</definedName>
    <definedName name="P_1_12.9.3.2">#REF!</definedName>
    <definedName name="P_1_12.9.3.3">#REF!</definedName>
    <definedName name="P_1_12.9.4.1" localSheetId="4">#REF!</definedName>
    <definedName name="P_1_12.9.4.1" localSheetId="2">#REF!</definedName>
    <definedName name="P_1_12.9.4.1">#REF!</definedName>
    <definedName name="P_1_12.9.4.10">#REF!</definedName>
    <definedName name="P_1_12.9.4.11" localSheetId="4">#REF!</definedName>
    <definedName name="P_1_12.9.4.11" localSheetId="2">#REF!</definedName>
    <definedName name="P_1_12.9.4.11">#REF!</definedName>
    <definedName name="P_1_12.9.4.12" localSheetId="4">#REF!</definedName>
    <definedName name="P_1_12.9.4.12" localSheetId="2">#REF!</definedName>
    <definedName name="P_1_12.9.4.12">#REF!</definedName>
    <definedName name="P_1_12.9.4.13" localSheetId="4">#REF!</definedName>
    <definedName name="P_1_12.9.4.13" localSheetId="2">#REF!</definedName>
    <definedName name="P_1_12.9.4.13">#REF!</definedName>
    <definedName name="P_1_12.9.4.14" localSheetId="4">#REF!</definedName>
    <definedName name="P_1_12.9.4.14" localSheetId="2">#REF!</definedName>
    <definedName name="P_1_12.9.4.14">#REF!</definedName>
    <definedName name="P_1_12.9.4.15" localSheetId="4">#REF!</definedName>
    <definedName name="P_1_12.9.4.15" localSheetId="2">#REF!</definedName>
    <definedName name="P_1_12.9.4.15">#REF!</definedName>
    <definedName name="P_1_12.9.4.16" localSheetId="4">#REF!</definedName>
    <definedName name="P_1_12.9.4.16" localSheetId="2">#REF!</definedName>
    <definedName name="P_1_12.9.4.16">#REF!</definedName>
    <definedName name="P_1_12.9.4.17">#REF!</definedName>
    <definedName name="P_1_12.9.4.18">#REF!</definedName>
    <definedName name="P_1_12.9.4.19">#REF!</definedName>
    <definedName name="P_1_12.9.4.2" localSheetId="4">#REF!</definedName>
    <definedName name="P_1_12.9.4.2" localSheetId="2">#REF!</definedName>
    <definedName name="P_1_12.9.4.2">#REF!</definedName>
    <definedName name="P_1_12.9.4.20">#REF!</definedName>
    <definedName name="P_1_12.9.4.21">#REF!</definedName>
    <definedName name="P_1_12.9.4.22">#REF!</definedName>
    <definedName name="P_1_12.9.4.23">#REF!</definedName>
    <definedName name="P_1_12.9.4.24">#REF!</definedName>
    <definedName name="P_1_12.9.4.25">#REF!</definedName>
    <definedName name="P_1_12.9.4.26">#REF!</definedName>
    <definedName name="P_1_12.9.4.27">#REF!</definedName>
    <definedName name="P_1_12.9.4.28">#REF!</definedName>
    <definedName name="P_1_12.9.4.29.1">#REF!</definedName>
    <definedName name="P_1_12.9.4.29.2">#REF!</definedName>
    <definedName name="P_1_12.9.4.29.3">#REF!</definedName>
    <definedName name="P_1_12.9.4.29.4">#REF!</definedName>
    <definedName name="P_1_12.9.4.3" localSheetId="4">#REF!</definedName>
    <definedName name="P_1_12.9.4.3" localSheetId="2">#REF!</definedName>
    <definedName name="P_1_12.9.4.3">#REF!</definedName>
    <definedName name="P_1_12.9.4.30.1">#REF!</definedName>
    <definedName name="P_1_12.9.4.30.10">#REF!</definedName>
    <definedName name="P_1_12.9.4.30.2">#REF!</definedName>
    <definedName name="P_1_12.9.4.30.3">#REF!</definedName>
    <definedName name="P_1_12.9.4.30.4">#REF!</definedName>
    <definedName name="P_1_12.9.4.30.5">#REF!</definedName>
    <definedName name="P_1_12.9.4.30.6">#REF!</definedName>
    <definedName name="P_1_12.9.4.30.7">#REF!</definedName>
    <definedName name="P_1_12.9.4.30.8">#REF!</definedName>
    <definedName name="P_1_12.9.4.30.9">#REF!</definedName>
    <definedName name="P_1_12.9.4.4" localSheetId="4">#REF!</definedName>
    <definedName name="P_1_12.9.4.4" localSheetId="2">#REF!</definedName>
    <definedName name="P_1_12.9.4.4">#REF!</definedName>
    <definedName name="P_1_12.9.4.5" localSheetId="4">#REF!</definedName>
    <definedName name="P_1_12.9.4.5" localSheetId="2">#REF!</definedName>
    <definedName name="P_1_12.9.4.5">#REF!</definedName>
    <definedName name="P_1_12.9.4.6" localSheetId="4">#REF!</definedName>
    <definedName name="P_1_12.9.4.6" localSheetId="2">#REF!</definedName>
    <definedName name="P_1_12.9.4.6">#REF!</definedName>
    <definedName name="P_1_12.9.4.7">#REF!</definedName>
    <definedName name="P_1_12.9.4.8">#REF!</definedName>
    <definedName name="P_1_12.9.4.9">#REF!</definedName>
    <definedName name="P_1_12.9.5.1.1">#REF!</definedName>
    <definedName name="P_1_12.9.5.1.2">#REF!</definedName>
    <definedName name="P_1_12.9.5.1.3">#REF!</definedName>
    <definedName name="P_1_12.9.5.1.4">#REF!</definedName>
    <definedName name="P_1_12.9.5.1.5">#REF!</definedName>
    <definedName name="P_1_12.9.5.1.6">#REF!</definedName>
    <definedName name="P_1_12.9.5.1.7">#REF!</definedName>
    <definedName name="P_1_12.9.5.2.1">#REF!</definedName>
    <definedName name="P_1_12.9.5.2.2">#REF!</definedName>
    <definedName name="P_1_12.9.5.2.3">#REF!</definedName>
    <definedName name="P_1_12.9.5.2.4">#REF!</definedName>
    <definedName name="P_1_12.9.5.2.5">#REF!</definedName>
    <definedName name="P_1_12.9.5.2.6">#REF!</definedName>
    <definedName name="P_1_12.9.5.3.1">#REF!</definedName>
    <definedName name="P_1_12.9.5.3.2">#REF!</definedName>
    <definedName name="P_1_12.9.5.3.3">#REF!</definedName>
    <definedName name="P_1_12.9.6.1">#REF!</definedName>
    <definedName name="P_1_12.9.6.2">#REF!</definedName>
    <definedName name="P_1_12.9.6.3">#REF!</definedName>
    <definedName name="P_1_12.9.6.4">#REF!</definedName>
    <definedName name="P_1_12.9.7.1" localSheetId="4">#REF!</definedName>
    <definedName name="P_1_12.9.7.1" localSheetId="2">#REF!</definedName>
    <definedName name="P_1_12.9.7.1">#REF!</definedName>
    <definedName name="P_1_12.9.7.2" localSheetId="4">#REF!</definedName>
    <definedName name="P_1_12.9.7.2" localSheetId="2">#REF!</definedName>
    <definedName name="P_1_12.9.7.2">#REF!</definedName>
    <definedName name="P_1_12.9.7.3" localSheetId="4">#REF!</definedName>
    <definedName name="P_1_12.9.7.3" localSheetId="2">#REF!</definedName>
    <definedName name="P_1_12.9.7.3">#REF!</definedName>
    <definedName name="P_1_12.9.7.4" localSheetId="4">#REF!</definedName>
    <definedName name="P_1_12.9.7.4" localSheetId="2">#REF!</definedName>
    <definedName name="P_1_12.9.7.4">#REF!</definedName>
    <definedName name="P_1_13.1.1">#REF!</definedName>
    <definedName name="P_1_13.1.10" localSheetId="4">#REF!</definedName>
    <definedName name="P_1_13.1.10" localSheetId="2">#REF!</definedName>
    <definedName name="P_1_13.1.10">#REF!</definedName>
    <definedName name="P_1_13.1.11" localSheetId="4">#REF!</definedName>
    <definedName name="P_1_13.1.11" localSheetId="2">#REF!</definedName>
    <definedName name="P_1_13.1.11">#REF!</definedName>
    <definedName name="P_1_13.1.12" localSheetId="4">#REF!</definedName>
    <definedName name="P_1_13.1.12" localSheetId="2">#REF!</definedName>
    <definedName name="P_1_13.1.12">#REF!</definedName>
    <definedName name="P_1_13.1.13" localSheetId="4">#REF!</definedName>
    <definedName name="P_1_13.1.13" localSheetId="2">#REF!</definedName>
    <definedName name="P_1_13.1.13">#REF!</definedName>
    <definedName name="P_1_13.1.2">#REF!</definedName>
    <definedName name="P_1_13.1.3">#REF!</definedName>
    <definedName name="P_1_13.1.4">#REF!</definedName>
    <definedName name="P_1_13.1.5">#REF!</definedName>
    <definedName name="P_1_13.1.6">#REF!</definedName>
    <definedName name="P_1_13.1.7">#REF!</definedName>
    <definedName name="P_1_13.1.8">#REF!</definedName>
    <definedName name="P_1_13.1.9">#REF!</definedName>
    <definedName name="P_1_13.2.1">#REF!</definedName>
    <definedName name="P_1_13.2.10">#REF!</definedName>
    <definedName name="P_1_13.2.2">#REF!</definedName>
    <definedName name="P_1_13.2.3">#REF!</definedName>
    <definedName name="P_1_13.2.4">#REF!</definedName>
    <definedName name="P_1_13.2.5">#REF!</definedName>
    <definedName name="P_1_13.2.6">#REF!</definedName>
    <definedName name="P_1_13.2.7">#REF!</definedName>
    <definedName name="P_1_13.2.8">#REF!</definedName>
    <definedName name="P_1_13.2.9">#REF!</definedName>
    <definedName name="P_1_13.3.1">#REF!</definedName>
    <definedName name="P_1_13.3.10">#REF!</definedName>
    <definedName name="P_1_13.3.2">#REF!</definedName>
    <definedName name="P_1_13.3.3">#REF!</definedName>
    <definedName name="P_1_13.3.4">#REF!</definedName>
    <definedName name="P_1_13.3.5">#REF!</definedName>
    <definedName name="P_1_13.3.6">#REF!</definedName>
    <definedName name="P_1_13.3.7">#REF!</definedName>
    <definedName name="P_1_13.3.8">#REF!</definedName>
    <definedName name="P_1_13.3.9" localSheetId="4">#REF!</definedName>
    <definedName name="P_1_13.3.9" localSheetId="2">#REF!</definedName>
    <definedName name="P_1_13.3.9">#REF!</definedName>
    <definedName name="P_1_13.4.1">#REF!</definedName>
    <definedName name="P_1_13.4.2">#REF!</definedName>
    <definedName name="P_1_13.4.3">#REF!</definedName>
    <definedName name="P_1_13.5.1" localSheetId="4">#REF!</definedName>
    <definedName name="P_1_13.5.1" localSheetId="2">#REF!</definedName>
    <definedName name="P_1_13.5.1">#REF!</definedName>
    <definedName name="P_1_13.5.2" localSheetId="4">#REF!</definedName>
    <definedName name="P_1_13.5.2" localSheetId="2">#REF!</definedName>
    <definedName name="P_1_13.5.2">#REF!</definedName>
    <definedName name="P_1_13.5.3" localSheetId="4">#REF!</definedName>
    <definedName name="P_1_13.5.3" localSheetId="2">#REF!</definedName>
    <definedName name="P_1_13.5.3">#REF!</definedName>
    <definedName name="P_1_13.5.4" localSheetId="4">#REF!</definedName>
    <definedName name="P_1_13.5.4" localSheetId="2">#REF!</definedName>
    <definedName name="P_1_13.5.4">#REF!</definedName>
    <definedName name="P_1_13.6.1" localSheetId="4">#REF!</definedName>
    <definedName name="P_1_13.6.1" localSheetId="2">#REF!</definedName>
    <definedName name="P_1_13.6.1">#REF!</definedName>
    <definedName name="P_1_13.6.10" localSheetId="4">#REF!</definedName>
    <definedName name="P_1_13.6.10" localSheetId="2">#REF!</definedName>
    <definedName name="P_1_13.6.10">#REF!</definedName>
    <definedName name="P_1_13.6.11" localSheetId="4">#REF!</definedName>
    <definedName name="P_1_13.6.11" localSheetId="2">#REF!</definedName>
    <definedName name="P_1_13.6.11">#REF!</definedName>
    <definedName name="P_1_13.6.12" localSheetId="4">#REF!</definedName>
    <definedName name="P_1_13.6.12" localSheetId="2">#REF!</definedName>
    <definedName name="P_1_13.6.12">#REF!</definedName>
    <definedName name="P_1_13.6.13" localSheetId="4">#REF!</definedName>
    <definedName name="P_1_13.6.13" localSheetId="2">#REF!</definedName>
    <definedName name="P_1_13.6.13">#REF!</definedName>
    <definedName name="P_1_13.6.14" localSheetId="4">#REF!</definedName>
    <definedName name="P_1_13.6.14" localSheetId="2">#REF!</definedName>
    <definedName name="P_1_13.6.14">#REF!</definedName>
    <definedName name="P_1_13.6.15" localSheetId="4">#REF!</definedName>
    <definedName name="P_1_13.6.15" localSheetId="2">#REF!</definedName>
    <definedName name="P_1_13.6.15">#REF!</definedName>
    <definedName name="P_1_13.6.16" localSheetId="4">#REF!</definedName>
    <definedName name="P_1_13.6.16" localSheetId="2">#REF!</definedName>
    <definedName name="P_1_13.6.16">#REF!</definedName>
    <definedName name="P_1_13.6.17" localSheetId="4">#REF!</definedName>
    <definedName name="P_1_13.6.17" localSheetId="2">#REF!</definedName>
    <definedName name="P_1_13.6.17">#REF!</definedName>
    <definedName name="P_1_13.6.18" localSheetId="4">#REF!</definedName>
    <definedName name="P_1_13.6.18" localSheetId="2">#REF!</definedName>
    <definedName name="P_1_13.6.18">#REF!</definedName>
    <definedName name="P_1_13.6.19" localSheetId="4">#REF!</definedName>
    <definedName name="P_1_13.6.19" localSheetId="2">#REF!</definedName>
    <definedName name="P_1_13.6.19">#REF!</definedName>
    <definedName name="P_1_13.6.2" localSheetId="4">#REF!</definedName>
    <definedName name="P_1_13.6.2" localSheetId="2">#REF!</definedName>
    <definedName name="P_1_13.6.2">#REF!</definedName>
    <definedName name="P_1_13.6.20" localSheetId="4">#REF!</definedName>
    <definedName name="P_1_13.6.20" localSheetId="2">#REF!</definedName>
    <definedName name="P_1_13.6.20">#REF!</definedName>
    <definedName name="P_1_13.6.3" localSheetId="4">#REF!</definedName>
    <definedName name="P_1_13.6.3" localSheetId="2">#REF!</definedName>
    <definedName name="P_1_13.6.3">#REF!</definedName>
    <definedName name="P_1_13.6.4" localSheetId="4">#REF!</definedName>
    <definedName name="P_1_13.6.4" localSheetId="2">#REF!</definedName>
    <definedName name="P_1_13.6.4">#REF!</definedName>
    <definedName name="P_1_13.6.5" localSheetId="4">#REF!</definedName>
    <definedName name="P_1_13.6.5" localSheetId="2">#REF!</definedName>
    <definedName name="P_1_13.6.5">#REF!</definedName>
    <definedName name="P_1_13.6.6" localSheetId="4">#REF!</definedName>
    <definedName name="P_1_13.6.6" localSheetId="2">#REF!</definedName>
    <definedName name="P_1_13.6.6">#REF!</definedName>
    <definedName name="P_1_13.6.7" localSheetId="4">#REF!</definedName>
    <definedName name="P_1_13.6.7" localSheetId="2">#REF!</definedName>
    <definedName name="P_1_13.6.7">#REF!</definedName>
    <definedName name="P_1_13.6.8" localSheetId="4">#REF!</definedName>
    <definedName name="P_1_13.6.8" localSheetId="2">#REF!</definedName>
    <definedName name="P_1_13.6.8">#REF!</definedName>
    <definedName name="P_1_13.6.9" localSheetId="4">#REF!</definedName>
    <definedName name="P_1_13.6.9" localSheetId="2">#REF!</definedName>
    <definedName name="P_1_13.6.9">#REF!</definedName>
    <definedName name="P_1_13.7.1" localSheetId="4">#REF!</definedName>
    <definedName name="P_1_13.7.1" localSheetId="2">#REF!</definedName>
    <definedName name="P_1_13.7.1">#REF!</definedName>
    <definedName name="P_1_13.7.10" localSheetId="4">#REF!</definedName>
    <definedName name="P_1_13.7.10" localSheetId="2">#REF!</definedName>
    <definedName name="P_1_13.7.10">#REF!</definedName>
    <definedName name="P_1_13.7.11" localSheetId="4">#REF!</definedName>
    <definedName name="P_1_13.7.11" localSheetId="2">#REF!</definedName>
    <definedName name="P_1_13.7.11">#REF!</definedName>
    <definedName name="P_1_13.7.12" localSheetId="4">#REF!</definedName>
    <definedName name="P_1_13.7.12" localSheetId="2">#REF!</definedName>
    <definedName name="P_1_13.7.12">#REF!</definedName>
    <definedName name="P_1_13.7.13" localSheetId="4">#REF!</definedName>
    <definedName name="P_1_13.7.13" localSheetId="2">#REF!</definedName>
    <definedName name="P_1_13.7.13">#REF!</definedName>
    <definedName name="P_1_13.7.14" localSheetId="4">#REF!</definedName>
    <definedName name="P_1_13.7.14" localSheetId="2">#REF!</definedName>
    <definedName name="P_1_13.7.14">#REF!</definedName>
    <definedName name="P_1_13.7.2" localSheetId="4">#REF!</definedName>
    <definedName name="P_1_13.7.2" localSheetId="2">#REF!</definedName>
    <definedName name="P_1_13.7.2">#REF!</definedName>
    <definedName name="P_1_13.7.3" localSheetId="4">#REF!</definedName>
    <definedName name="P_1_13.7.3" localSheetId="2">#REF!</definedName>
    <definedName name="P_1_13.7.3">#REF!</definedName>
    <definedName name="P_1_13.7.4" localSheetId="4">#REF!</definedName>
    <definedName name="P_1_13.7.4" localSheetId="2">#REF!</definedName>
    <definedName name="P_1_13.7.4">#REF!</definedName>
    <definedName name="P_1_13.7.5" localSheetId="4">#REF!</definedName>
    <definedName name="P_1_13.7.5" localSheetId="2">#REF!</definedName>
    <definedName name="P_1_13.7.5">#REF!</definedName>
    <definedName name="P_1_13.7.6" localSheetId="4">#REF!</definedName>
    <definedName name="P_1_13.7.6" localSheetId="2">#REF!</definedName>
    <definedName name="P_1_13.7.6">#REF!</definedName>
    <definedName name="P_1_13.7.7" localSheetId="4">#REF!</definedName>
    <definedName name="P_1_13.7.7" localSheetId="2">#REF!</definedName>
    <definedName name="P_1_13.7.7">#REF!</definedName>
    <definedName name="P_1_13.7.8" localSheetId="4">#REF!</definedName>
    <definedName name="P_1_13.7.8" localSheetId="2">#REF!</definedName>
    <definedName name="P_1_13.7.8">#REF!</definedName>
    <definedName name="P_1_13.7.9" localSheetId="4">#REF!</definedName>
    <definedName name="P_1_13.7.9" localSheetId="2">#REF!</definedName>
    <definedName name="P_1_13.7.9">#REF!</definedName>
    <definedName name="P_1_13.8.1" localSheetId="4">#REF!</definedName>
    <definedName name="P_1_13.8.1" localSheetId="2">#REF!</definedName>
    <definedName name="P_1_13.8.1">#REF!</definedName>
    <definedName name="P_1_13.8.10" localSheetId="4">#REF!</definedName>
    <definedName name="P_1_13.8.10" localSheetId="2">#REF!</definedName>
    <definedName name="P_1_13.8.10">#REF!</definedName>
    <definedName name="P_1_13.8.11" localSheetId="4">#REF!</definedName>
    <definedName name="P_1_13.8.11" localSheetId="2">#REF!</definedName>
    <definedName name="P_1_13.8.11">#REF!</definedName>
    <definedName name="P_1_13.8.12" localSheetId="4">#REF!</definedName>
    <definedName name="P_1_13.8.12" localSheetId="2">#REF!</definedName>
    <definedName name="P_1_13.8.12">#REF!</definedName>
    <definedName name="P_1_13.8.13" localSheetId="4">#REF!</definedName>
    <definedName name="P_1_13.8.13" localSheetId="2">#REF!</definedName>
    <definedName name="P_1_13.8.13">#REF!</definedName>
    <definedName name="P_1_13.8.14" localSheetId="4">#REF!</definedName>
    <definedName name="P_1_13.8.14" localSheetId="2">#REF!</definedName>
    <definedName name="P_1_13.8.14">#REF!</definedName>
    <definedName name="P_1_13.8.15" localSheetId="4">#REF!</definedName>
    <definedName name="P_1_13.8.15" localSheetId="2">#REF!</definedName>
    <definedName name="P_1_13.8.15">#REF!</definedName>
    <definedName name="P_1_13.8.16" localSheetId="4">#REF!</definedName>
    <definedName name="P_1_13.8.16" localSheetId="2">#REF!</definedName>
    <definedName name="P_1_13.8.16">#REF!</definedName>
    <definedName name="P_1_13.8.17" localSheetId="4">#REF!</definedName>
    <definedName name="P_1_13.8.17" localSheetId="2">#REF!</definedName>
    <definedName name="P_1_13.8.17">#REF!</definedName>
    <definedName name="P_1_13.8.18" localSheetId="4">#REF!</definedName>
    <definedName name="P_1_13.8.18" localSheetId="2">#REF!</definedName>
    <definedName name="P_1_13.8.18">#REF!</definedName>
    <definedName name="P_1_13.8.19" localSheetId="4">#REF!</definedName>
    <definedName name="P_1_13.8.19" localSheetId="2">#REF!</definedName>
    <definedName name="P_1_13.8.19">#REF!</definedName>
    <definedName name="P_1_13.8.2">#REF!</definedName>
    <definedName name="P_1_13.8.20" localSheetId="4">#REF!</definedName>
    <definedName name="P_1_13.8.20" localSheetId="2">#REF!</definedName>
    <definedName name="P_1_13.8.20">#REF!</definedName>
    <definedName name="P_1_13.8.21" localSheetId="4">#REF!</definedName>
    <definedName name="P_1_13.8.21" localSheetId="2">#REF!</definedName>
    <definedName name="P_1_13.8.21">#REF!</definedName>
    <definedName name="P_1_13.8.22" localSheetId="4">#REF!</definedName>
    <definedName name="P_1_13.8.22" localSheetId="2">#REF!</definedName>
    <definedName name="P_1_13.8.22">#REF!</definedName>
    <definedName name="P_1_13.8.23" localSheetId="4">#REF!</definedName>
    <definedName name="P_1_13.8.23" localSheetId="2">#REF!</definedName>
    <definedName name="P_1_13.8.23">#REF!</definedName>
    <definedName name="P_1_13.8.24" localSheetId="4">#REF!</definedName>
    <definedName name="P_1_13.8.24" localSheetId="2">#REF!</definedName>
    <definedName name="P_1_13.8.24">#REF!</definedName>
    <definedName name="P_1_13.8.25" localSheetId="4">#REF!</definedName>
    <definedName name="P_1_13.8.25" localSheetId="2">#REF!</definedName>
    <definedName name="P_1_13.8.25">#REF!</definedName>
    <definedName name="P_1_13.8.26" localSheetId="4">#REF!</definedName>
    <definedName name="P_1_13.8.26" localSheetId="2">#REF!</definedName>
    <definedName name="P_1_13.8.26">#REF!</definedName>
    <definedName name="P_1_13.8.27" localSheetId="4">#REF!</definedName>
    <definedName name="P_1_13.8.27" localSheetId="2">#REF!</definedName>
    <definedName name="P_1_13.8.27">#REF!</definedName>
    <definedName name="P_1_13.8.28" localSheetId="4">#REF!</definedName>
    <definedName name="P_1_13.8.28" localSheetId="2">#REF!</definedName>
    <definedName name="P_1_13.8.28">#REF!</definedName>
    <definedName name="P_1_13.8.29" localSheetId="4">#REF!</definedName>
    <definedName name="P_1_13.8.29" localSheetId="2">#REF!</definedName>
    <definedName name="P_1_13.8.29">#REF!</definedName>
    <definedName name="P_1_13.8.3" localSheetId="4">#REF!</definedName>
    <definedName name="P_1_13.8.3" localSheetId="2">#REF!</definedName>
    <definedName name="P_1_13.8.3">#REF!</definedName>
    <definedName name="P_1_13.8.30" localSheetId="4">#REF!</definedName>
    <definedName name="P_1_13.8.30" localSheetId="2">#REF!</definedName>
    <definedName name="P_1_13.8.30">#REF!</definedName>
    <definedName name="P_1_13.8.31" localSheetId="4">#REF!</definedName>
    <definedName name="P_1_13.8.31" localSheetId="2">#REF!</definedName>
    <definedName name="P_1_13.8.31">#REF!</definedName>
    <definedName name="P_1_13.8.4" localSheetId="4">#REF!</definedName>
    <definedName name="P_1_13.8.4" localSheetId="2">#REF!</definedName>
    <definedName name="P_1_13.8.4">#REF!</definedName>
    <definedName name="P_1_13.8.5" localSheetId="4">#REF!</definedName>
    <definedName name="P_1_13.8.5" localSheetId="2">#REF!</definedName>
    <definedName name="P_1_13.8.5">#REF!</definedName>
    <definedName name="P_1_13.8.6">#REF!</definedName>
    <definedName name="P_1_13.8.7" localSheetId="4">#REF!</definedName>
    <definedName name="P_1_13.8.7" localSheetId="2">#REF!</definedName>
    <definedName name="P_1_13.8.7">#REF!</definedName>
    <definedName name="P_1_13.8.8" localSheetId="4">#REF!</definedName>
    <definedName name="P_1_13.8.8" localSheetId="2">#REF!</definedName>
    <definedName name="P_1_13.8.8">#REF!</definedName>
    <definedName name="P_1_13.8.9" localSheetId="4">#REF!</definedName>
    <definedName name="P_1_13.8.9" localSheetId="2">#REF!</definedName>
    <definedName name="P_1_13.8.9">#REF!</definedName>
    <definedName name="P_1_2.1.1" localSheetId="4">#REF!</definedName>
    <definedName name="P_1_2.1.1" localSheetId="2">#REF!</definedName>
    <definedName name="P_1_2.1.1">#REF!</definedName>
    <definedName name="P_1_2.1.2" localSheetId="4">#REF!</definedName>
    <definedName name="P_1_2.1.2" localSheetId="2">#REF!</definedName>
    <definedName name="P_1_2.1.2">#REF!</definedName>
    <definedName name="P_1_2.1.3" localSheetId="4">#REF!</definedName>
    <definedName name="P_1_2.1.3" localSheetId="2">#REF!</definedName>
    <definedName name="P_1_2.1.3">#REF!</definedName>
    <definedName name="P_1_2.1.4" localSheetId="4">#REF!</definedName>
    <definedName name="P_1_2.1.4" localSheetId="2">#REF!</definedName>
    <definedName name="P_1_2.1.4">#REF!</definedName>
    <definedName name="P_1_2.1.5" localSheetId="4">#REF!</definedName>
    <definedName name="P_1_2.1.5" localSheetId="2">#REF!</definedName>
    <definedName name="P_1_2.1.5">#REF!</definedName>
    <definedName name="P_1_2.2.1" localSheetId="4">#REF!</definedName>
    <definedName name="P_1_2.2.1" localSheetId="2">#REF!</definedName>
    <definedName name="P_1_2.2.1">#REF!</definedName>
    <definedName name="P_1_2.2.2" localSheetId="4">#REF!</definedName>
    <definedName name="P_1_2.2.2" localSheetId="2">#REF!</definedName>
    <definedName name="P_1_2.2.2">#REF!</definedName>
    <definedName name="P_1_2.2.3" localSheetId="4">#REF!</definedName>
    <definedName name="P_1_2.2.3" localSheetId="2">#REF!</definedName>
    <definedName name="P_1_2.2.3">#REF!</definedName>
    <definedName name="P_1_2.2.4" localSheetId="4">#REF!</definedName>
    <definedName name="P_1_2.2.4" localSheetId="2">#REF!</definedName>
    <definedName name="P_1_2.2.4">#REF!</definedName>
    <definedName name="P_1_2.2.5" localSheetId="4">#REF!</definedName>
    <definedName name="P_1_2.2.5" localSheetId="2">#REF!</definedName>
    <definedName name="P_1_2.2.5">#REF!</definedName>
    <definedName name="P_1_2.2.6" localSheetId="4">#REF!</definedName>
    <definedName name="P_1_2.2.6" localSheetId="2">#REF!</definedName>
    <definedName name="P_1_2.2.6">#REF!</definedName>
    <definedName name="P_1_2.2.7" localSheetId="4">#REF!</definedName>
    <definedName name="P_1_2.2.7" localSheetId="2">#REF!</definedName>
    <definedName name="P_1_2.2.7">#REF!</definedName>
    <definedName name="P_1_2.2.8" localSheetId="4">#REF!</definedName>
    <definedName name="P_1_2.2.8" localSheetId="2">#REF!</definedName>
    <definedName name="P_1_2.2.8">#REF!</definedName>
    <definedName name="P_1_2.3.1" localSheetId="4">#REF!</definedName>
    <definedName name="P_1_2.3.1" localSheetId="2">#REF!</definedName>
    <definedName name="P_1_2.3.1">#REF!</definedName>
    <definedName name="P_1_2.3.2" localSheetId="4">#REF!</definedName>
    <definedName name="P_1_2.3.2" localSheetId="2">#REF!</definedName>
    <definedName name="P_1_2.3.2">#REF!</definedName>
    <definedName name="P_1_2.3.3" localSheetId="4">#REF!</definedName>
    <definedName name="P_1_2.3.3" localSheetId="2">#REF!</definedName>
    <definedName name="P_1_2.3.3">#REF!</definedName>
    <definedName name="P_1_2.3.4" localSheetId="4">#REF!</definedName>
    <definedName name="P_1_2.3.4" localSheetId="2">#REF!</definedName>
    <definedName name="P_1_2.3.4">#REF!</definedName>
    <definedName name="P_1_2.3.5" localSheetId="4">#REF!</definedName>
    <definedName name="P_1_2.3.5" localSheetId="2">#REF!</definedName>
    <definedName name="P_1_2.3.5">#REF!</definedName>
    <definedName name="P_1_2.4.1">#REF!</definedName>
    <definedName name="P_1_2.4.2">#REF!</definedName>
    <definedName name="P_1_2.4.3">#REF!</definedName>
    <definedName name="P_1_2.4.4">#REF!</definedName>
    <definedName name="P_1_2.4.5">#REF!</definedName>
    <definedName name="P_1_2.4.6">#REF!</definedName>
    <definedName name="P_1_2.4.7">#REF!</definedName>
    <definedName name="P_1_2.5.1">#REF!</definedName>
    <definedName name="P_1_2.5.2">#REF!</definedName>
    <definedName name="P_1_2.5.3">#REF!</definedName>
    <definedName name="P_1_2.5.4">#REF!</definedName>
    <definedName name="P_1_2.5.5">#REF!</definedName>
    <definedName name="P_1_2.6.1">#REF!</definedName>
    <definedName name="P_1_2.6.2">#REF!</definedName>
    <definedName name="P_1_2.6.3">#REF!</definedName>
    <definedName name="P_1_2.6.4">#REF!</definedName>
    <definedName name="P_1_3.1.1" localSheetId="4">#REF!</definedName>
    <definedName name="P_1_3.1.1" localSheetId="2">#REF!</definedName>
    <definedName name="P_1_3.1.1">#REF!</definedName>
    <definedName name="P_1_3.1.2" localSheetId="4">#REF!</definedName>
    <definedName name="P_1_3.1.2" localSheetId="2">#REF!</definedName>
    <definedName name="P_1_3.1.2">#REF!</definedName>
    <definedName name="P_1_3.1.3" localSheetId="4">#REF!</definedName>
    <definedName name="P_1_3.1.3" localSheetId="2">#REF!</definedName>
    <definedName name="P_1_3.1.3">#REF!</definedName>
    <definedName name="P_1_3.1.5" localSheetId="4">#REF!</definedName>
    <definedName name="P_1_3.1.5" localSheetId="2">#REF!</definedName>
    <definedName name="P_1_3.1.5">#REF!</definedName>
    <definedName name="P_1_3.1.6" localSheetId="4">#REF!</definedName>
    <definedName name="P_1_3.1.6" localSheetId="2">#REF!</definedName>
    <definedName name="P_1_3.1.6">#REF!</definedName>
    <definedName name="P_1_3.2.1" localSheetId="4">#REF!</definedName>
    <definedName name="P_1_3.2.1" localSheetId="2">#REF!</definedName>
    <definedName name="P_1_3.2.1">#REF!</definedName>
    <definedName name="P_1_3.2.2" localSheetId="4">#REF!</definedName>
    <definedName name="P_1_3.2.2" localSheetId="2">#REF!</definedName>
    <definedName name="P_1_3.2.2">#REF!</definedName>
    <definedName name="P_1_3.2.3" localSheetId="4">#REF!</definedName>
    <definedName name="P_1_3.2.3" localSheetId="2">#REF!</definedName>
    <definedName name="P_1_3.2.3">#REF!</definedName>
    <definedName name="P_1_3.3.1" localSheetId="4">#REF!</definedName>
    <definedName name="P_1_3.3.1" localSheetId="2">#REF!</definedName>
    <definedName name="P_1_3.3.1">#REF!</definedName>
    <definedName name="P_1_3.3.2" localSheetId="4">#REF!</definedName>
    <definedName name="P_1_3.3.2" localSheetId="2">#REF!</definedName>
    <definedName name="P_1_3.3.2">#REF!</definedName>
    <definedName name="P_1_3.3.3" localSheetId="4">#REF!</definedName>
    <definedName name="P_1_3.3.3" localSheetId="2">#REF!</definedName>
    <definedName name="P_1_3.3.3">#REF!</definedName>
    <definedName name="P_1_3.4" localSheetId="4">#REF!</definedName>
    <definedName name="P_1_3.4" localSheetId="2">#REF!</definedName>
    <definedName name="P_1_3.4">#REF!</definedName>
    <definedName name="P_1_3.4.1" localSheetId="4">#REF!</definedName>
    <definedName name="P_1_3.4.1" localSheetId="2">#REF!</definedName>
    <definedName name="P_1_3.4.1">#REF!</definedName>
    <definedName name="P_1_3.4.2" localSheetId="4">#REF!</definedName>
    <definedName name="P_1_3.4.2" localSheetId="2">#REF!</definedName>
    <definedName name="P_1_3.4.2">#REF!</definedName>
    <definedName name="P_1_3.4.3" localSheetId="4">#REF!</definedName>
    <definedName name="P_1_3.4.3" localSheetId="2">#REF!</definedName>
    <definedName name="P_1_3.4.3">#REF!</definedName>
    <definedName name="P_1_3.5.1" localSheetId="4">#REF!</definedName>
    <definedName name="P_1_3.5.1" localSheetId="2">#REF!</definedName>
    <definedName name="P_1_3.5.1">#REF!</definedName>
    <definedName name="P_1_3.5.2" localSheetId="4">#REF!</definedName>
    <definedName name="P_1_3.5.2" localSheetId="2">#REF!</definedName>
    <definedName name="P_1_3.5.2">#REF!</definedName>
    <definedName name="P_1_3.7" localSheetId="4">#REF!</definedName>
    <definedName name="P_1_3.7" localSheetId="2">#REF!</definedName>
    <definedName name="P_1_3.7">#REF!</definedName>
    <definedName name="P_1_3.8" localSheetId="4">#REF!</definedName>
    <definedName name="P_1_3.8" localSheetId="2">#REF!</definedName>
    <definedName name="P_1_3.8">#REF!</definedName>
    <definedName name="P_1_4.1.1" localSheetId="4">#REF!</definedName>
    <definedName name="P_1_4.1.1" localSheetId="2">#REF!</definedName>
    <definedName name="P_1_4.1.1">#REF!</definedName>
    <definedName name="P_1_4.1.10" localSheetId="4">#REF!</definedName>
    <definedName name="P_1_4.1.10" localSheetId="2">#REF!</definedName>
    <definedName name="P_1_4.1.10">#REF!</definedName>
    <definedName name="P_1_4.1.11" localSheetId="4">#REF!</definedName>
    <definedName name="P_1_4.1.11" localSheetId="2">#REF!</definedName>
    <definedName name="P_1_4.1.11">#REF!</definedName>
    <definedName name="P_1_4.1.12" localSheetId="4">#REF!</definedName>
    <definedName name="P_1_4.1.12" localSheetId="2">#REF!</definedName>
    <definedName name="P_1_4.1.12">#REF!</definedName>
    <definedName name="P_1_4.1.13" localSheetId="4">#REF!</definedName>
    <definedName name="P_1_4.1.13" localSheetId="2">#REF!</definedName>
    <definedName name="P_1_4.1.13">#REF!</definedName>
    <definedName name="P_1_4.1.14" localSheetId="4">#REF!</definedName>
    <definedName name="P_1_4.1.14" localSheetId="2">#REF!</definedName>
    <definedName name="P_1_4.1.14">#REF!</definedName>
    <definedName name="P_1_4.1.2" localSheetId="4">#REF!</definedName>
    <definedName name="P_1_4.1.2" localSheetId="2">#REF!</definedName>
    <definedName name="P_1_4.1.2">#REF!</definedName>
    <definedName name="P_1_4.1.3" localSheetId="4">#REF!</definedName>
    <definedName name="P_1_4.1.3" localSheetId="2">#REF!</definedName>
    <definedName name="P_1_4.1.3">#REF!</definedName>
    <definedName name="P_1_4.1.4" localSheetId="4">#REF!</definedName>
    <definedName name="P_1_4.1.4" localSheetId="2">#REF!</definedName>
    <definedName name="P_1_4.1.4">#REF!</definedName>
    <definedName name="P_1_4.1.5" localSheetId="4">#REF!</definedName>
    <definedName name="P_1_4.1.5" localSheetId="2">#REF!</definedName>
    <definedName name="P_1_4.1.5">#REF!</definedName>
    <definedName name="P_1_4.1.6" localSheetId="4">#REF!</definedName>
    <definedName name="P_1_4.1.6" localSheetId="2">#REF!</definedName>
    <definedName name="P_1_4.1.6">#REF!</definedName>
    <definedName name="P_1_4.1.7" localSheetId="4">#REF!</definedName>
    <definedName name="P_1_4.1.7" localSheetId="2">#REF!</definedName>
    <definedName name="P_1_4.1.7">#REF!</definedName>
    <definedName name="P_1_4.1.8" localSheetId="4">#REF!</definedName>
    <definedName name="P_1_4.1.8" localSheetId="2">#REF!</definedName>
    <definedName name="P_1_4.1.8">#REF!</definedName>
    <definedName name="P_1_4.1.9" localSheetId="4">#REF!</definedName>
    <definedName name="P_1_4.1.9" localSheetId="2">#REF!</definedName>
    <definedName name="P_1_4.1.9">#REF!</definedName>
    <definedName name="P_1_4.2.1" localSheetId="4">#REF!</definedName>
    <definedName name="P_1_4.2.1" localSheetId="2">#REF!</definedName>
    <definedName name="P_1_4.2.1">#REF!</definedName>
    <definedName name="P_1_4.2.2" localSheetId="4">#REF!</definedName>
    <definedName name="P_1_4.2.2" localSheetId="2">#REF!</definedName>
    <definedName name="P_1_4.2.2">#REF!</definedName>
    <definedName name="P_1_4.2.3" localSheetId="4">#REF!</definedName>
    <definedName name="P_1_4.2.3" localSheetId="2">#REF!</definedName>
    <definedName name="P_1_4.2.3">#REF!</definedName>
    <definedName name="P_1_4.2.4" localSheetId="4">#REF!</definedName>
    <definedName name="P_1_4.2.4" localSheetId="2">#REF!</definedName>
    <definedName name="P_1_4.2.4">#REF!</definedName>
    <definedName name="P_1_4.2.5" localSheetId="4">#REF!</definedName>
    <definedName name="P_1_4.2.5" localSheetId="2">#REF!</definedName>
    <definedName name="P_1_4.2.5">#REF!</definedName>
    <definedName name="P_1_4.2.6.1" localSheetId="4">#REF!</definedName>
    <definedName name="P_1_4.2.6.1" localSheetId="2">#REF!</definedName>
    <definedName name="P_1_4.2.6.1">#REF!</definedName>
    <definedName name="P_1_4.2.6.2" localSheetId="4">#REF!</definedName>
    <definedName name="P_1_4.2.6.2" localSheetId="2">#REF!</definedName>
    <definedName name="P_1_4.2.6.2">#REF!</definedName>
    <definedName name="P_1_4.2.6.3" localSheetId="4">#REF!</definedName>
    <definedName name="P_1_4.2.6.3" localSheetId="2">#REF!</definedName>
    <definedName name="P_1_4.2.6.3">#REF!</definedName>
    <definedName name="P_1_4.2.7.1" localSheetId="4">#REF!</definedName>
    <definedName name="P_1_4.2.7.1" localSheetId="2">#REF!</definedName>
    <definedName name="P_1_4.2.7.1">#REF!</definedName>
    <definedName name="P_1_4.2.7.2" localSheetId="4">#REF!</definedName>
    <definedName name="P_1_4.2.7.2" localSheetId="2">#REF!</definedName>
    <definedName name="P_1_4.2.7.2">#REF!</definedName>
    <definedName name="P_1_4.2.7.3" localSheetId="4">#REF!</definedName>
    <definedName name="P_1_4.2.7.3" localSheetId="2">#REF!</definedName>
    <definedName name="P_1_4.2.7.3">#REF!</definedName>
    <definedName name="P_1_5.1.1" localSheetId="4">#REF!</definedName>
    <definedName name="P_1_5.1.1" localSheetId="2">#REF!</definedName>
    <definedName name="P_1_5.1.1">#REF!</definedName>
    <definedName name="P_1_5.1.10.1">#REF!</definedName>
    <definedName name="P_1_5.1.10.2" localSheetId="4">#REF!</definedName>
    <definedName name="P_1_5.1.10.2" localSheetId="2">#REF!</definedName>
    <definedName name="P_1_5.1.10.2">#REF!</definedName>
    <definedName name="P_1_5.1.10.3" localSheetId="4">#REF!</definedName>
    <definedName name="P_1_5.1.10.3" localSheetId="2">#REF!</definedName>
    <definedName name="P_1_5.1.10.3">#REF!</definedName>
    <definedName name="P_1_5.1.11.1" localSheetId="4">#REF!</definedName>
    <definedName name="P_1_5.1.11.1" localSheetId="2">#REF!</definedName>
    <definedName name="P_1_5.1.11.1">#REF!</definedName>
    <definedName name="P_1_5.1.11.2" localSheetId="4">#REF!</definedName>
    <definedName name="P_1_5.1.11.2" localSheetId="2">#REF!</definedName>
    <definedName name="P_1_5.1.11.2">#REF!</definedName>
    <definedName name="P_1_5.1.11.3" localSheetId="4">#REF!</definedName>
    <definedName name="P_1_5.1.11.3" localSheetId="2">#REF!</definedName>
    <definedName name="P_1_5.1.11.3">#REF!</definedName>
    <definedName name="P_1_5.1.12" localSheetId="4">#REF!</definedName>
    <definedName name="P_1_5.1.12" localSheetId="2">#REF!</definedName>
    <definedName name="P_1_5.1.12">#REF!</definedName>
    <definedName name="P_1_5.1.13.1">#REF!</definedName>
    <definedName name="P_1_5.1.13.2">#REF!</definedName>
    <definedName name="P_1_5.1.2" localSheetId="4">#REF!</definedName>
    <definedName name="P_1_5.1.2" localSheetId="2">#REF!</definedName>
    <definedName name="P_1_5.1.2">#REF!</definedName>
    <definedName name="P_1_5.1.3" localSheetId="4">#REF!</definedName>
    <definedName name="P_1_5.1.3" localSheetId="2">#REF!</definedName>
    <definedName name="P_1_5.1.3">#REF!</definedName>
    <definedName name="P_1_5.1.4" localSheetId="4">#REF!</definedName>
    <definedName name="P_1_5.1.4" localSheetId="2">#REF!</definedName>
    <definedName name="P_1_5.1.4">#REF!</definedName>
    <definedName name="P_1_5.1.5" localSheetId="4">#REF!</definedName>
    <definedName name="P_1_5.1.5" localSheetId="2">#REF!</definedName>
    <definedName name="P_1_5.1.5">#REF!</definedName>
    <definedName name="P_1_5.1.6" localSheetId="4">#REF!</definedName>
    <definedName name="P_1_5.1.6" localSheetId="2">#REF!</definedName>
    <definedName name="P_1_5.1.6">#REF!</definedName>
    <definedName name="P_1_5.1.7" localSheetId="4">#REF!</definedName>
    <definedName name="P_1_5.1.7" localSheetId="2">#REF!</definedName>
    <definedName name="P_1_5.1.7">#REF!</definedName>
    <definedName name="P_1_5.1.8" localSheetId="4">#REF!</definedName>
    <definedName name="P_1_5.1.8" localSheetId="2">#REF!</definedName>
    <definedName name="P_1_5.1.8">#REF!</definedName>
    <definedName name="P_1_5.1.9.1" localSheetId="4">#REF!</definedName>
    <definedName name="P_1_5.1.9.1" localSheetId="2">#REF!</definedName>
    <definedName name="P_1_5.1.9.1">#REF!</definedName>
    <definedName name="P_1_5.1.9.10" localSheetId="4">#REF!</definedName>
    <definedName name="P_1_5.1.9.10" localSheetId="2">#REF!</definedName>
    <definedName name="P_1_5.1.9.10">#REF!</definedName>
    <definedName name="P_1_5.1.9.2" localSheetId="4">#REF!</definedName>
    <definedName name="P_1_5.1.9.2" localSheetId="2">#REF!</definedName>
    <definedName name="P_1_5.1.9.2">#REF!</definedName>
    <definedName name="P_1_5.1.9.3" localSheetId="4">#REF!</definedName>
    <definedName name="P_1_5.1.9.3" localSheetId="2">#REF!</definedName>
    <definedName name="P_1_5.1.9.3">#REF!</definedName>
    <definedName name="P_1_5.1.9.4" localSheetId="4">#REF!</definedName>
    <definedName name="P_1_5.1.9.4" localSheetId="2">#REF!</definedName>
    <definedName name="P_1_5.1.9.4">#REF!</definedName>
    <definedName name="P_1_5.1.9.5" localSheetId="4">#REF!</definedName>
    <definedName name="P_1_5.1.9.5" localSheetId="2">#REF!</definedName>
    <definedName name="P_1_5.1.9.5">#REF!</definedName>
    <definedName name="P_1_5.1.9.6" localSheetId="4">#REF!</definedName>
    <definedName name="P_1_5.1.9.6" localSheetId="2">#REF!</definedName>
    <definedName name="P_1_5.1.9.6">#REF!</definedName>
    <definedName name="P_1_5.1.9.7" localSheetId="4">#REF!</definedName>
    <definedName name="P_1_5.1.9.7" localSheetId="2">#REF!</definedName>
    <definedName name="P_1_5.1.9.7">#REF!</definedName>
    <definedName name="P_1_5.1.9.8" localSheetId="4">#REF!</definedName>
    <definedName name="P_1_5.1.9.8" localSheetId="2">#REF!</definedName>
    <definedName name="P_1_5.1.9.8">#REF!</definedName>
    <definedName name="P_1_5.1.9.9" localSheetId="4">#REF!</definedName>
    <definedName name="P_1_5.1.9.9" localSheetId="2">#REF!</definedName>
    <definedName name="P_1_5.1.9.9">#REF!</definedName>
    <definedName name="P_1_5.2.1.1">#REF!</definedName>
    <definedName name="P_1_5.2.1.10" localSheetId="4">#REF!</definedName>
    <definedName name="P_1_5.2.1.10" localSheetId="2">#REF!</definedName>
    <definedName name="P_1_5.2.1.10">#REF!</definedName>
    <definedName name="P_1_5.2.1.11" localSheetId="4">#REF!</definedName>
    <definedName name="P_1_5.2.1.11" localSheetId="2">#REF!</definedName>
    <definedName name="P_1_5.2.1.11">#REF!</definedName>
    <definedName name="P_1_5.2.1.12" localSheetId="4">#REF!</definedName>
    <definedName name="P_1_5.2.1.12" localSheetId="2">#REF!</definedName>
    <definedName name="P_1_5.2.1.12">#REF!</definedName>
    <definedName name="P_1_5.2.1.13" localSheetId="4">#REF!</definedName>
    <definedName name="P_1_5.2.1.13" localSheetId="2">#REF!</definedName>
    <definedName name="P_1_5.2.1.13">#REF!</definedName>
    <definedName name="P_1_5.2.1.2">#REF!</definedName>
    <definedName name="P_1_5.2.1.3" localSheetId="4">#REF!</definedName>
    <definedName name="P_1_5.2.1.3" localSheetId="2">#REF!</definedName>
    <definedName name="P_1_5.2.1.3">#REF!</definedName>
    <definedName name="P_1_5.2.1.4" localSheetId="4">#REF!</definedName>
    <definedName name="P_1_5.2.1.4" localSheetId="2">#REF!</definedName>
    <definedName name="P_1_5.2.1.4">#REF!</definedName>
    <definedName name="P_1_5.2.1.5" localSheetId="4">#REF!</definedName>
    <definedName name="P_1_5.2.1.5" localSheetId="2">#REF!</definedName>
    <definedName name="P_1_5.2.1.5">#REF!</definedName>
    <definedName name="P_1_5.2.1.6" localSheetId="4">#REF!</definedName>
    <definedName name="P_1_5.2.1.6" localSheetId="2">#REF!</definedName>
    <definedName name="P_1_5.2.1.6">#REF!</definedName>
    <definedName name="P_1_5.2.1.7" localSheetId="4">#REF!</definedName>
    <definedName name="P_1_5.2.1.7" localSheetId="2">#REF!</definedName>
    <definedName name="P_1_5.2.1.7">#REF!</definedName>
    <definedName name="P_1_5.2.1.8" localSheetId="4">#REF!</definedName>
    <definedName name="P_1_5.2.1.8" localSheetId="2">#REF!</definedName>
    <definedName name="P_1_5.2.1.8">#REF!</definedName>
    <definedName name="P_1_5.2.1.9" localSheetId="4">#REF!</definedName>
    <definedName name="P_1_5.2.1.9" localSheetId="2">#REF!</definedName>
    <definedName name="P_1_5.2.1.9">#REF!</definedName>
    <definedName name="P_1_5.2.2.1" localSheetId="4">#REF!</definedName>
    <definedName name="P_1_5.2.2.1" localSheetId="2">#REF!</definedName>
    <definedName name="P_1_5.2.2.1">#REF!</definedName>
    <definedName name="P_1_5.2.2.10">#REF!</definedName>
    <definedName name="P_1_5.2.2.2" localSheetId="4">#REF!</definedName>
    <definedName name="P_1_5.2.2.2" localSheetId="2">#REF!</definedName>
    <definedName name="P_1_5.2.2.2">#REF!</definedName>
    <definedName name="P_1_5.2.2.3" localSheetId="4">#REF!</definedName>
    <definedName name="P_1_5.2.2.3" localSheetId="2">#REF!</definedName>
    <definedName name="P_1_5.2.2.3">#REF!</definedName>
    <definedName name="P_1_5.2.2.4" localSheetId="4">#REF!</definedName>
    <definedName name="P_1_5.2.2.4" localSheetId="2">#REF!</definedName>
    <definedName name="P_1_5.2.2.4">#REF!</definedName>
    <definedName name="P_1_5.2.2.5" localSheetId="4">#REF!</definedName>
    <definedName name="P_1_5.2.2.5" localSheetId="2">#REF!</definedName>
    <definedName name="P_1_5.2.2.5">#REF!</definedName>
    <definedName name="P_1_5.2.2.6" localSheetId="4">#REF!</definedName>
    <definedName name="P_1_5.2.2.6" localSheetId="2">#REF!</definedName>
    <definedName name="P_1_5.2.2.6">#REF!</definedName>
    <definedName name="P_1_5.2.2.7" localSheetId="4">#REF!</definedName>
    <definedName name="P_1_5.2.2.7" localSheetId="2">#REF!</definedName>
    <definedName name="P_1_5.2.2.7">#REF!</definedName>
    <definedName name="P_1_5.2.2.8">#REF!</definedName>
    <definedName name="P_1_5.2.2.9">#REF!</definedName>
    <definedName name="P_1_5.2.3.1">#REF!</definedName>
    <definedName name="P_1_5.2.3.2">#REF!</definedName>
    <definedName name="P_1_5.2.4.1">#REF!</definedName>
    <definedName name="P_1_5.2.4.10">#REF!</definedName>
    <definedName name="P_1_5.2.4.11">#REF!</definedName>
    <definedName name="P_1_5.2.4.12">#REF!</definedName>
    <definedName name="P_1_5.2.4.13">#REF!</definedName>
    <definedName name="P_1_5.2.4.14">#REF!</definedName>
    <definedName name="P_1_5.2.4.15">#REF!</definedName>
    <definedName name="P_1_5.2.4.16">#REF!</definedName>
    <definedName name="P_1_5.2.4.17">#REF!</definedName>
    <definedName name="P_1_5.2.4.2">#REF!</definedName>
    <definedName name="P_1_5.2.4.3">#REF!</definedName>
    <definedName name="P_1_5.2.4.4">#REF!</definedName>
    <definedName name="P_1_5.2.4.5">#REF!</definedName>
    <definedName name="P_1_5.2.4.6">#REF!</definedName>
    <definedName name="P_1_5.2.4.7">#REF!</definedName>
    <definedName name="P_1_5.2.4.8">#REF!</definedName>
    <definedName name="P_1_5.2.4.9">#REF!</definedName>
    <definedName name="P_1_5.3.1">#REF!</definedName>
    <definedName name="P_1_5.3.10">#REF!</definedName>
    <definedName name="P_1_5.3.11">#REF!</definedName>
    <definedName name="P_1_5.3.12">#REF!</definedName>
    <definedName name="P_1_5.3.13">#REF!</definedName>
    <definedName name="P_1_5.3.14">#REF!</definedName>
    <definedName name="P_1_5.3.15">#REF!</definedName>
    <definedName name="P_1_5.3.16">#REF!</definedName>
    <definedName name="P_1_5.3.17">#REF!</definedName>
    <definedName name="P_1_5.3.2">#REF!</definedName>
    <definedName name="P_1_5.3.3">#REF!</definedName>
    <definedName name="P_1_5.3.4">#REF!</definedName>
    <definedName name="P_1_5.3.5">#REF!</definedName>
    <definedName name="P_1_5.3.6">#REF!</definedName>
    <definedName name="P_1_5.3.7">#REF!</definedName>
    <definedName name="P_1_5.3.8" localSheetId="4">#REF!</definedName>
    <definedName name="P_1_5.3.8" localSheetId="2">#REF!</definedName>
    <definedName name="P_1_5.3.8">#REF!</definedName>
    <definedName name="P_1_5.3.9">#REF!</definedName>
    <definedName name="P_1_6.1">#REF!</definedName>
    <definedName name="P_1_6.10.1" localSheetId="4">#REF!</definedName>
    <definedName name="P_1_6.10.1" localSheetId="2">#REF!</definedName>
    <definedName name="P_1_6.10.1">#REF!</definedName>
    <definedName name="P_1_6.10.2" localSheetId="4">#REF!</definedName>
    <definedName name="P_1_6.10.2" localSheetId="2">#REF!</definedName>
    <definedName name="P_1_6.10.2">#REF!</definedName>
    <definedName name="P_1_6.10.3" localSheetId="4">#REF!</definedName>
    <definedName name="P_1_6.10.3" localSheetId="2">#REF!</definedName>
    <definedName name="P_1_6.10.3">#REF!</definedName>
    <definedName name="P_1_6.11" localSheetId="4">#REF!</definedName>
    <definedName name="P_1_6.11" localSheetId="2">#REF!</definedName>
    <definedName name="P_1_6.11">#REF!</definedName>
    <definedName name="P_1_6.12.1" localSheetId="4">#REF!</definedName>
    <definedName name="P_1_6.12.1" localSheetId="2">#REF!</definedName>
    <definedName name="P_1_6.12.1">#REF!</definedName>
    <definedName name="P_1_6.12.2" localSheetId="4">#REF!</definedName>
    <definedName name="P_1_6.12.2" localSheetId="2">#REF!</definedName>
    <definedName name="P_1_6.12.2">#REF!</definedName>
    <definedName name="P_1_6.13" localSheetId="4">#REF!</definedName>
    <definedName name="P_1_6.13" localSheetId="2">#REF!</definedName>
    <definedName name="P_1_6.13">#REF!</definedName>
    <definedName name="P_1_6.14" localSheetId="4">#REF!</definedName>
    <definedName name="P_1_6.14" localSheetId="2">#REF!</definedName>
    <definedName name="P_1_6.14">#REF!</definedName>
    <definedName name="P_1_6.15" localSheetId="4">#REF!</definedName>
    <definedName name="P_1_6.15" localSheetId="2">#REF!</definedName>
    <definedName name="P_1_6.15">#REF!</definedName>
    <definedName name="P_1_6.16" localSheetId="4">#REF!</definedName>
    <definedName name="P_1_6.16" localSheetId="2">#REF!</definedName>
    <definedName name="P_1_6.16">#REF!</definedName>
    <definedName name="P_1_6.17.1">#REF!</definedName>
    <definedName name="P_1_6.17.2">#REF!</definedName>
    <definedName name="P_1_6.17.3">#REF!</definedName>
    <definedName name="P_1_6.17.4">#REF!</definedName>
    <definedName name="P_1_6.17.5">#REF!</definedName>
    <definedName name="P_1_6.2" localSheetId="4">#REF!</definedName>
    <definedName name="P_1_6.2" localSheetId="2">#REF!</definedName>
    <definedName name="P_1_6.2">#REF!</definedName>
    <definedName name="P_1_6.3" localSheetId="4">#REF!</definedName>
    <definedName name="P_1_6.3" localSheetId="2">#REF!</definedName>
    <definedName name="P_1_6.3">#REF!</definedName>
    <definedName name="P_1_6.4" localSheetId="4">#REF!</definedName>
    <definedName name="P_1_6.4" localSheetId="2">#REF!</definedName>
    <definedName name="P_1_6.4">#REF!</definedName>
    <definedName name="P_1_6.5.1" localSheetId="4">#REF!</definedName>
    <definedName name="P_1_6.5.1" localSheetId="2">#REF!</definedName>
    <definedName name="P_1_6.5.1">#REF!</definedName>
    <definedName name="P_1_6.5.2" localSheetId="4">#REF!</definedName>
    <definedName name="P_1_6.5.2" localSheetId="2">#REF!</definedName>
    <definedName name="P_1_6.5.2">#REF!</definedName>
    <definedName name="P_1_6.5.3" localSheetId="4">#REF!</definedName>
    <definedName name="P_1_6.5.3" localSheetId="2">#REF!</definedName>
    <definedName name="P_1_6.5.3">#REF!</definedName>
    <definedName name="P_1_6.6.1" localSheetId="4">#REF!</definedName>
    <definedName name="P_1_6.6.1" localSheetId="2">#REF!</definedName>
    <definedName name="P_1_6.6.1">#REF!</definedName>
    <definedName name="P_1_6.6.2" localSheetId="4">#REF!</definedName>
    <definedName name="P_1_6.6.2" localSheetId="2">#REF!</definedName>
    <definedName name="P_1_6.6.2">#REF!</definedName>
    <definedName name="P_1_6.6.3" localSheetId="4">#REF!</definedName>
    <definedName name="P_1_6.6.3" localSheetId="2">#REF!</definedName>
    <definedName name="P_1_6.6.3">#REF!</definedName>
    <definedName name="P_1_6.7.1" localSheetId="4">#REF!</definedName>
    <definedName name="P_1_6.7.1" localSheetId="2">#REF!</definedName>
    <definedName name="P_1_6.7.1">#REF!</definedName>
    <definedName name="P_1_6.7.2" localSheetId="4">#REF!</definedName>
    <definedName name="P_1_6.7.2" localSheetId="2">#REF!</definedName>
    <definedName name="P_1_6.7.2">#REF!</definedName>
    <definedName name="P_1_6.7.3" localSheetId="4">#REF!</definedName>
    <definedName name="P_1_6.7.3" localSheetId="2">#REF!</definedName>
    <definedName name="P_1_6.7.3">#REF!</definedName>
    <definedName name="P_1_6.8.1" localSheetId="4">#REF!</definedName>
    <definedName name="P_1_6.8.1" localSheetId="2">#REF!</definedName>
    <definedName name="P_1_6.8.1">#REF!</definedName>
    <definedName name="P_1_6.8.2" localSheetId="4">#REF!</definedName>
    <definedName name="P_1_6.8.2" localSheetId="2">#REF!</definedName>
    <definedName name="P_1_6.8.2">#REF!</definedName>
    <definedName name="P_1_6.8.3" localSheetId="4">#REF!</definedName>
    <definedName name="P_1_6.8.3" localSheetId="2">#REF!</definedName>
    <definedName name="P_1_6.8.3">#REF!</definedName>
    <definedName name="P_1_6.9.1" localSheetId="4">#REF!</definedName>
    <definedName name="P_1_6.9.1" localSheetId="2">#REF!</definedName>
    <definedName name="P_1_6.9.1">#REF!</definedName>
    <definedName name="P_1_6.9.2" localSheetId="4">#REF!</definedName>
    <definedName name="P_1_6.9.2" localSheetId="2">#REF!</definedName>
    <definedName name="P_1_6.9.2">#REF!</definedName>
    <definedName name="P_1_6.9.3" localSheetId="4">#REF!</definedName>
    <definedName name="P_1_6.9.3" localSheetId="2">#REF!</definedName>
    <definedName name="P_1_6.9.3">#REF!</definedName>
    <definedName name="P_1_7.1.1">#REF!</definedName>
    <definedName name="P_1_7.1.2">#REF!</definedName>
    <definedName name="P_1_7.1.3">#REF!</definedName>
    <definedName name="P_1_7.1.4">#REF!</definedName>
    <definedName name="P_1_7.1.5">#REF!</definedName>
    <definedName name="P_1_7.1.6">#REF!</definedName>
    <definedName name="P_1_7.1.7" localSheetId="4">#REF!</definedName>
    <definedName name="P_1_7.1.7" localSheetId="2">#REF!</definedName>
    <definedName name="P_1_7.1.7">#REF!</definedName>
    <definedName name="P_1_7.2.1">#REF!</definedName>
    <definedName name="P_1_7.2.2">#REF!</definedName>
    <definedName name="P_1_7.2.3">#REF!</definedName>
    <definedName name="P_1_8.1">#REF!</definedName>
    <definedName name="P_1_8.10.1" localSheetId="4">#REF!</definedName>
    <definedName name="P_1_8.10.1" localSheetId="2">#REF!</definedName>
    <definedName name="P_1_8.10.1">#REF!</definedName>
    <definedName name="P_1_8.10.10" localSheetId="4">#REF!</definedName>
    <definedName name="P_1_8.10.10" localSheetId="2">#REF!</definedName>
    <definedName name="P_1_8.10.10">#REF!</definedName>
    <definedName name="P_1_8.10.11" localSheetId="4">#REF!</definedName>
    <definedName name="P_1_8.10.11" localSheetId="2">#REF!</definedName>
    <definedName name="P_1_8.10.11">#REF!</definedName>
    <definedName name="P_1_8.10.12" localSheetId="4">#REF!</definedName>
    <definedName name="P_1_8.10.12" localSheetId="2">#REF!</definedName>
    <definedName name="P_1_8.10.12">#REF!</definedName>
    <definedName name="P_1_8.10.2" localSheetId="4">#REF!</definedName>
    <definedName name="P_1_8.10.2" localSheetId="2">#REF!</definedName>
    <definedName name="P_1_8.10.2">#REF!</definedName>
    <definedName name="P_1_8.10.3" localSheetId="4">#REF!</definedName>
    <definedName name="P_1_8.10.3" localSheetId="2">#REF!</definedName>
    <definedName name="P_1_8.10.3">#REF!</definedName>
    <definedName name="P_1_8.10.4" localSheetId="4">#REF!</definedName>
    <definedName name="P_1_8.10.4" localSheetId="2">#REF!</definedName>
    <definedName name="P_1_8.10.4">#REF!</definedName>
    <definedName name="P_1_8.10.5" localSheetId="4">#REF!</definedName>
    <definedName name="P_1_8.10.5" localSheetId="2">#REF!</definedName>
    <definedName name="P_1_8.10.5">#REF!</definedName>
    <definedName name="P_1_8.10.6" localSheetId="4">#REF!</definedName>
    <definedName name="P_1_8.10.6" localSheetId="2">#REF!</definedName>
    <definedName name="P_1_8.10.6">#REF!</definedName>
    <definedName name="P_1_8.10.7" localSheetId="4">#REF!</definedName>
    <definedName name="P_1_8.10.7" localSheetId="2">#REF!</definedName>
    <definedName name="P_1_8.10.7">#REF!</definedName>
    <definedName name="P_1_8.10.8" localSheetId="4">#REF!</definedName>
    <definedName name="P_1_8.10.8" localSheetId="2">#REF!</definedName>
    <definedName name="P_1_8.10.8">#REF!</definedName>
    <definedName name="P_1_8.10.9" localSheetId="4">#REF!</definedName>
    <definedName name="P_1_8.10.9" localSheetId="2">#REF!</definedName>
    <definedName name="P_1_8.10.9">#REF!</definedName>
    <definedName name="P_1_8.11.1" localSheetId="4">#REF!</definedName>
    <definedName name="P_1_8.11.1" localSheetId="2">#REF!</definedName>
    <definedName name="P_1_8.11.1">#REF!</definedName>
    <definedName name="P_1_8.11.10" localSheetId="4">#REF!</definedName>
    <definedName name="P_1_8.11.10" localSheetId="2">#REF!</definedName>
    <definedName name="P_1_8.11.10">#REF!</definedName>
    <definedName name="P_1_8.11.11" localSheetId="4">#REF!</definedName>
    <definedName name="P_1_8.11.11" localSheetId="2">#REF!</definedName>
    <definedName name="P_1_8.11.11">#REF!</definedName>
    <definedName name="P_1_8.11.12" localSheetId="4">#REF!</definedName>
    <definedName name="P_1_8.11.12" localSheetId="2">#REF!</definedName>
    <definedName name="P_1_8.11.12">#REF!</definedName>
    <definedName name="P_1_8.11.2" localSheetId="4">#REF!</definedName>
    <definedName name="P_1_8.11.2" localSheetId="2">#REF!</definedName>
    <definedName name="P_1_8.11.2">#REF!</definedName>
    <definedName name="P_1_8.11.3" localSheetId="4">#REF!</definedName>
    <definedName name="P_1_8.11.3" localSheetId="2">#REF!</definedName>
    <definedName name="P_1_8.11.3">#REF!</definedName>
    <definedName name="P_1_8.11.4" localSheetId="4">#REF!</definedName>
    <definedName name="P_1_8.11.4" localSheetId="2">#REF!</definedName>
    <definedName name="P_1_8.11.4">#REF!</definedName>
    <definedName name="P_1_8.11.5" localSheetId="4">#REF!</definedName>
    <definedName name="P_1_8.11.5" localSheetId="2">#REF!</definedName>
    <definedName name="P_1_8.11.5">#REF!</definedName>
    <definedName name="P_1_8.11.6" localSheetId="4">#REF!</definedName>
    <definedName name="P_1_8.11.6" localSheetId="2">#REF!</definedName>
    <definedName name="P_1_8.11.6">#REF!</definedName>
    <definedName name="P_1_8.11.7" localSheetId="4">#REF!</definedName>
    <definedName name="P_1_8.11.7" localSheetId="2">#REF!</definedName>
    <definedName name="P_1_8.11.7">#REF!</definedName>
    <definedName name="P_1_8.11.8" localSheetId="4">#REF!</definedName>
    <definedName name="P_1_8.11.8" localSheetId="2">#REF!</definedName>
    <definedName name="P_1_8.11.8">#REF!</definedName>
    <definedName name="P_1_8.11.9" localSheetId="4">#REF!</definedName>
    <definedName name="P_1_8.11.9" localSheetId="2">#REF!</definedName>
    <definedName name="P_1_8.11.9">#REF!</definedName>
    <definedName name="P_1_8.12.1">#REF!</definedName>
    <definedName name="P_1_8.12.2">#REF!</definedName>
    <definedName name="P_1_8.12.3">#REF!</definedName>
    <definedName name="P_1_8.12.4">#REF!</definedName>
    <definedName name="P_1_8.13.1" localSheetId="4">#REF!</definedName>
    <definedName name="P_1_8.13.1" localSheetId="2">#REF!</definedName>
    <definedName name="P_1_8.13.1">#REF!</definedName>
    <definedName name="P_1_8.13.2" localSheetId="4">#REF!</definedName>
    <definedName name="P_1_8.13.2" localSheetId="2">#REF!</definedName>
    <definedName name="P_1_8.13.2">#REF!</definedName>
    <definedName name="P_1_8.13.3" localSheetId="4">#REF!</definedName>
    <definedName name="P_1_8.13.3" localSheetId="2">#REF!</definedName>
    <definedName name="P_1_8.13.3">#REF!</definedName>
    <definedName name="P_1_8.13.4" localSheetId="4">#REF!</definedName>
    <definedName name="P_1_8.13.4" localSheetId="2">#REF!</definedName>
    <definedName name="P_1_8.13.4">#REF!</definedName>
    <definedName name="P_1_8.14.1" localSheetId="4">#REF!</definedName>
    <definedName name="P_1_8.14.1" localSheetId="2">#REF!</definedName>
    <definedName name="P_1_8.14.1">#REF!</definedName>
    <definedName name="P_1_8.14.2" localSheetId="4">#REF!</definedName>
    <definedName name="P_1_8.14.2" localSheetId="2">#REF!</definedName>
    <definedName name="P_1_8.14.2">#REF!</definedName>
    <definedName name="P_1_8.14.3" localSheetId="4">#REF!</definedName>
    <definedName name="P_1_8.14.3" localSheetId="2">#REF!</definedName>
    <definedName name="P_1_8.14.3">#REF!</definedName>
    <definedName name="P_1_8.14.4" localSheetId="4">#REF!</definedName>
    <definedName name="P_1_8.14.4" localSheetId="2">#REF!</definedName>
    <definedName name="P_1_8.14.4">#REF!</definedName>
    <definedName name="P_1_8.15.1" localSheetId="4">#REF!</definedName>
    <definedName name="P_1_8.15.1" localSheetId="2">#REF!</definedName>
    <definedName name="P_1_8.15.1">#REF!</definedName>
    <definedName name="P_1_8.15.2" localSheetId="4">#REF!</definedName>
    <definedName name="P_1_8.15.2" localSheetId="2">#REF!</definedName>
    <definedName name="P_1_8.15.2">#REF!</definedName>
    <definedName name="P_1_8.15.3" localSheetId="4">#REF!</definedName>
    <definedName name="P_1_8.15.3" localSheetId="2">#REF!</definedName>
    <definedName name="P_1_8.15.3">#REF!</definedName>
    <definedName name="P_1_8.15.4" localSheetId="4">#REF!</definedName>
    <definedName name="P_1_8.15.4" localSheetId="2">#REF!</definedName>
    <definedName name="P_1_8.15.4">#REF!</definedName>
    <definedName name="P_1_8.15.5" localSheetId="4">#REF!</definedName>
    <definedName name="P_1_8.15.5" localSheetId="2">#REF!</definedName>
    <definedName name="P_1_8.15.5">#REF!</definedName>
    <definedName name="P_1_8.15.6" localSheetId="4">#REF!</definedName>
    <definedName name="P_1_8.15.6" localSheetId="2">#REF!</definedName>
    <definedName name="P_1_8.15.6">#REF!</definedName>
    <definedName name="P_1_8.15.7" localSheetId="4">#REF!</definedName>
    <definedName name="P_1_8.15.7" localSheetId="2">#REF!</definedName>
    <definedName name="P_1_8.15.7">#REF!</definedName>
    <definedName name="P_1_8.16.1" localSheetId="4">#REF!</definedName>
    <definedName name="P_1_8.16.1" localSheetId="2">#REF!</definedName>
    <definedName name="P_1_8.16.1">#REF!</definedName>
    <definedName name="P_1_8.16.2" localSheetId="4">#REF!</definedName>
    <definedName name="P_1_8.16.2" localSheetId="2">#REF!</definedName>
    <definedName name="P_1_8.16.2">#REF!</definedName>
    <definedName name="P_1_8.16.3" localSheetId="4">#REF!</definedName>
    <definedName name="P_1_8.16.3" localSheetId="2">#REF!</definedName>
    <definedName name="P_1_8.16.3">#REF!</definedName>
    <definedName name="P_1_8.16.4" localSheetId="4">#REF!</definedName>
    <definedName name="P_1_8.16.4" localSheetId="2">#REF!</definedName>
    <definedName name="P_1_8.16.4">#REF!</definedName>
    <definedName name="P_1_8.17.1">#REF!</definedName>
    <definedName name="P_1_8.17.10">#REF!</definedName>
    <definedName name="P_1_8.17.2">#REF!</definedName>
    <definedName name="P_1_8.17.3">#REF!</definedName>
    <definedName name="P_1_8.17.4">#REF!</definedName>
    <definedName name="P_1_8.17.5">#REF!</definedName>
    <definedName name="P_1_8.17.6">#REF!</definedName>
    <definedName name="P_1_8.17.7">#REF!</definedName>
    <definedName name="P_1_8.17.8">#REF!</definedName>
    <definedName name="P_1_8.17.9">#REF!</definedName>
    <definedName name="P_1_8.18.1">#REF!</definedName>
    <definedName name="P_1_8.18.10">#REF!</definedName>
    <definedName name="P_1_8.18.2">#REF!</definedName>
    <definedName name="P_1_8.18.3">#REF!</definedName>
    <definedName name="P_1_8.18.4">#REF!</definedName>
    <definedName name="P_1_8.18.5">#REF!</definedName>
    <definedName name="P_1_8.18.6">#REF!</definedName>
    <definedName name="P_1_8.18.7">#REF!</definedName>
    <definedName name="P_1_8.18.8">#REF!</definedName>
    <definedName name="P_1_8.18.9">#REF!</definedName>
    <definedName name="P_1_8.19.1">#REF!</definedName>
    <definedName name="P_1_8.19.2">#REF!</definedName>
    <definedName name="P_1_8.19.3">#REF!</definedName>
    <definedName name="P_1_8.19.4">#REF!</definedName>
    <definedName name="P_1_8.19.5">#REF!</definedName>
    <definedName name="P_1_8.19.6">#REF!</definedName>
    <definedName name="P_1_8.2.1" localSheetId="4">#REF!</definedName>
    <definedName name="P_1_8.2.1" localSheetId="2">#REF!</definedName>
    <definedName name="P_1_8.2.1">#REF!</definedName>
    <definedName name="P_1_8.2.2" localSheetId="4">#REF!</definedName>
    <definedName name="P_1_8.2.2" localSheetId="2">#REF!</definedName>
    <definedName name="P_1_8.2.2">#REF!</definedName>
    <definedName name="P_1_8.2.3" localSheetId="4">#REF!</definedName>
    <definedName name="P_1_8.2.3" localSheetId="2">#REF!</definedName>
    <definedName name="P_1_8.2.3">#REF!</definedName>
    <definedName name="P_1_8.2.4" localSheetId="4">#REF!</definedName>
    <definedName name="P_1_8.2.4" localSheetId="2">#REF!</definedName>
    <definedName name="P_1_8.2.4">#REF!</definedName>
    <definedName name="P_1_8.2.5" localSheetId="4">#REF!</definedName>
    <definedName name="P_1_8.2.5" localSheetId="2">#REF!</definedName>
    <definedName name="P_1_8.2.5">#REF!</definedName>
    <definedName name="P_1_8.2.6" localSheetId="4">#REF!</definedName>
    <definedName name="P_1_8.2.6" localSheetId="2">#REF!</definedName>
    <definedName name="P_1_8.2.6">#REF!</definedName>
    <definedName name="P_1_8.2.7" localSheetId="4">#REF!</definedName>
    <definedName name="P_1_8.2.7" localSheetId="2">#REF!</definedName>
    <definedName name="P_1_8.2.7">#REF!</definedName>
    <definedName name="P_1_8.20.1">#REF!</definedName>
    <definedName name="P_1_8.20.2">#REF!</definedName>
    <definedName name="P_1_8.20.3">#REF!</definedName>
    <definedName name="P_1_8.20.4">#REF!</definedName>
    <definedName name="P_1_8.20.5">#REF!</definedName>
    <definedName name="P_1_8.20.6">#REF!</definedName>
    <definedName name="P_1_8.21.1">#REF!</definedName>
    <definedName name="P_1_8.21.2">#REF!</definedName>
    <definedName name="P_1_8.21.3">#REF!</definedName>
    <definedName name="P_1_8.21.4">#REF!</definedName>
    <definedName name="P_1_8.22.1">#REF!</definedName>
    <definedName name="P_1_8.22.2">#REF!</definedName>
    <definedName name="P_1_8.22.3">#REF!</definedName>
    <definedName name="P_1_8.22.4">#REF!</definedName>
    <definedName name="P_1_8.22.5">#REF!</definedName>
    <definedName name="P_1_8.23.1">#REF!</definedName>
    <definedName name="P_1_8.23.2">#REF!</definedName>
    <definedName name="P_1_8.23.3">#REF!</definedName>
    <definedName name="P_1_8.23.4">#REF!</definedName>
    <definedName name="P_1_8.24.1" localSheetId="4">#REF!</definedName>
    <definedName name="P_1_8.24.1" localSheetId="2">#REF!</definedName>
    <definedName name="P_1_8.24.1">#REF!</definedName>
    <definedName name="P_1_8.24.2" localSheetId="4">#REF!</definedName>
    <definedName name="P_1_8.24.2" localSheetId="2">#REF!</definedName>
    <definedName name="P_1_8.24.2">#REF!</definedName>
    <definedName name="P_1_8.24.3" localSheetId="4">#REF!</definedName>
    <definedName name="P_1_8.24.3" localSheetId="2">#REF!</definedName>
    <definedName name="P_1_8.24.3">#REF!</definedName>
    <definedName name="P_1_8.24.4" localSheetId="4">#REF!</definedName>
    <definedName name="P_1_8.24.4" localSheetId="2">#REF!</definedName>
    <definedName name="P_1_8.24.4">#REF!</definedName>
    <definedName name="P_1_8.25.1" localSheetId="4">#REF!</definedName>
    <definedName name="P_1_8.25.1" localSheetId="2">#REF!</definedName>
    <definedName name="P_1_8.25.1">#REF!</definedName>
    <definedName name="P_1_8.25.2" localSheetId="4">#REF!</definedName>
    <definedName name="P_1_8.25.2" localSheetId="2">#REF!</definedName>
    <definedName name="P_1_8.25.2">#REF!</definedName>
    <definedName name="P_1_8.25.3" localSheetId="4">#REF!</definedName>
    <definedName name="P_1_8.25.3" localSheetId="2">#REF!</definedName>
    <definedName name="P_1_8.25.3">#REF!</definedName>
    <definedName name="P_1_8.25.4" localSheetId="4">#REF!</definedName>
    <definedName name="P_1_8.25.4" localSheetId="2">#REF!</definedName>
    <definedName name="P_1_8.25.4">#REF!</definedName>
    <definedName name="P_1_8.26.1">#REF!</definedName>
    <definedName name="P_1_8.26.2">#REF!</definedName>
    <definedName name="P_1_8.26.3">#REF!</definedName>
    <definedName name="P_1_8.26.4">#REF!</definedName>
    <definedName name="P_1_8.26.5">#REF!</definedName>
    <definedName name="P_1_8.26.6">#REF!</definedName>
    <definedName name="P_1_8.27.1">#REF!</definedName>
    <definedName name="P_1_8.27.2">#REF!</definedName>
    <definedName name="P_1_8.27.3">#REF!</definedName>
    <definedName name="P_1_8.27.4">#REF!</definedName>
    <definedName name="P_1_8.27.5">#REF!</definedName>
    <definedName name="P_1_8.27.6">#REF!</definedName>
    <definedName name="P_1_8.27.7">#REF!</definedName>
    <definedName name="P_1_8.27.8">#REF!</definedName>
    <definedName name="P_1_8.28.1">#REF!</definedName>
    <definedName name="P_1_8.28.2">#REF!</definedName>
    <definedName name="P_1_8.28.3">#REF!</definedName>
    <definedName name="P_1_8.28.4">#REF!</definedName>
    <definedName name="P_1_8.28.5">#REF!</definedName>
    <definedName name="P_1_8.28.6">#REF!</definedName>
    <definedName name="P_1_8.28.7">#REF!</definedName>
    <definedName name="P_1_8.28.8">#REF!</definedName>
    <definedName name="P_1_8.29.1" localSheetId="4">#REF!</definedName>
    <definedName name="P_1_8.29.1" localSheetId="2">#REF!</definedName>
    <definedName name="P_1_8.29.1">#REF!</definedName>
    <definedName name="P_1_8.29.2" localSheetId="4">#REF!</definedName>
    <definedName name="P_1_8.29.2" localSheetId="2">#REF!</definedName>
    <definedName name="P_1_8.29.2">#REF!</definedName>
    <definedName name="P_1_8.29.3" localSheetId="4">#REF!</definedName>
    <definedName name="P_1_8.29.3" localSheetId="2">#REF!</definedName>
    <definedName name="P_1_8.29.3">#REF!</definedName>
    <definedName name="P_1_8.29.4" localSheetId="4">#REF!</definedName>
    <definedName name="P_1_8.29.4" localSheetId="2">#REF!</definedName>
    <definedName name="P_1_8.29.4">#REF!</definedName>
    <definedName name="P_1_8.29.5" localSheetId="4">#REF!</definedName>
    <definedName name="P_1_8.29.5" localSheetId="2">#REF!</definedName>
    <definedName name="P_1_8.29.5">#REF!</definedName>
    <definedName name="P_1_8.29.6" localSheetId="4">#REF!</definedName>
    <definedName name="P_1_8.29.6" localSheetId="2">#REF!</definedName>
    <definedName name="P_1_8.29.6">#REF!</definedName>
    <definedName name="P_1_8.3.1" localSheetId="4">#REF!</definedName>
    <definedName name="P_1_8.3.1" localSheetId="2">#REF!</definedName>
    <definedName name="P_1_8.3.1">#REF!</definedName>
    <definedName name="P_1_8.3.10">#REF!</definedName>
    <definedName name="P_1_8.3.11">#REF!</definedName>
    <definedName name="P_1_8.3.2" localSheetId="4">#REF!</definedName>
    <definedName name="P_1_8.3.2" localSheetId="2">#REF!</definedName>
    <definedName name="P_1_8.3.2">#REF!</definedName>
    <definedName name="P_1_8.3.3">#REF!</definedName>
    <definedName name="P_1_8.3.4">#REF!</definedName>
    <definedName name="P_1_8.3.5">#REF!</definedName>
    <definedName name="P_1_8.3.6">#REF!</definedName>
    <definedName name="P_1_8.3.7">#REF!</definedName>
    <definedName name="P_1_8.3.8">#REF!</definedName>
    <definedName name="P_1_8.3.9">#REF!</definedName>
    <definedName name="P_1_8.30.1">#REF!</definedName>
    <definedName name="P_1_8.30.2">#REF!</definedName>
    <definedName name="P_1_8.30.3">#REF!</definedName>
    <definedName name="P_1_8.30.4">#REF!</definedName>
    <definedName name="P_1_8.31.1" localSheetId="4">#REF!</definedName>
    <definedName name="P_1_8.31.1" localSheetId="2">#REF!</definedName>
    <definedName name="P_1_8.31.1">#REF!</definedName>
    <definedName name="P_1_8.31.2" localSheetId="4">#REF!</definedName>
    <definedName name="P_1_8.31.2" localSheetId="2">#REF!</definedName>
    <definedName name="P_1_8.31.2">#REF!</definedName>
    <definedName name="P_1_8.31.3" localSheetId="4">#REF!</definedName>
    <definedName name="P_1_8.31.3" localSheetId="2">#REF!</definedName>
    <definedName name="P_1_8.31.3">#REF!</definedName>
    <definedName name="P_1_8.31.4" localSheetId="4">#REF!</definedName>
    <definedName name="P_1_8.31.4" localSheetId="2">#REF!</definedName>
    <definedName name="P_1_8.31.4">#REF!</definedName>
    <definedName name="P_1_8.31.5" localSheetId="4">#REF!</definedName>
    <definedName name="P_1_8.31.5" localSheetId="2">#REF!</definedName>
    <definedName name="P_1_8.31.5">#REF!</definedName>
    <definedName name="P_1_8.31.6" localSheetId="4">#REF!</definedName>
    <definedName name="P_1_8.31.6" localSheetId="2">#REF!</definedName>
    <definedName name="P_1_8.31.6">#REF!</definedName>
    <definedName name="P_1_8.31.7" localSheetId="4">#REF!</definedName>
    <definedName name="P_1_8.31.7" localSheetId="2">#REF!</definedName>
    <definedName name="P_1_8.31.7">#REF!</definedName>
    <definedName name="P_1_8.4.1" localSheetId="4">#REF!</definedName>
    <definedName name="P_1_8.4.1" localSheetId="2">#REF!</definedName>
    <definedName name="P_1_8.4.1">#REF!</definedName>
    <definedName name="P_1_8.4.10" localSheetId="4">#REF!</definedName>
    <definedName name="P_1_8.4.10" localSheetId="2">#REF!</definedName>
    <definedName name="P_1_8.4.10">#REF!</definedName>
    <definedName name="P_1_8.4.11" localSheetId="4">#REF!</definedName>
    <definedName name="P_1_8.4.11" localSheetId="2">#REF!</definedName>
    <definedName name="P_1_8.4.11">#REF!</definedName>
    <definedName name="P_1_8.4.2" localSheetId="4">#REF!</definedName>
    <definedName name="P_1_8.4.2" localSheetId="2">#REF!</definedName>
    <definedName name="P_1_8.4.2">#REF!</definedName>
    <definedName name="P_1_8.4.3" localSheetId="4">#REF!</definedName>
    <definedName name="P_1_8.4.3" localSheetId="2">#REF!</definedName>
    <definedName name="P_1_8.4.3">#REF!</definedName>
    <definedName name="P_1_8.4.4" localSheetId="4">#REF!</definedName>
    <definedName name="P_1_8.4.4" localSheetId="2">#REF!</definedName>
    <definedName name="P_1_8.4.4">#REF!</definedName>
    <definedName name="P_1_8.4.5" localSheetId="4">#REF!</definedName>
    <definedName name="P_1_8.4.5" localSheetId="2">#REF!</definedName>
    <definedName name="P_1_8.4.5">#REF!</definedName>
    <definedName name="P_1_8.4.6" localSheetId="4">#REF!</definedName>
    <definedName name="P_1_8.4.6" localSheetId="2">#REF!</definedName>
    <definedName name="P_1_8.4.6">#REF!</definedName>
    <definedName name="P_1_8.4.7" localSheetId="4">#REF!</definedName>
    <definedName name="P_1_8.4.7" localSheetId="2">#REF!</definedName>
    <definedName name="P_1_8.4.7">#REF!</definedName>
    <definedName name="P_1_8.4.8" localSheetId="4">#REF!</definedName>
    <definedName name="P_1_8.4.8" localSheetId="2">#REF!</definedName>
    <definedName name="P_1_8.4.8">#REF!</definedName>
    <definedName name="P_1_8.4.9" localSheetId="4">#REF!</definedName>
    <definedName name="P_1_8.4.9" localSheetId="2">#REF!</definedName>
    <definedName name="P_1_8.4.9">#REF!</definedName>
    <definedName name="P_1_8.5.1" localSheetId="4">#REF!</definedName>
    <definedName name="P_1_8.5.1" localSheetId="2">#REF!</definedName>
    <definedName name="P_1_8.5.1">#REF!</definedName>
    <definedName name="P_1_8.5.10" localSheetId="4">#REF!</definedName>
    <definedName name="P_1_8.5.10" localSheetId="2">#REF!</definedName>
    <definedName name="P_1_8.5.10">#REF!</definedName>
    <definedName name="P_1_8.5.11" localSheetId="4">#REF!</definedName>
    <definedName name="P_1_8.5.11" localSheetId="2">#REF!</definedName>
    <definedName name="P_1_8.5.11">#REF!</definedName>
    <definedName name="P_1_8.5.2" localSheetId="4">#REF!</definedName>
    <definedName name="P_1_8.5.2" localSheetId="2">#REF!</definedName>
    <definedName name="P_1_8.5.2">#REF!</definedName>
    <definedName name="P_1_8.5.3" localSheetId="4">#REF!</definedName>
    <definedName name="P_1_8.5.3" localSheetId="2">#REF!</definedName>
    <definedName name="P_1_8.5.3">#REF!</definedName>
    <definedName name="P_1_8.5.4" localSheetId="4">#REF!</definedName>
    <definedName name="P_1_8.5.4" localSheetId="2">#REF!</definedName>
    <definedName name="P_1_8.5.4">#REF!</definedName>
    <definedName name="P_1_8.5.5" localSheetId="4">#REF!</definedName>
    <definedName name="P_1_8.5.5" localSheetId="2">#REF!</definedName>
    <definedName name="P_1_8.5.5">#REF!</definedName>
    <definedName name="P_1_8.5.6" localSheetId="4">#REF!</definedName>
    <definedName name="P_1_8.5.6" localSheetId="2">#REF!</definedName>
    <definedName name="P_1_8.5.6">#REF!</definedName>
    <definedName name="P_1_8.5.7" localSheetId="4">#REF!</definedName>
    <definedName name="P_1_8.5.7" localSheetId="2">#REF!</definedName>
    <definedName name="P_1_8.5.7">#REF!</definedName>
    <definedName name="P_1_8.5.8" localSheetId="4">#REF!</definedName>
    <definedName name="P_1_8.5.8" localSheetId="2">#REF!</definedName>
    <definedName name="P_1_8.5.8">#REF!</definedName>
    <definedName name="P_1_8.5.9" localSheetId="4">#REF!</definedName>
    <definedName name="P_1_8.5.9" localSheetId="2">#REF!</definedName>
    <definedName name="P_1_8.5.9">#REF!</definedName>
    <definedName name="P_1_8.6.1">#REF!</definedName>
    <definedName name="P_1_8.6.10">#REF!</definedName>
    <definedName name="P_1_8.6.11">#REF!</definedName>
    <definedName name="P_1_8.6.2">#REF!</definedName>
    <definedName name="P_1_8.6.3">#REF!</definedName>
    <definedName name="P_1_8.6.4">#REF!</definedName>
    <definedName name="P_1_8.6.5">#REF!</definedName>
    <definedName name="P_1_8.6.6">#REF!</definedName>
    <definedName name="P_1_8.6.7">#REF!</definedName>
    <definedName name="P_1_8.6.8">#REF!</definedName>
    <definedName name="P_1_8.7.2" localSheetId="4">#REF!</definedName>
    <definedName name="P_1_8.7.2" localSheetId="2">#REF!</definedName>
    <definedName name="P_1_8.7.2">#REF!</definedName>
    <definedName name="P_1_8.8.1">#REF!</definedName>
    <definedName name="P_1_8.8.2">#REF!</definedName>
    <definedName name="P_1_8.8.3">#REF!</definedName>
    <definedName name="P_1_8.8.4">#REF!</definedName>
    <definedName name="P_1_8.8.5">#REF!</definedName>
    <definedName name="P_1_8.8.6">#REF!</definedName>
    <definedName name="P_1_8.8.7">#REF!</definedName>
    <definedName name="P_1_8.9.1">#REF!</definedName>
    <definedName name="P_1_8.9.10">#REF!</definedName>
    <definedName name="P_1_8.9.11">#REF!</definedName>
    <definedName name="P_1_8.9.12">#REF!</definedName>
    <definedName name="P_1_8.9.2">#REF!</definedName>
    <definedName name="P_1_8.9.3">#REF!</definedName>
    <definedName name="P_1_8.9.4">#REF!</definedName>
    <definedName name="P_1_8.9.5">#REF!</definedName>
    <definedName name="P_1_8.9.6">#REF!</definedName>
    <definedName name="P_1_8.9.7">#REF!</definedName>
    <definedName name="P_1_8.9.8">#REF!</definedName>
    <definedName name="P_1_8.9.9">#REF!</definedName>
    <definedName name="P_1_87.1" localSheetId="4">#REF!</definedName>
    <definedName name="P_1_87.1" localSheetId="2">#REF!</definedName>
    <definedName name="P_1_87.1">#REF!</definedName>
    <definedName name="P_1_9.1">#REF!</definedName>
    <definedName name="P_1_9.2">#REF!</definedName>
    <definedName name="P_1_9.3.1">#REF!</definedName>
    <definedName name="P_1_9.3.2" localSheetId="4">#REF!</definedName>
    <definedName name="P_1_9.3.2" localSheetId="2">#REF!</definedName>
    <definedName name="P_1_9.3.2">#REF!</definedName>
    <definedName name="P_1_9.3.3" localSheetId="4">#REF!</definedName>
    <definedName name="P_1_9.3.3" localSheetId="2">#REF!</definedName>
    <definedName name="P_1_9.3.3">#REF!</definedName>
    <definedName name="P_1_9.3.4">#REF!</definedName>
    <definedName name="P_1_9.4.1">#REF!</definedName>
    <definedName name="P_1_9.4.2" localSheetId="4">#REF!</definedName>
    <definedName name="P_1_9.4.2" localSheetId="2">#REF!</definedName>
    <definedName name="P_1_9.4.2">#REF!</definedName>
    <definedName name="P_1_9.4.3" localSheetId="4">#REF!</definedName>
    <definedName name="P_1_9.4.3" localSheetId="2">#REF!</definedName>
    <definedName name="P_1_9.4.3">#REF!</definedName>
    <definedName name="P_1_9.4.4">#REF!</definedName>
    <definedName name="P_1_9.5.1" localSheetId="4">#REF!</definedName>
    <definedName name="P_1_9.5.1" localSheetId="2">#REF!</definedName>
    <definedName name="P_1_9.5.1">#REF!</definedName>
    <definedName name="P_1_9.5.2">#REF!</definedName>
    <definedName name="P_1_9.5.3">#REF!</definedName>
    <definedName name="P_1_9.5.4">#REF!</definedName>
    <definedName name="P_1_9.5.5">#REF!</definedName>
    <definedName name="P_1_9.5.6">#REF!</definedName>
    <definedName name="P_1_9.5.7" localSheetId="4">#REF!</definedName>
    <definedName name="P_1_9.5.7" localSheetId="2">#REF!</definedName>
    <definedName name="P_1_9.5.7">#REF!</definedName>
    <definedName name="P_1_9.5.8">#REF!</definedName>
    <definedName name="PU" localSheetId="4">#REF!</definedName>
    <definedName name="PU" localSheetId="2">#REF!</definedName>
    <definedName name="PU">#REF!</definedName>
    <definedName name="Qté" localSheetId="4">#REF!</definedName>
    <definedName name="Qté" localSheetId="2">#REF!</definedName>
    <definedName name="Qté">#REF!</definedName>
    <definedName name="Réseaux_divers">'[1]Cahier de Prix'!$B$691:$B$813</definedName>
    <definedName name="TVA">0.196</definedName>
    <definedName name="_xlnm.Print_Area" localSheetId="4">'Etude de cas n°1'!$A$1:$F$2021</definedName>
    <definedName name="_xlnm.Print_Area" localSheetId="1">'Mode d''emploi'!$A$1:$B$32</definedName>
    <definedName name="_xlnm.Print_Area" localSheetId="3">Récapitulatif!$A$1:$I$12</definedName>
    <definedName name="_xlnm.Print_Area" localSheetId="2">Saisie!$A$1:$G$2024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84" i="24" l="1"/>
  <c r="G1990" i="21"/>
  <c r="G1991" i="21"/>
  <c r="E1991" i="21" s="1"/>
  <c r="F1991" i="21" s="1"/>
  <c r="G1992" i="21"/>
  <c r="E1992" i="21" s="1"/>
  <c r="F1992" i="21" s="1"/>
  <c r="G1989" i="21"/>
  <c r="E1989" i="21" s="1"/>
  <c r="F1989" i="21" s="1"/>
  <c r="E1990" i="21"/>
  <c r="F1990" i="21" s="1"/>
  <c r="E1990" i="24"/>
  <c r="F1990" i="24" s="1"/>
  <c r="E1991" i="24"/>
  <c r="F1991" i="24" s="1"/>
  <c r="E1992" i="24"/>
  <c r="F1992" i="24" s="1"/>
  <c r="E1989" i="24"/>
  <c r="F1989" i="24" s="1"/>
  <c r="D95" i="24"/>
  <c r="G1979" i="21"/>
  <c r="G1980" i="21"/>
  <c r="G1981" i="21"/>
  <c r="G1982" i="21"/>
  <c r="G1984" i="21"/>
  <c r="G1964" i="21"/>
  <c r="G1965" i="21"/>
  <c r="G1966" i="21"/>
  <c r="G1967" i="21"/>
  <c r="G1968" i="21"/>
  <c r="G1969" i="21"/>
  <c r="G1970" i="21"/>
  <c r="G1971" i="21"/>
  <c r="G1972" i="21"/>
  <c r="G1973" i="21"/>
  <c r="G1974" i="21"/>
  <c r="G1975" i="21"/>
  <c r="G1976" i="21"/>
  <c r="G1953" i="21"/>
  <c r="G1954" i="21"/>
  <c r="G1949" i="21"/>
  <c r="G1950" i="21"/>
  <c r="G1945" i="21"/>
  <c r="G1946" i="21"/>
  <c r="G1939" i="21"/>
  <c r="G1940" i="21"/>
  <c r="G1941" i="21"/>
  <c r="G1942" i="21"/>
  <c r="G1932" i="21"/>
  <c r="G1927" i="21"/>
  <c r="G1928" i="21"/>
  <c r="G1929" i="21"/>
  <c r="G1919" i="21"/>
  <c r="G1920" i="21"/>
  <c r="G1921" i="21"/>
  <c r="G1922" i="21"/>
  <c r="G1923" i="21"/>
  <c r="G1924" i="21"/>
  <c r="G1913" i="21"/>
  <c r="G1914" i="21"/>
  <c r="G1915" i="21"/>
  <c r="G1916" i="21"/>
  <c r="G1907" i="21"/>
  <c r="G1908" i="21"/>
  <c r="G1909" i="21"/>
  <c r="G1910" i="21"/>
  <c r="G1901" i="21"/>
  <c r="G1902" i="21"/>
  <c r="G1903" i="21"/>
  <c r="G1904" i="21"/>
  <c r="G1891" i="21"/>
  <c r="G1892" i="21"/>
  <c r="G1893" i="21"/>
  <c r="G1894" i="21"/>
  <c r="G1886" i="21"/>
  <c r="G1887" i="21"/>
  <c r="G1888" i="21"/>
  <c r="G1878" i="21"/>
  <c r="G1879" i="21"/>
  <c r="G1880" i="21"/>
  <c r="G1881" i="21"/>
  <c r="G1882" i="21"/>
  <c r="G1883" i="21"/>
  <c r="G1871" i="21"/>
  <c r="G1872" i="21"/>
  <c r="G1867" i="21"/>
  <c r="G1868" i="21"/>
  <c r="G1862" i="21"/>
  <c r="G1863" i="21"/>
  <c r="G1864" i="21"/>
  <c r="G1857" i="21"/>
  <c r="G1858" i="21"/>
  <c r="G1859" i="21"/>
  <c r="G1853" i="21"/>
  <c r="G1854" i="21"/>
  <c r="G1849" i="21"/>
  <c r="G1850" i="21"/>
  <c r="G1845" i="21"/>
  <c r="G1846" i="21"/>
  <c r="G1841" i="21"/>
  <c r="G1842" i="21"/>
  <c r="G1834" i="21"/>
  <c r="G1835" i="21"/>
  <c r="G1824" i="21"/>
  <c r="G1825" i="21"/>
  <c r="G1826" i="21"/>
  <c r="G1827" i="21"/>
  <c r="G1828" i="21"/>
  <c r="G1829" i="21"/>
  <c r="G1830" i="21"/>
  <c r="G1831" i="21"/>
  <c r="G1815" i="21"/>
  <c r="G1816" i="21"/>
  <c r="G1817" i="21"/>
  <c r="G1811" i="21"/>
  <c r="G1812" i="21"/>
  <c r="G1802" i="21"/>
  <c r="G1803" i="21"/>
  <c r="G1804" i="21"/>
  <c r="G1805" i="21"/>
  <c r="G1806" i="21"/>
  <c r="G1807" i="21"/>
  <c r="G1798" i="21"/>
  <c r="G1799" i="21"/>
  <c r="G1791" i="21"/>
  <c r="G1792" i="21"/>
  <c r="G1793" i="21"/>
  <c r="G1794" i="21"/>
  <c r="G1795" i="21"/>
  <c r="G1785" i="21"/>
  <c r="G1786" i="21"/>
  <c r="G1787" i="21"/>
  <c r="G1779" i="21"/>
  <c r="G1780" i="21"/>
  <c r="G1773" i="21"/>
  <c r="G1774" i="21"/>
  <c r="G1775" i="21"/>
  <c r="G1776" i="21"/>
  <c r="G1767" i="21"/>
  <c r="G1768" i="21"/>
  <c r="G1769" i="21"/>
  <c r="G1770" i="21"/>
  <c r="G1761" i="21"/>
  <c r="G1762" i="21"/>
  <c r="G1763" i="21"/>
  <c r="G1764" i="21"/>
  <c r="G1755" i="21"/>
  <c r="G1756" i="21"/>
  <c r="G1757" i="21"/>
  <c r="G1758" i="21"/>
  <c r="G1749" i="21"/>
  <c r="G1750" i="21"/>
  <c r="G1751" i="21"/>
  <c r="G1752" i="21"/>
  <c r="G1743" i="21"/>
  <c r="G1744" i="21"/>
  <c r="G1745" i="21"/>
  <c r="G1746" i="21"/>
  <c r="G1737" i="21"/>
  <c r="G1738" i="21"/>
  <c r="G1739" i="21"/>
  <c r="G1740" i="21"/>
  <c r="G1730" i="21"/>
  <c r="G1731" i="21"/>
  <c r="G1732" i="21"/>
  <c r="G1733" i="21"/>
  <c r="G1724" i="21"/>
  <c r="G1725" i="21"/>
  <c r="G1726" i="21"/>
  <c r="G1727" i="21"/>
  <c r="G1718" i="21"/>
  <c r="G1719" i="21"/>
  <c r="G1720" i="21"/>
  <c r="G1721" i="21"/>
  <c r="G1712" i="21"/>
  <c r="G1713" i="21"/>
  <c r="G1714" i="21"/>
  <c r="G1715" i="21"/>
  <c r="G1706" i="21"/>
  <c r="G1707" i="21"/>
  <c r="G1708" i="21"/>
  <c r="G1709" i="21"/>
  <c r="G1700" i="21"/>
  <c r="G1701" i="21"/>
  <c r="G1702" i="21"/>
  <c r="G1703" i="21"/>
  <c r="G1694" i="21"/>
  <c r="G1695" i="21"/>
  <c r="G1696" i="21"/>
  <c r="G1689" i="21"/>
  <c r="G1690" i="21"/>
  <c r="G1691" i="21"/>
  <c r="G1684" i="21"/>
  <c r="G1685" i="21"/>
  <c r="G1686" i="21"/>
  <c r="G1679" i="21"/>
  <c r="G1680" i="21"/>
  <c r="G1681" i="21"/>
  <c r="G1674" i="21"/>
  <c r="G1675" i="21"/>
  <c r="G1676" i="21"/>
  <c r="G1669" i="21"/>
  <c r="G1670" i="21"/>
  <c r="G1671" i="21"/>
  <c r="G1662" i="21"/>
  <c r="G1663" i="21"/>
  <c r="G1664" i="21"/>
  <c r="G1665" i="21"/>
  <c r="G1658" i="21"/>
  <c r="G1659" i="21"/>
  <c r="G1654" i="21"/>
  <c r="G1655" i="21"/>
  <c r="G1650" i="21"/>
  <c r="G1651" i="21"/>
  <c r="G1646" i="21"/>
  <c r="G1647" i="21"/>
  <c r="G1642" i="21"/>
  <c r="G1643" i="21"/>
  <c r="G1638" i="21"/>
  <c r="G1639" i="21"/>
  <c r="G1634" i="21"/>
  <c r="G1635" i="21"/>
  <c r="G1629" i="21"/>
  <c r="G1630" i="21"/>
  <c r="G1625" i="21"/>
  <c r="G1626" i="21"/>
  <c r="G1621" i="21"/>
  <c r="G1622" i="21"/>
  <c r="G1617" i="21"/>
  <c r="G1618" i="21"/>
  <c r="G1613" i="21"/>
  <c r="G1614" i="21"/>
  <c r="G1609" i="21"/>
  <c r="G1610" i="21"/>
  <c r="G1599" i="21"/>
  <c r="G1600" i="21"/>
  <c r="G1601" i="21"/>
  <c r="G1589" i="21"/>
  <c r="G1590" i="21"/>
  <c r="G1591" i="21"/>
  <c r="G1592" i="21"/>
  <c r="G1593" i="21"/>
  <c r="G1594" i="21"/>
  <c r="G1595" i="21"/>
  <c r="G1596" i="21"/>
  <c r="G1581" i="21"/>
  <c r="G1582" i="21"/>
  <c r="G1583" i="21"/>
  <c r="G1584" i="21"/>
  <c r="G1585" i="21"/>
  <c r="G1586" i="21"/>
  <c r="G1573" i="21"/>
  <c r="G1574" i="21"/>
  <c r="G1575" i="21"/>
  <c r="G1576" i="21"/>
  <c r="G1577" i="21"/>
  <c r="G1578" i="21"/>
  <c r="G1567" i="21"/>
  <c r="G1568" i="21"/>
  <c r="G1569" i="21"/>
  <c r="G1570" i="21"/>
  <c r="G1562" i="21"/>
  <c r="G1563" i="21"/>
  <c r="G1564" i="21"/>
  <c r="G1557" i="21"/>
  <c r="G1558" i="21"/>
  <c r="G1559" i="21"/>
  <c r="G1553" i="21"/>
  <c r="G1554" i="21"/>
  <c r="G1544" i="21"/>
  <c r="G1545" i="21"/>
  <c r="G1546" i="21"/>
  <c r="G1547" i="21"/>
  <c r="G1548" i="21"/>
  <c r="G1549" i="21"/>
  <c r="G1550" i="21"/>
  <c r="G1539" i="21"/>
  <c r="G1540" i="21"/>
  <c r="G1541" i="21"/>
  <c r="G1523" i="21"/>
  <c r="G1524" i="21"/>
  <c r="G1525" i="21"/>
  <c r="G1519" i="21"/>
  <c r="G1520" i="21"/>
  <c r="G1505" i="21"/>
  <c r="G1506" i="21"/>
  <c r="G1507" i="21"/>
  <c r="G1508" i="21"/>
  <c r="G1509" i="21"/>
  <c r="G1510" i="21"/>
  <c r="G1511" i="21"/>
  <c r="G1512" i="21"/>
  <c r="G1477" i="21"/>
  <c r="G1478" i="21"/>
  <c r="G1479" i="21"/>
  <c r="G1480" i="21"/>
  <c r="G1481" i="21"/>
  <c r="G1482" i="21"/>
  <c r="G1483" i="21"/>
  <c r="G1484" i="21"/>
  <c r="G1485" i="21"/>
  <c r="G1486" i="21"/>
  <c r="G1487" i="21"/>
  <c r="G1488" i="21"/>
  <c r="G1489" i="21"/>
  <c r="G1490" i="21"/>
  <c r="G1491" i="21"/>
  <c r="G1492" i="21"/>
  <c r="G1493" i="21"/>
  <c r="G1494" i="21"/>
  <c r="G1495" i="21"/>
  <c r="G1496" i="21"/>
  <c r="G1497" i="21"/>
  <c r="G1498" i="21"/>
  <c r="G1499" i="21"/>
  <c r="G1500" i="21"/>
  <c r="G1501" i="21"/>
  <c r="G1502" i="21"/>
  <c r="G1474" i="21"/>
  <c r="G1464" i="21"/>
  <c r="G1465" i="21"/>
  <c r="G1466" i="21"/>
  <c r="G1467" i="21"/>
  <c r="G1468" i="21"/>
  <c r="G1469" i="21"/>
  <c r="G1470" i="21"/>
  <c r="G1471" i="21"/>
  <c r="G1456" i="21"/>
  <c r="G1457" i="21"/>
  <c r="G1458" i="21"/>
  <c r="G1459" i="21"/>
  <c r="G1460" i="21"/>
  <c r="G1451" i="21"/>
  <c r="G1452" i="21"/>
  <c r="G1453" i="21"/>
  <c r="G1446" i="21"/>
  <c r="G1447" i="21"/>
  <c r="G1448" i="21"/>
  <c r="G1441" i="21"/>
  <c r="G1442" i="21"/>
  <c r="G1443" i="21"/>
  <c r="G1433" i="21"/>
  <c r="G1434" i="21"/>
  <c r="G1435" i="21"/>
  <c r="G1436" i="21"/>
  <c r="G1437" i="21"/>
  <c r="G1428" i="21"/>
  <c r="G1429" i="21"/>
  <c r="G1430" i="21"/>
  <c r="G1419" i="21"/>
  <c r="G1420" i="21"/>
  <c r="G1415" i="21"/>
  <c r="G1416" i="21"/>
  <c r="G1408" i="21"/>
  <c r="G1409" i="21"/>
  <c r="G1410" i="21"/>
  <c r="G1411" i="21"/>
  <c r="G1412" i="21"/>
  <c r="G1404" i="21"/>
  <c r="G1405" i="21"/>
  <c r="G1400" i="21"/>
  <c r="G1401" i="21"/>
  <c r="G1396" i="21"/>
  <c r="G1397" i="21"/>
  <c r="G1391" i="21"/>
  <c r="G1392" i="21"/>
  <c r="G1387" i="21"/>
  <c r="G1388" i="21"/>
  <c r="G1383" i="21"/>
  <c r="G1384" i="21"/>
  <c r="G1369" i="21"/>
  <c r="G1370" i="21"/>
  <c r="G1371" i="21"/>
  <c r="G1372" i="21"/>
  <c r="G1373" i="21"/>
  <c r="G1374" i="21"/>
  <c r="G1375" i="21"/>
  <c r="G1376" i="21"/>
  <c r="G1363" i="21"/>
  <c r="G1356" i="21"/>
  <c r="G1357" i="21"/>
  <c r="G1358" i="21"/>
  <c r="G1359" i="21"/>
  <c r="G1360" i="21"/>
  <c r="G1352" i="21"/>
  <c r="G1353" i="21"/>
  <c r="G1340" i="21"/>
  <c r="G1325" i="21"/>
  <c r="G1326" i="21"/>
  <c r="G1327" i="21"/>
  <c r="G1328" i="21"/>
  <c r="G1329" i="21"/>
  <c r="G1330" i="21"/>
  <c r="G1331" i="21"/>
  <c r="G1332" i="21"/>
  <c r="G1333" i="21"/>
  <c r="G1334" i="21"/>
  <c r="G1335" i="21"/>
  <c r="G1321" i="21"/>
  <c r="G1322" i="21"/>
  <c r="G1316" i="21"/>
  <c r="G1317" i="21"/>
  <c r="G1318" i="21"/>
  <c r="G1312" i="21"/>
  <c r="G1313" i="21"/>
  <c r="G1299" i="21"/>
  <c r="G1300" i="21"/>
  <c r="G1301" i="21"/>
  <c r="G1302" i="21"/>
  <c r="G1303" i="21"/>
  <c r="G1304" i="21"/>
  <c r="G1305" i="21"/>
  <c r="G1306" i="21"/>
  <c r="G1307" i="21"/>
  <c r="G1296" i="21"/>
  <c r="G1289" i="21"/>
  <c r="G1290" i="21"/>
  <c r="G1291" i="21"/>
  <c r="G1292" i="21"/>
  <c r="G1293" i="21"/>
  <c r="G1282" i="21"/>
  <c r="G1283" i="21"/>
  <c r="G1284" i="21"/>
  <c r="G1285" i="21"/>
  <c r="G1286" i="21"/>
  <c r="G1275" i="21"/>
  <c r="G1276" i="21"/>
  <c r="G1277" i="21"/>
  <c r="G1278" i="21"/>
  <c r="G1279" i="21"/>
  <c r="G1239" i="21"/>
  <c r="G1240" i="21"/>
  <c r="G1241" i="21"/>
  <c r="G1242" i="21"/>
  <c r="G1243" i="21"/>
  <c r="G1244" i="21"/>
  <c r="G1228" i="21"/>
  <c r="G1229" i="21"/>
  <c r="G1224" i="21"/>
  <c r="G1225" i="21"/>
  <c r="G1216" i="21"/>
  <c r="G1217" i="21"/>
  <c r="G1218" i="21"/>
  <c r="G1219" i="21"/>
  <c r="G1220" i="21"/>
  <c r="G1221" i="21"/>
  <c r="G1206" i="21"/>
  <c r="G1207" i="21"/>
  <c r="G1208" i="21"/>
  <c r="G1209" i="21"/>
  <c r="G1210" i="21"/>
  <c r="G1211" i="21"/>
  <c r="G1191" i="21"/>
  <c r="G1192" i="21"/>
  <c r="G1193" i="21"/>
  <c r="G1194" i="21"/>
  <c r="G1195" i="21"/>
  <c r="G1196" i="21"/>
  <c r="G1197" i="21"/>
  <c r="G1198" i="21"/>
  <c r="G1199" i="21"/>
  <c r="G1200" i="21"/>
  <c r="G1201" i="21"/>
  <c r="G1178" i="21"/>
  <c r="G1179" i="21"/>
  <c r="G1180" i="21"/>
  <c r="G1181" i="21"/>
  <c r="G1182" i="21"/>
  <c r="G1183" i="21"/>
  <c r="G1184" i="21"/>
  <c r="G1185" i="21"/>
  <c r="G1186" i="21"/>
  <c r="G1187" i="21"/>
  <c r="G1188" i="21"/>
  <c r="G1165" i="21"/>
  <c r="G1166" i="21"/>
  <c r="G1167" i="21"/>
  <c r="G1168" i="21"/>
  <c r="G1169" i="21"/>
  <c r="G1170" i="21"/>
  <c r="G1171" i="21"/>
  <c r="G1172" i="21"/>
  <c r="G1173" i="21"/>
  <c r="G1174" i="21"/>
  <c r="G1175" i="21"/>
  <c r="G1154" i="21"/>
  <c r="G1155" i="21"/>
  <c r="G1156" i="21"/>
  <c r="G1157" i="21"/>
  <c r="G1158" i="21"/>
  <c r="G1159" i="21"/>
  <c r="G1136" i="21"/>
  <c r="G1137" i="21"/>
  <c r="G1138" i="21"/>
  <c r="G1139" i="21"/>
  <c r="G1140" i="21"/>
  <c r="G1141" i="21"/>
  <c r="G1142" i="21"/>
  <c r="G1143" i="21"/>
  <c r="G1144" i="21"/>
  <c r="G1145" i="21"/>
  <c r="G1146" i="21"/>
  <c r="G1127" i="21"/>
  <c r="G1128" i="21"/>
  <c r="G1129" i="21"/>
  <c r="G1130" i="21"/>
  <c r="G1131" i="21"/>
  <c r="G1132" i="21"/>
  <c r="G1133" i="21"/>
  <c r="G1122" i="21"/>
  <c r="G1123" i="21"/>
  <c r="G1124" i="21"/>
  <c r="G1117" i="21"/>
  <c r="G1118" i="21"/>
  <c r="G1119" i="21"/>
  <c r="G1112" i="21"/>
  <c r="G1113" i="21"/>
  <c r="G1114" i="21"/>
  <c r="G1103" i="21"/>
  <c r="G1104" i="21"/>
  <c r="G1093" i="21"/>
  <c r="G1094" i="21"/>
  <c r="G1095" i="21"/>
  <c r="G1096" i="21"/>
  <c r="G1097" i="21"/>
  <c r="G1098" i="21"/>
  <c r="G1099" i="21"/>
  <c r="G1100" i="21"/>
  <c r="G1088" i="21"/>
  <c r="G1089" i="21"/>
  <c r="G1090" i="21"/>
  <c r="G1081" i="21"/>
  <c r="G1082" i="21"/>
  <c r="G1083" i="21"/>
  <c r="G1084" i="21"/>
  <c r="G1085" i="21"/>
  <c r="G1077" i="21"/>
  <c r="G1078" i="21"/>
  <c r="G1072" i="21"/>
  <c r="G1073" i="21"/>
  <c r="G1068" i="21"/>
  <c r="G1069" i="21"/>
  <c r="G1057" i="21"/>
  <c r="G1058" i="21"/>
  <c r="G1059" i="21"/>
  <c r="G1060" i="21"/>
  <c r="G1051" i="21"/>
  <c r="G1052" i="21"/>
  <c r="G1053" i="21"/>
  <c r="G1054" i="21"/>
  <c r="G1042" i="21"/>
  <c r="G1043" i="21"/>
  <c r="G1044" i="21"/>
  <c r="G1045" i="21"/>
  <c r="G1046" i="21"/>
  <c r="G1047" i="21"/>
  <c r="G1048" i="21"/>
  <c r="G1035" i="21"/>
  <c r="G1036" i="21"/>
  <c r="G1037" i="21"/>
  <c r="G1038" i="21"/>
  <c r="G1039" i="21"/>
  <c r="G1025" i="21"/>
  <c r="G1026" i="21"/>
  <c r="G1027" i="21"/>
  <c r="G1028" i="21"/>
  <c r="G1029" i="21"/>
  <c r="G1030" i="21"/>
  <c r="G1031" i="21"/>
  <c r="G1032" i="21"/>
  <c r="G1010" i="21"/>
  <c r="G1011" i="21"/>
  <c r="G1012" i="21"/>
  <c r="G1013" i="21"/>
  <c r="G1014" i="21"/>
  <c r="G1015" i="21"/>
  <c r="G1016" i="21"/>
  <c r="G1017" i="21"/>
  <c r="G1018" i="21"/>
  <c r="G1019" i="21"/>
  <c r="G1020" i="21"/>
  <c r="G1021" i="21"/>
  <c r="G1022" i="21"/>
  <c r="G993" i="21"/>
  <c r="G994" i="21"/>
  <c r="G995" i="21"/>
  <c r="G996" i="21"/>
  <c r="G997" i="21"/>
  <c r="G998" i="21"/>
  <c r="G999" i="21"/>
  <c r="G1000" i="21"/>
  <c r="G1001" i="21"/>
  <c r="G1002" i="21"/>
  <c r="G1003" i="21"/>
  <c r="G1004" i="21"/>
  <c r="G990" i="21"/>
  <c r="G985" i="21"/>
  <c r="G986" i="21"/>
  <c r="G987" i="21"/>
  <c r="G970" i="21"/>
  <c r="G971" i="21"/>
  <c r="G972" i="21"/>
  <c r="G973" i="21"/>
  <c r="G974" i="21"/>
  <c r="G975" i="21"/>
  <c r="G976" i="21"/>
  <c r="G977" i="21"/>
  <c r="G978" i="21"/>
  <c r="G979" i="21"/>
  <c r="G980" i="21"/>
  <c r="G981" i="21"/>
  <c r="G962" i="21"/>
  <c r="G963" i="21"/>
  <c r="G952" i="21"/>
  <c r="G953" i="21"/>
  <c r="G954" i="21"/>
  <c r="G955" i="21"/>
  <c r="G956" i="21"/>
  <c r="G957" i="21"/>
  <c r="G958" i="21"/>
  <c r="G959" i="21"/>
  <c r="G940" i="21"/>
  <c r="G941" i="21"/>
  <c r="G942" i="21"/>
  <c r="G943" i="21"/>
  <c r="G944" i="21"/>
  <c r="G935" i="21"/>
  <c r="G936" i="21"/>
  <c r="G937" i="21"/>
  <c r="G925" i="21"/>
  <c r="G926" i="21"/>
  <c r="G927" i="21"/>
  <c r="G928" i="21"/>
  <c r="G929" i="21"/>
  <c r="G930" i="21"/>
  <c r="G931" i="21"/>
  <c r="G932" i="21"/>
  <c r="G918" i="21"/>
  <c r="G919" i="21"/>
  <c r="G920" i="21"/>
  <c r="G921" i="21"/>
  <c r="G922" i="21"/>
  <c r="G914" i="21"/>
  <c r="G915" i="21"/>
  <c r="G896" i="21"/>
  <c r="G897" i="21"/>
  <c r="G898" i="21"/>
  <c r="G899" i="21"/>
  <c r="G900" i="21"/>
  <c r="G901" i="21"/>
  <c r="G902" i="21"/>
  <c r="G903" i="21"/>
  <c r="G904" i="21"/>
  <c r="G905" i="21"/>
  <c r="G891" i="21"/>
  <c r="G892" i="21"/>
  <c r="G893" i="21"/>
  <c r="G881" i="21"/>
  <c r="G882" i="21"/>
  <c r="G883" i="21"/>
  <c r="G884" i="21"/>
  <c r="G885" i="21"/>
  <c r="G875" i="21"/>
  <c r="G876" i="21"/>
  <c r="G877" i="21"/>
  <c r="G878" i="21"/>
  <c r="G866" i="21"/>
  <c r="G867" i="21"/>
  <c r="G868" i="21"/>
  <c r="G869" i="21"/>
  <c r="G870" i="21"/>
  <c r="G871" i="21"/>
  <c r="G872" i="21"/>
  <c r="G854" i="21"/>
  <c r="G855" i="21"/>
  <c r="G856" i="21"/>
  <c r="G857" i="21"/>
  <c r="G858" i="21"/>
  <c r="G847" i="21"/>
  <c r="G848" i="21"/>
  <c r="G849" i="21"/>
  <c r="G850" i="21"/>
  <c r="G851" i="21"/>
  <c r="G844" i="21"/>
  <c r="G833" i="21"/>
  <c r="G834" i="21"/>
  <c r="G835" i="21"/>
  <c r="G836" i="21"/>
  <c r="G837" i="21"/>
  <c r="G828" i="21"/>
  <c r="G829" i="21"/>
  <c r="G830" i="21"/>
  <c r="G816" i="21"/>
  <c r="G817" i="21"/>
  <c r="G818" i="21"/>
  <c r="G819" i="21"/>
  <c r="G820" i="21"/>
  <c r="G821" i="21"/>
  <c r="G822" i="21"/>
  <c r="G823" i="21"/>
  <c r="G824" i="21"/>
  <c r="G825" i="21"/>
  <c r="G808" i="21"/>
  <c r="G809" i="21"/>
  <c r="G810" i="21"/>
  <c r="G811" i="21"/>
  <c r="G812" i="21"/>
  <c r="G813" i="21"/>
  <c r="G801" i="21"/>
  <c r="G802" i="21"/>
  <c r="G803" i="21"/>
  <c r="G804" i="21"/>
  <c r="G805" i="21"/>
  <c r="G796" i="21"/>
  <c r="G797" i="21"/>
  <c r="G798" i="21"/>
  <c r="G789" i="21"/>
  <c r="G790" i="21"/>
  <c r="G791" i="21"/>
  <c r="G792" i="21"/>
  <c r="G793" i="21"/>
  <c r="G782" i="21"/>
  <c r="G783" i="21"/>
  <c r="G784" i="21"/>
  <c r="G785" i="21"/>
  <c r="G786" i="21"/>
  <c r="G763" i="21"/>
  <c r="G764" i="21"/>
  <c r="G765" i="21"/>
  <c r="G766" i="21"/>
  <c r="G767" i="21"/>
  <c r="G768" i="21"/>
  <c r="G769" i="21"/>
  <c r="G770" i="21"/>
  <c r="G771" i="21"/>
  <c r="G772" i="21"/>
  <c r="G773" i="21"/>
  <c r="G774" i="21"/>
  <c r="G775" i="21"/>
  <c r="G776" i="21"/>
  <c r="G777" i="21"/>
  <c r="G778" i="21"/>
  <c r="G779" i="21"/>
  <c r="G751" i="21"/>
  <c r="G752" i="21"/>
  <c r="G753" i="21"/>
  <c r="G754" i="21"/>
  <c r="G755" i="21"/>
  <c r="G756" i="21"/>
  <c r="G757" i="21"/>
  <c r="G758" i="21"/>
  <c r="G759" i="21"/>
  <c r="G760" i="21"/>
  <c r="G740" i="21"/>
  <c r="G741" i="21"/>
  <c r="G742" i="21"/>
  <c r="G743" i="21"/>
  <c r="G744" i="21"/>
  <c r="G745" i="21"/>
  <c r="G746" i="21"/>
  <c r="G747" i="21"/>
  <c r="G748" i="21"/>
  <c r="G735" i="21"/>
  <c r="G736" i="21"/>
  <c r="G737" i="21"/>
  <c r="G723" i="21"/>
  <c r="G724" i="21"/>
  <c r="G725" i="21"/>
  <c r="G726" i="21"/>
  <c r="G727" i="21"/>
  <c r="G728" i="21"/>
  <c r="G729" i="21"/>
  <c r="G730" i="21"/>
  <c r="G731" i="21"/>
  <c r="G732" i="21"/>
  <c r="G713" i="21"/>
  <c r="G714" i="21"/>
  <c r="G715" i="21"/>
  <c r="G716" i="21"/>
  <c r="G717" i="21"/>
  <c r="G718" i="21"/>
  <c r="G719" i="21"/>
  <c r="G720" i="21"/>
  <c r="G704" i="21"/>
  <c r="G705" i="21"/>
  <c r="G706" i="21"/>
  <c r="G707" i="21"/>
  <c r="G694" i="21"/>
  <c r="G695" i="21"/>
  <c r="G696" i="21"/>
  <c r="G697" i="21"/>
  <c r="G698" i="21"/>
  <c r="G699" i="21"/>
  <c r="G700" i="21"/>
  <c r="G701" i="21"/>
  <c r="G688" i="21"/>
  <c r="G689" i="21"/>
  <c r="G690" i="21"/>
  <c r="G691" i="21"/>
  <c r="G683" i="21"/>
  <c r="G684" i="21"/>
  <c r="G685" i="21"/>
  <c r="G679" i="21"/>
  <c r="G680" i="21"/>
  <c r="G661" i="21"/>
  <c r="G662" i="21"/>
  <c r="G663" i="21"/>
  <c r="G664" i="21"/>
  <c r="G665" i="21"/>
  <c r="G666" i="21"/>
  <c r="G667" i="21"/>
  <c r="G668" i="21"/>
  <c r="G669" i="21"/>
  <c r="G655" i="21"/>
  <c r="G656" i="21"/>
  <c r="G657" i="21"/>
  <c r="G646" i="21"/>
  <c r="G647" i="21"/>
  <c r="G648" i="21"/>
  <c r="G649" i="21"/>
  <c r="G650" i="21"/>
  <c r="G651" i="21"/>
  <c r="G652" i="21"/>
  <c r="G636" i="21"/>
  <c r="G637" i="21"/>
  <c r="G638" i="21"/>
  <c r="G639" i="21"/>
  <c r="G640" i="21"/>
  <c r="G641" i="21"/>
  <c r="G642" i="21"/>
  <c r="G628" i="21"/>
  <c r="G629" i="21"/>
  <c r="G630" i="21"/>
  <c r="G631" i="21"/>
  <c r="G632" i="21"/>
  <c r="G633" i="21"/>
  <c r="G625" i="21"/>
  <c r="G603" i="21"/>
  <c r="G604" i="21"/>
  <c r="G605" i="21"/>
  <c r="G606" i="21"/>
  <c r="G607" i="21"/>
  <c r="G584" i="21"/>
  <c r="G585" i="21"/>
  <c r="G586" i="21"/>
  <c r="G587" i="21"/>
  <c r="G588" i="21"/>
  <c r="G589" i="21"/>
  <c r="G590" i="21"/>
  <c r="G591" i="21"/>
  <c r="G592" i="21"/>
  <c r="G593" i="21"/>
  <c r="G594" i="21"/>
  <c r="G595" i="21"/>
  <c r="G596" i="21"/>
  <c r="G597" i="21"/>
  <c r="G580" i="21"/>
  <c r="G581" i="21"/>
  <c r="G579" i="21"/>
  <c r="G540" i="21"/>
  <c r="G541" i="21"/>
  <c r="G542" i="21"/>
  <c r="G543" i="21"/>
  <c r="G544" i="21"/>
  <c r="G545" i="21"/>
  <c r="G546" i="21"/>
  <c r="G547" i="21"/>
  <c r="G548" i="21"/>
  <c r="G549" i="21"/>
  <c r="G550" i="21"/>
  <c r="G551" i="21"/>
  <c r="G552" i="21"/>
  <c r="G553" i="21"/>
  <c r="G554" i="21"/>
  <c r="G555" i="21"/>
  <c r="G556" i="21"/>
  <c r="G557" i="21"/>
  <c r="G558" i="21"/>
  <c r="G559" i="21"/>
  <c r="G560" i="21"/>
  <c r="G561" i="21"/>
  <c r="G562" i="21"/>
  <c r="G563" i="21"/>
  <c r="G564" i="21"/>
  <c r="G565" i="21"/>
  <c r="G566" i="21"/>
  <c r="G567" i="21"/>
  <c r="G568" i="21"/>
  <c r="G569" i="21"/>
  <c r="G570" i="21"/>
  <c r="G571" i="21"/>
  <c r="G572" i="21"/>
  <c r="G573" i="21"/>
  <c r="G574" i="21"/>
  <c r="G575" i="21"/>
  <c r="G576" i="21"/>
  <c r="G577" i="21"/>
  <c r="G529" i="21"/>
  <c r="G530" i="21"/>
  <c r="G531" i="21"/>
  <c r="G532" i="21"/>
  <c r="G533" i="21"/>
  <c r="G534" i="21"/>
  <c r="G499" i="21"/>
  <c r="G500" i="21"/>
  <c r="G501" i="21"/>
  <c r="G502" i="21"/>
  <c r="G503" i="21"/>
  <c r="G504" i="21"/>
  <c r="G505" i="21"/>
  <c r="G506" i="21"/>
  <c r="G507" i="21"/>
  <c r="G508" i="21"/>
  <c r="G509" i="21"/>
  <c r="G510" i="21"/>
  <c r="G511" i="21"/>
  <c r="G512" i="21"/>
  <c r="G513" i="21"/>
  <c r="G514" i="21"/>
  <c r="G515" i="21"/>
  <c r="G516" i="21"/>
  <c r="G517" i="21"/>
  <c r="G518" i="21"/>
  <c r="G483" i="21"/>
  <c r="G484" i="21"/>
  <c r="G485" i="21"/>
  <c r="G486" i="21"/>
  <c r="G487" i="21"/>
  <c r="G488" i="21"/>
  <c r="G489" i="21"/>
  <c r="G490" i="21"/>
  <c r="G491" i="21"/>
  <c r="G492" i="21"/>
  <c r="G493" i="21"/>
  <c r="G494" i="21"/>
  <c r="G495" i="21"/>
  <c r="G496" i="21"/>
  <c r="G473" i="21"/>
  <c r="G474" i="21"/>
  <c r="G475" i="21"/>
  <c r="G476" i="21"/>
  <c r="G477" i="21"/>
  <c r="G478" i="21"/>
  <c r="G479" i="21"/>
  <c r="G480" i="21"/>
  <c r="G446" i="21"/>
  <c r="G447" i="21"/>
  <c r="G448" i="21"/>
  <c r="G442" i="21"/>
  <c r="G435" i="21"/>
  <c r="G436" i="21"/>
  <c r="G437" i="21"/>
  <c r="G438" i="21"/>
  <c r="G439" i="21"/>
  <c r="G422" i="21"/>
  <c r="G423" i="21"/>
  <c r="G424" i="21"/>
  <c r="G425" i="21"/>
  <c r="G413" i="21"/>
  <c r="G414" i="21"/>
  <c r="G415" i="21"/>
  <c r="G416" i="21"/>
  <c r="G417" i="21"/>
  <c r="G418" i="21"/>
  <c r="G419" i="21"/>
  <c r="G407" i="21"/>
  <c r="G408" i="21"/>
  <c r="G409" i="21"/>
  <c r="G410" i="21"/>
  <c r="G396" i="21"/>
  <c r="G397" i="21"/>
  <c r="G398" i="21"/>
  <c r="G399" i="21"/>
  <c r="G400" i="21"/>
  <c r="G401" i="21"/>
  <c r="G402" i="21"/>
  <c r="G403" i="21"/>
  <c r="G404" i="21"/>
  <c r="G405" i="21"/>
  <c r="G406" i="21"/>
  <c r="G390" i="21"/>
  <c r="G391" i="21"/>
  <c r="G392" i="21"/>
  <c r="G369" i="21"/>
  <c r="G370" i="21"/>
  <c r="G371" i="21"/>
  <c r="G372" i="21"/>
  <c r="G373" i="21"/>
  <c r="G374" i="21"/>
  <c r="G375" i="21"/>
  <c r="G376" i="21"/>
  <c r="G377" i="21"/>
  <c r="G378" i="21"/>
  <c r="G379" i="21"/>
  <c r="G380" i="21"/>
  <c r="G381" i="21"/>
  <c r="G382" i="21"/>
  <c r="G365" i="21"/>
  <c r="G366" i="21"/>
  <c r="G346" i="21"/>
  <c r="G347" i="21"/>
  <c r="G348" i="21"/>
  <c r="G349" i="21"/>
  <c r="G350" i="21"/>
  <c r="G351" i="21"/>
  <c r="G352" i="21"/>
  <c r="G353" i="21"/>
  <c r="G354" i="21"/>
  <c r="G355" i="21"/>
  <c r="G356" i="21"/>
  <c r="G331" i="21"/>
  <c r="G332" i="21"/>
  <c r="G333" i="21"/>
  <c r="G334" i="21"/>
  <c r="G335" i="21"/>
  <c r="G336" i="21"/>
  <c r="G337" i="21"/>
  <c r="G338" i="21"/>
  <c r="G339" i="21"/>
  <c r="G340" i="21"/>
  <c r="G341" i="21"/>
  <c r="G342" i="21"/>
  <c r="G343" i="21"/>
  <c r="G325" i="21"/>
  <c r="G326" i="21"/>
  <c r="G327" i="21"/>
  <c r="G328" i="21"/>
  <c r="G324" i="21"/>
  <c r="G321" i="21"/>
  <c r="G322" i="21"/>
  <c r="G308" i="21"/>
  <c r="G309" i="21"/>
  <c r="G310" i="21"/>
  <c r="G311" i="21"/>
  <c r="G312" i="21"/>
  <c r="G313" i="21"/>
  <c r="G314" i="21"/>
  <c r="G315" i="21"/>
  <c r="G316" i="21"/>
  <c r="G317" i="21"/>
  <c r="G318" i="21"/>
  <c r="G224" i="21"/>
  <c r="G225" i="21"/>
  <c r="G226" i="21"/>
  <c r="G227" i="21"/>
  <c r="G228" i="21"/>
  <c r="G229" i="21"/>
  <c r="G230" i="21"/>
  <c r="G231" i="21"/>
  <c r="G232" i="21"/>
  <c r="G233" i="21"/>
  <c r="G234" i="21"/>
  <c r="G235" i="21"/>
  <c r="G236" i="21"/>
  <c r="G237" i="21"/>
  <c r="G238" i="21"/>
  <c r="G239" i="21"/>
  <c r="G240" i="21"/>
  <c r="G241" i="21"/>
  <c r="G203" i="21"/>
  <c r="G204" i="21"/>
  <c r="G205" i="21"/>
  <c r="G206" i="21"/>
  <c r="G207" i="21"/>
  <c r="G208" i="21"/>
  <c r="G209" i="21"/>
  <c r="G210" i="21"/>
  <c r="G211" i="21"/>
  <c r="G212" i="21"/>
  <c r="G186" i="21"/>
  <c r="G187" i="21"/>
  <c r="G188" i="21"/>
  <c r="G189" i="21"/>
  <c r="G174" i="21"/>
  <c r="G175" i="21"/>
  <c r="G176" i="21"/>
  <c r="G177" i="21"/>
  <c r="G178" i="21"/>
  <c r="G179" i="21"/>
  <c r="G180" i="21"/>
  <c r="G181" i="21"/>
  <c r="G114" i="21"/>
  <c r="G59" i="21"/>
  <c r="G60" i="21"/>
  <c r="G61" i="21"/>
  <c r="G62" i="21"/>
  <c r="G58" i="21"/>
  <c r="G53" i="21"/>
  <c r="G54" i="21"/>
  <c r="G55" i="21"/>
  <c r="G56" i="21"/>
  <c r="G52" i="21"/>
  <c r="G47" i="21"/>
  <c r="F1994" i="21" l="1"/>
  <c r="F2019" i="21" s="1"/>
  <c r="F1994" i="24"/>
  <c r="F2017" i="24" s="1"/>
  <c r="B11" i="31"/>
  <c r="E825" i="24"/>
  <c r="F825" i="24" s="1"/>
  <c r="E825" i="21"/>
  <c r="F825" i="21" s="1"/>
  <c r="E1499" i="21"/>
  <c r="E1363" i="21"/>
  <c r="F1363" i="21" s="1"/>
  <c r="G1365" i="21"/>
  <c r="E1365" i="21" s="1"/>
  <c r="F1365" i="21" s="1"/>
  <c r="G1366" i="21"/>
  <c r="E1366" i="21" s="1"/>
  <c r="F1366" i="21" s="1"/>
  <c r="G1368" i="21"/>
  <c r="E1368" i="21" s="1"/>
  <c r="F1368" i="21" s="1"/>
  <c r="E1369" i="21"/>
  <c r="F1369" i="21" s="1"/>
  <c r="E1370" i="21"/>
  <c r="F1370" i="21" s="1"/>
  <c r="E1371" i="21"/>
  <c r="F1371" i="21" s="1"/>
  <c r="E1372" i="21"/>
  <c r="F1372" i="21" s="1"/>
  <c r="E1373" i="21"/>
  <c r="F1373" i="21" s="1"/>
  <c r="E1374" i="21"/>
  <c r="F1374" i="21" s="1"/>
  <c r="E1375" i="21"/>
  <c r="F1375" i="21" s="1"/>
  <c r="E1376" i="21"/>
  <c r="F1376" i="21" s="1"/>
  <c r="G1362" i="21"/>
  <c r="E1362" i="21" s="1"/>
  <c r="F1362" i="21" s="1"/>
  <c r="E1356" i="21"/>
  <c r="F1356" i="21" s="1"/>
  <c r="E1357" i="21"/>
  <c r="F1357" i="21" s="1"/>
  <c r="E1358" i="21"/>
  <c r="F1358" i="21" s="1"/>
  <c r="E1359" i="21"/>
  <c r="F1359" i="21" s="1"/>
  <c r="E1360" i="21"/>
  <c r="F1360" i="21" s="1"/>
  <c r="G1355" i="21"/>
  <c r="E1355" i="21" s="1"/>
  <c r="F1355" i="21" s="1"/>
  <c r="E1333" i="21"/>
  <c r="E1075" i="21"/>
  <c r="E912" i="21"/>
  <c r="E991" i="21"/>
  <c r="E700" i="21"/>
  <c r="F700" i="21" s="1"/>
  <c r="E625" i="21"/>
  <c r="F625" i="21" s="1"/>
  <c r="E158" i="21"/>
  <c r="E359" i="21"/>
  <c r="E71" i="21"/>
  <c r="F71" i="21" s="1"/>
  <c r="E72" i="21"/>
  <c r="F72" i="21" s="1"/>
  <c r="E73" i="21"/>
  <c r="F73" i="21" s="1"/>
  <c r="E74" i="21"/>
  <c r="F74" i="21" s="1"/>
  <c r="E75" i="21"/>
  <c r="F75" i="21" s="1"/>
  <c r="E76" i="21"/>
  <c r="F76" i="21" s="1"/>
  <c r="E77" i="21"/>
  <c r="E78" i="21"/>
  <c r="E79" i="21"/>
  <c r="E80" i="21"/>
  <c r="E81" i="21"/>
  <c r="F81" i="21" s="1"/>
  <c r="E82" i="21"/>
  <c r="F82" i="21" s="1"/>
  <c r="E83" i="21"/>
  <c r="F83" i="21" s="1"/>
  <c r="E85" i="21"/>
  <c r="F85" i="21" s="1"/>
  <c r="E86" i="21"/>
  <c r="F86" i="21" s="1"/>
  <c r="E87" i="21"/>
  <c r="F87" i="21" s="1"/>
  <c r="E88" i="21"/>
  <c r="F88" i="21" s="1"/>
  <c r="E89" i="21"/>
  <c r="F89" i="21" s="1"/>
  <c r="E90" i="21"/>
  <c r="F90" i="21" s="1"/>
  <c r="E91" i="21"/>
  <c r="E92" i="21"/>
  <c r="F92" i="21" s="1"/>
  <c r="E93" i="21"/>
  <c r="F93" i="21" s="1"/>
  <c r="E94" i="21"/>
  <c r="E95" i="21"/>
  <c r="F95" i="21" s="1"/>
  <c r="E96" i="21"/>
  <c r="F96" i="21" s="1"/>
  <c r="E97" i="21"/>
  <c r="F97" i="21" s="1"/>
  <c r="E99" i="21"/>
  <c r="F99" i="21" s="1"/>
  <c r="E100" i="21"/>
  <c r="F100" i="21" s="1"/>
  <c r="E101" i="21"/>
  <c r="F101" i="21" s="1"/>
  <c r="E102" i="21"/>
  <c r="F102" i="21" s="1"/>
  <c r="E103" i="21"/>
  <c r="E104" i="21"/>
  <c r="E105" i="21"/>
  <c r="F105" i="21" s="1"/>
  <c r="E106" i="21"/>
  <c r="F106" i="21" s="1"/>
  <c r="E107" i="21"/>
  <c r="F107" i="21" s="1"/>
  <c r="E108" i="21"/>
  <c r="F108" i="21" s="1"/>
  <c r="E109" i="21"/>
  <c r="F109" i="21" s="1"/>
  <c r="E110" i="21"/>
  <c r="F110" i="21" s="1"/>
  <c r="E111" i="21"/>
  <c r="F111" i="21" s="1"/>
  <c r="E114" i="21"/>
  <c r="F114" i="21" s="1"/>
  <c r="E27" i="21"/>
  <c r="E28" i="21"/>
  <c r="E29" i="21"/>
  <c r="E30" i="21"/>
  <c r="E31" i="21"/>
  <c r="F31" i="21" s="1"/>
  <c r="E32" i="21"/>
  <c r="F32" i="21" s="1"/>
  <c r="E33" i="21"/>
  <c r="F33" i="21" s="1"/>
  <c r="E34" i="21"/>
  <c r="F34" i="21" s="1"/>
  <c r="E35" i="21"/>
  <c r="F35" i="21" s="1"/>
  <c r="E36" i="21"/>
  <c r="F36" i="21" s="1"/>
  <c r="E37" i="21"/>
  <c r="F37" i="21" s="1"/>
  <c r="E38" i="21"/>
  <c r="F38" i="21" s="1"/>
  <c r="E26" i="21"/>
  <c r="E10" i="21"/>
  <c r="F10" i="21" s="1"/>
  <c r="E11" i="21"/>
  <c r="E12" i="21"/>
  <c r="F12" i="21" s="1"/>
  <c r="E13" i="21"/>
  <c r="F13" i="21" s="1"/>
  <c r="E14" i="21"/>
  <c r="F14" i="21" s="1"/>
  <c r="E15" i="21"/>
  <c r="F15" i="21" s="1"/>
  <c r="E16" i="21"/>
  <c r="F16" i="21" s="1"/>
  <c r="E17" i="21"/>
  <c r="F17" i="21" s="1"/>
  <c r="E18" i="21"/>
  <c r="F18" i="21" s="1"/>
  <c r="E19" i="21"/>
  <c r="F19" i="21" s="1"/>
  <c r="E20" i="21"/>
  <c r="F20" i="21" s="1"/>
  <c r="E21" i="21"/>
  <c r="F21" i="21" s="1"/>
  <c r="E9" i="21"/>
  <c r="F9" i="21" s="1"/>
  <c r="E267" i="24"/>
  <c r="F267" i="24" s="1"/>
  <c r="G281" i="21"/>
  <c r="E281" i="21" s="1"/>
  <c r="G282" i="21"/>
  <c r="E282" i="21" s="1"/>
  <c r="G283" i="21"/>
  <c r="E283" i="21" s="1"/>
  <c r="G284" i="21"/>
  <c r="E284" i="21" s="1"/>
  <c r="G285" i="21"/>
  <c r="E285" i="21" s="1"/>
  <c r="G286" i="21"/>
  <c r="E286" i="21" s="1"/>
  <c r="G287" i="21"/>
  <c r="E287" i="21" s="1"/>
  <c r="G288" i="21"/>
  <c r="E288" i="21" s="1"/>
  <c r="G289" i="21"/>
  <c r="E289" i="21" s="1"/>
  <c r="G290" i="21"/>
  <c r="E290" i="21" s="1"/>
  <c r="G291" i="21"/>
  <c r="E291" i="21" s="1"/>
  <c r="G292" i="21"/>
  <c r="E292" i="21" s="1"/>
  <c r="G293" i="21"/>
  <c r="E293" i="21" s="1"/>
  <c r="G294" i="21"/>
  <c r="E294" i="21" s="1"/>
  <c r="G295" i="21"/>
  <c r="E295" i="21" s="1"/>
  <c r="G296" i="21"/>
  <c r="E296" i="21" s="1"/>
  <c r="G297" i="21"/>
  <c r="E297" i="21" s="1"/>
  <c r="G298" i="21"/>
  <c r="E298" i="21" s="1"/>
  <c r="G299" i="21"/>
  <c r="E299" i="21" s="1"/>
  <c r="G300" i="21"/>
  <c r="E300" i="21" s="1"/>
  <c r="G301" i="21"/>
  <c r="E301" i="21" s="1"/>
  <c r="G302" i="21"/>
  <c r="E302" i="21" s="1"/>
  <c r="G303" i="21"/>
  <c r="G304" i="21"/>
  <c r="E304" i="21" s="1"/>
  <c r="G305" i="21"/>
  <c r="E305" i="21" s="1"/>
  <c r="G268" i="21"/>
  <c r="E268" i="21" s="1"/>
  <c r="G269" i="21"/>
  <c r="E269" i="21" s="1"/>
  <c r="G270" i="21"/>
  <c r="E270" i="21" s="1"/>
  <c r="G271" i="21"/>
  <c r="E271" i="21" s="1"/>
  <c r="G272" i="21"/>
  <c r="E272" i="21" s="1"/>
  <c r="G273" i="21"/>
  <c r="E273" i="21" s="1"/>
  <c r="G274" i="21"/>
  <c r="E274" i="21" s="1"/>
  <c r="G275" i="21"/>
  <c r="E275" i="21" s="1"/>
  <c r="G276" i="21"/>
  <c r="E276" i="21" s="1"/>
  <c r="G277" i="21"/>
  <c r="E277" i="21" s="1"/>
  <c r="G278" i="21"/>
  <c r="E278" i="21" s="1"/>
  <c r="F278" i="21" s="1"/>
  <c r="G279" i="21"/>
  <c r="E279" i="21" s="1"/>
  <c r="G259" i="21"/>
  <c r="E259" i="21" s="1"/>
  <c r="G260" i="21"/>
  <c r="E260" i="21" s="1"/>
  <c r="G261" i="21"/>
  <c r="E261" i="21" s="1"/>
  <c r="G262" i="21"/>
  <c r="E262" i="21" s="1"/>
  <c r="G263" i="21"/>
  <c r="E263" i="21" s="1"/>
  <c r="G264" i="21"/>
  <c r="E264" i="21" s="1"/>
  <c r="G265" i="21"/>
  <c r="E265" i="21" s="1"/>
  <c r="G266" i="21"/>
  <c r="E266" i="21" s="1"/>
  <c r="G267" i="21"/>
  <c r="G258" i="21"/>
  <c r="E258" i="21" s="1"/>
  <c r="E256" i="24"/>
  <c r="F256" i="24" s="1"/>
  <c r="E264" i="24"/>
  <c r="F264" i="24" s="1"/>
  <c r="E278" i="24"/>
  <c r="F278" i="24" s="1"/>
  <c r="E279" i="24"/>
  <c r="F279" i="24" s="1"/>
  <c r="E280" i="24"/>
  <c r="F280" i="24" s="1"/>
  <c r="E312" i="24"/>
  <c r="F312" i="24" s="1"/>
  <c r="E305" i="24"/>
  <c r="F305" i="24" s="1"/>
  <c r="E297" i="24"/>
  <c r="F297" i="24" s="1"/>
  <c r="E298" i="24"/>
  <c r="F298" i="24" s="1"/>
  <c r="E299" i="24"/>
  <c r="F299" i="24" s="1"/>
  <c r="E300" i="24"/>
  <c r="F300" i="24" s="1"/>
  <c r="E291" i="24"/>
  <c r="F291" i="24" s="1"/>
  <c r="E292" i="24"/>
  <c r="F292" i="24" s="1"/>
  <c r="E293" i="24"/>
  <c r="F293" i="24" s="1"/>
  <c r="E294" i="24"/>
  <c r="F294" i="24" s="1"/>
  <c r="E295" i="24"/>
  <c r="F295" i="24" s="1"/>
  <c r="E312" i="21"/>
  <c r="G280" i="21"/>
  <c r="E280" i="21" s="1"/>
  <c r="G256" i="21"/>
  <c r="G255" i="21"/>
  <c r="E255" i="21" s="1"/>
  <c r="E47" i="24"/>
  <c r="F47" i="24" s="1"/>
  <c r="E697" i="21"/>
  <c r="E689" i="21"/>
  <c r="E683" i="21"/>
  <c r="E649" i="21"/>
  <c r="G612" i="21"/>
  <c r="E612" i="21" s="1"/>
  <c r="D521" i="24"/>
  <c r="G521" i="21" s="1"/>
  <c r="E521" i="21" s="1"/>
  <c r="E488" i="21"/>
  <c r="E488" i="24"/>
  <c r="E821" i="21"/>
  <c r="E821" i="24"/>
  <c r="F821" i="24" s="1"/>
  <c r="E607" i="24"/>
  <c r="F607" i="24" s="1"/>
  <c r="E490" i="24"/>
  <c r="F490" i="24" s="1"/>
  <c r="E489" i="24"/>
  <c r="F489" i="24" s="1"/>
  <c r="E490" i="21"/>
  <c r="E489" i="21"/>
  <c r="E53" i="21"/>
  <c r="E55" i="21"/>
  <c r="E56" i="21"/>
  <c r="G139" i="21"/>
  <c r="E139" i="21" s="1"/>
  <c r="G140" i="21"/>
  <c r="E140" i="21" s="1"/>
  <c r="G141" i="21"/>
  <c r="E141" i="21" s="1"/>
  <c r="E59" i="24"/>
  <c r="F59" i="24" s="1"/>
  <c r="E60" i="24"/>
  <c r="F60" i="24" s="1"/>
  <c r="E61" i="24"/>
  <c r="F61" i="24" s="1"/>
  <c r="E62" i="24"/>
  <c r="F62" i="24" s="1"/>
  <c r="E58" i="24"/>
  <c r="F58" i="24" s="1"/>
  <c r="E53" i="24"/>
  <c r="F53" i="24" s="1"/>
  <c r="E54" i="24"/>
  <c r="F54" i="24" s="1"/>
  <c r="E55" i="24"/>
  <c r="F55" i="24" s="1"/>
  <c r="E56" i="24"/>
  <c r="F56" i="24" s="1"/>
  <c r="E52" i="24"/>
  <c r="F52" i="24" s="1"/>
  <c r="E700" i="24"/>
  <c r="F700" i="24" s="1"/>
  <c r="E642" i="24"/>
  <c r="F642" i="24" s="1"/>
  <c r="E642" i="21"/>
  <c r="E641" i="24"/>
  <c r="F641" i="24" s="1"/>
  <c r="E641" i="21"/>
  <c r="F1984" i="24"/>
  <c r="E1984" i="21"/>
  <c r="E1498" i="24"/>
  <c r="F1498" i="24" s="1"/>
  <c r="E1498" i="21"/>
  <c r="E701" i="21"/>
  <c r="E640" i="21"/>
  <c r="D109" i="24"/>
  <c r="E109" i="24"/>
  <c r="D110" i="24"/>
  <c r="E110" i="24"/>
  <c r="D111" i="24"/>
  <c r="E111" i="24"/>
  <c r="D96" i="24"/>
  <c r="D97" i="24"/>
  <c r="E95" i="24"/>
  <c r="E96" i="24"/>
  <c r="E97" i="24"/>
  <c r="E83" i="24"/>
  <c r="E82" i="24"/>
  <c r="D80" i="24"/>
  <c r="E80" i="24"/>
  <c r="D81" i="24"/>
  <c r="E81" i="24"/>
  <c r="D82" i="24"/>
  <c r="D83" i="24"/>
  <c r="E38" i="24"/>
  <c r="E37" i="24"/>
  <c r="D36" i="24"/>
  <c r="E36" i="24"/>
  <c r="D37" i="24"/>
  <c r="D38" i="24"/>
  <c r="E20" i="24"/>
  <c r="E21" i="24"/>
  <c r="D21" i="24"/>
  <c r="E19" i="24"/>
  <c r="E1376" i="24"/>
  <c r="F1376" i="24" s="1"/>
  <c r="E640" i="24"/>
  <c r="F640" i="24" s="1"/>
  <c r="E1368" i="24"/>
  <c r="F1368" i="24" s="1"/>
  <c r="E1362" i="24"/>
  <c r="F1362" i="24" s="1"/>
  <c r="E1357" i="24"/>
  <c r="F1357" i="24" s="1"/>
  <c r="E701" i="24"/>
  <c r="F701" i="24" s="1"/>
  <c r="E1352" i="21"/>
  <c r="E1353" i="21"/>
  <c r="E1355" i="24"/>
  <c r="F1355" i="24" s="1"/>
  <c r="E1339" i="24"/>
  <c r="F1339" i="24" s="1"/>
  <c r="E1365" i="24"/>
  <c r="F1365" i="24" s="1"/>
  <c r="E1366" i="24"/>
  <c r="F1366" i="24" s="1"/>
  <c r="E1369" i="24"/>
  <c r="F1369" i="24" s="1"/>
  <c r="E1370" i="24"/>
  <c r="F1370" i="24" s="1"/>
  <c r="E1371" i="24"/>
  <c r="F1371" i="24" s="1"/>
  <c r="E1372" i="24"/>
  <c r="F1372" i="24" s="1"/>
  <c r="E1373" i="24"/>
  <c r="F1373" i="24" s="1"/>
  <c r="E1374" i="24"/>
  <c r="F1374" i="24" s="1"/>
  <c r="E1375" i="24"/>
  <c r="F1375" i="24" s="1"/>
  <c r="E1363" i="24"/>
  <c r="F1363" i="24" s="1"/>
  <c r="E607" i="21"/>
  <c r="G160" i="21"/>
  <c r="E160" i="21" s="1"/>
  <c r="E1360" i="24"/>
  <c r="F1360" i="24" s="1"/>
  <c r="E1359" i="24"/>
  <c r="F1359" i="24" s="1"/>
  <c r="E1100" i="24"/>
  <c r="F1100" i="24" s="1"/>
  <c r="E1100" i="21"/>
  <c r="E1085" i="24"/>
  <c r="F1085" i="24" s="1"/>
  <c r="E1085" i="21"/>
  <c r="E392" i="24"/>
  <c r="F392" i="24" s="1"/>
  <c r="E392" i="21"/>
  <c r="E1591" i="24"/>
  <c r="F1591" i="24" s="1"/>
  <c r="E1591" i="21"/>
  <c r="E1022" i="24"/>
  <c r="F1022" i="24" s="1"/>
  <c r="E1022" i="21"/>
  <c r="E1358" i="24"/>
  <c r="F1358" i="24" s="1"/>
  <c r="E586" i="24"/>
  <c r="F586" i="24" s="1"/>
  <c r="E586" i="21"/>
  <c r="E513" i="24"/>
  <c r="F513" i="24" s="1"/>
  <c r="E513" i="21"/>
  <c r="E512" i="24"/>
  <c r="F512" i="24" s="1"/>
  <c r="E512" i="21"/>
  <c r="E1356" i="24"/>
  <c r="F1356" i="24" s="1"/>
  <c r="E281" i="24"/>
  <c r="F281" i="24" s="1"/>
  <c r="E1511" i="24"/>
  <c r="F1511" i="24" s="1"/>
  <c r="E1511" i="21"/>
  <c r="E577" i="24"/>
  <c r="F577" i="24" s="1"/>
  <c r="E577" i="21"/>
  <c r="E186" i="24"/>
  <c r="F186" i="24" s="1"/>
  <c r="E186" i="21"/>
  <c r="G185" i="21"/>
  <c r="E185" i="21" s="1"/>
  <c r="E175" i="24"/>
  <c r="F175" i="24" s="1"/>
  <c r="E175" i="21"/>
  <c r="E231" i="24"/>
  <c r="F231" i="24" s="1"/>
  <c r="E231" i="21"/>
  <c r="E1099" i="24"/>
  <c r="F1099" i="24" s="1"/>
  <c r="E1099" i="21"/>
  <c r="E540" i="24"/>
  <c r="F540" i="24" s="1"/>
  <c r="E540" i="21"/>
  <c r="E348" i="24"/>
  <c r="F348" i="24" s="1"/>
  <c r="E347" i="24"/>
  <c r="F347" i="24" s="1"/>
  <c r="E348" i="21"/>
  <c r="E347" i="21"/>
  <c r="E349" i="24"/>
  <c r="F349" i="24" s="1"/>
  <c r="E113" i="24"/>
  <c r="E114" i="24"/>
  <c r="E115" i="24"/>
  <c r="D113" i="24"/>
  <c r="G113" i="21" s="1"/>
  <c r="D115" i="24" s="1"/>
  <c r="G115" i="21" s="1"/>
  <c r="E115" i="21" s="1"/>
  <c r="F115" i="21" s="1"/>
  <c r="E549" i="24"/>
  <c r="F549" i="24" s="1"/>
  <c r="E548" i="24"/>
  <c r="F548" i="24" s="1"/>
  <c r="E549" i="21"/>
  <c r="E318" i="24"/>
  <c r="F318" i="24" s="1"/>
  <c r="E317" i="24"/>
  <c r="F317" i="24" s="1"/>
  <c r="E318" i="21"/>
  <c r="E317" i="21"/>
  <c r="E309" i="24"/>
  <c r="F309" i="24" s="1"/>
  <c r="E309" i="21"/>
  <c r="E303" i="24"/>
  <c r="F303" i="24" s="1"/>
  <c r="E287" i="24"/>
  <c r="F287" i="24" s="1"/>
  <c r="E225" i="24"/>
  <c r="F225" i="24" s="1"/>
  <c r="E225" i="21"/>
  <c r="E224" i="24"/>
  <c r="F224" i="24" s="1"/>
  <c r="E223" i="24"/>
  <c r="F223" i="24" s="1"/>
  <c r="E224" i="21"/>
  <c r="G223" i="21"/>
  <c r="E223" i="21" s="1"/>
  <c r="E222" i="24"/>
  <c r="F222" i="24" s="1"/>
  <c r="G222" i="21"/>
  <c r="E222" i="21" s="1"/>
  <c r="E221" i="24"/>
  <c r="F221" i="24" s="1"/>
  <c r="G221" i="21"/>
  <c r="E221" i="21" s="1"/>
  <c r="E174" i="24"/>
  <c r="F174" i="24" s="1"/>
  <c r="E174" i="21"/>
  <c r="E204" i="24"/>
  <c r="F204" i="24" s="1"/>
  <c r="E204" i="21"/>
  <c r="E203" i="24"/>
  <c r="F203" i="24" s="1"/>
  <c r="E203" i="21"/>
  <c r="E546" i="24"/>
  <c r="F546" i="24" s="1"/>
  <c r="E546" i="21"/>
  <c r="E1510" i="24"/>
  <c r="F1510" i="24" s="1"/>
  <c r="E1510" i="21"/>
  <c r="E1509" i="24"/>
  <c r="F1509" i="24" s="1"/>
  <c r="E1509" i="21"/>
  <c r="E1508" i="24"/>
  <c r="F1508" i="24" s="1"/>
  <c r="E1508" i="21"/>
  <c r="E235" i="24"/>
  <c r="F235" i="24" s="1"/>
  <c r="E235" i="21"/>
  <c r="E605" i="24"/>
  <c r="F605" i="24" s="1"/>
  <c r="E605" i="21"/>
  <c r="E1098" i="24"/>
  <c r="F1098" i="24" s="1"/>
  <c r="E1098" i="21"/>
  <c r="E1084" i="24"/>
  <c r="F1084" i="24" s="1"/>
  <c r="E1084" i="21"/>
  <c r="E1083" i="24"/>
  <c r="F1083" i="24" s="1"/>
  <c r="E1083" i="21"/>
  <c r="E824" i="24"/>
  <c r="F824" i="24" s="1"/>
  <c r="E823" i="24"/>
  <c r="F823" i="24" s="1"/>
  <c r="E824" i="21"/>
  <c r="E823" i="21"/>
  <c r="E822" i="21"/>
  <c r="E580" i="24"/>
  <c r="E580" i="21"/>
  <c r="E579" i="24"/>
  <c r="E579" i="21"/>
  <c r="E576" i="24"/>
  <c r="F576" i="24" s="1"/>
  <c r="E576" i="21"/>
  <c r="E548" i="21"/>
  <c r="E562" i="24"/>
  <c r="F562" i="24" s="1"/>
  <c r="E562" i="21"/>
  <c r="E542" i="24"/>
  <c r="F542" i="24" s="1"/>
  <c r="E542" i="21"/>
  <c r="E541" i="24"/>
  <c r="F541" i="24" s="1"/>
  <c r="E541" i="21"/>
  <c r="E545" i="24"/>
  <c r="F545" i="24" s="1"/>
  <c r="E545" i="21"/>
  <c r="E534" i="24"/>
  <c r="F534" i="24" s="1"/>
  <c r="E534" i="21"/>
  <c r="E496" i="24"/>
  <c r="F496" i="24" s="1"/>
  <c r="E496" i="21"/>
  <c r="E533" i="24"/>
  <c r="F533" i="24" s="1"/>
  <c r="E533" i="21"/>
  <c r="E511" i="24"/>
  <c r="F511" i="24" s="1"/>
  <c r="E510" i="24"/>
  <c r="F510" i="24" s="1"/>
  <c r="E511" i="21"/>
  <c r="E510" i="21"/>
  <c r="E506" i="24"/>
  <c r="F506" i="24" s="1"/>
  <c r="E506" i="21"/>
  <c r="E486" i="24"/>
  <c r="F486" i="24" s="1"/>
  <c r="E485" i="24"/>
  <c r="F485" i="24" s="1"/>
  <c r="E486" i="21"/>
  <c r="E485" i="21"/>
  <c r="E492" i="24"/>
  <c r="F492" i="24" s="1"/>
  <c r="E492" i="21"/>
  <c r="E356" i="24"/>
  <c r="F356" i="24" s="1"/>
  <c r="E356" i="21"/>
  <c r="E328" i="24"/>
  <c r="F328" i="24" s="1"/>
  <c r="E327" i="24"/>
  <c r="F327" i="24" s="1"/>
  <c r="E325" i="24"/>
  <c r="F325" i="24" s="1"/>
  <c r="E326" i="24"/>
  <c r="F326" i="24" s="1"/>
  <c r="E324" i="24"/>
  <c r="F324" i="24" s="1"/>
  <c r="E328" i="21"/>
  <c r="E326" i="21"/>
  <c r="E325" i="21"/>
  <c r="E327" i="21"/>
  <c r="E324" i="21"/>
  <c r="E322" i="24"/>
  <c r="F322" i="24" s="1"/>
  <c r="E322" i="21"/>
  <c r="E286" i="24"/>
  <c r="F286" i="24" s="1"/>
  <c r="E285" i="24"/>
  <c r="F285" i="24" s="1"/>
  <c r="E304" i="24"/>
  <c r="F304" i="24" s="1"/>
  <c r="E351" i="24"/>
  <c r="F351" i="24" s="1"/>
  <c r="E351" i="21"/>
  <c r="E350" i="24"/>
  <c r="F350" i="24" s="1"/>
  <c r="E350" i="21"/>
  <c r="E258" i="24"/>
  <c r="F258" i="24" s="1"/>
  <c r="E259" i="24"/>
  <c r="F259" i="24" s="1"/>
  <c r="E260" i="24"/>
  <c r="F260" i="24" s="1"/>
  <c r="E261" i="24"/>
  <c r="F261" i="24" s="1"/>
  <c r="E262" i="24"/>
  <c r="F262" i="24" s="1"/>
  <c r="E263" i="24"/>
  <c r="F263" i="24" s="1"/>
  <c r="E265" i="24"/>
  <c r="F265" i="24" s="1"/>
  <c r="E266" i="24"/>
  <c r="F266" i="24" s="1"/>
  <c r="E268" i="24"/>
  <c r="F268" i="24" s="1"/>
  <c r="E269" i="24"/>
  <c r="F269" i="24" s="1"/>
  <c r="E270" i="24"/>
  <c r="F270" i="24" s="1"/>
  <c r="E271" i="24"/>
  <c r="F271" i="24" s="1"/>
  <c r="B2" i="24"/>
  <c r="C3" i="24"/>
  <c r="D9" i="24"/>
  <c r="E9" i="24"/>
  <c r="D10" i="24"/>
  <c r="E10" i="24"/>
  <c r="D11" i="24"/>
  <c r="E11" i="24"/>
  <c r="D12" i="24"/>
  <c r="E12" i="24"/>
  <c r="D13" i="24"/>
  <c r="E13" i="24"/>
  <c r="D14" i="24"/>
  <c r="E14" i="24"/>
  <c r="D15" i="24"/>
  <c r="E15" i="24"/>
  <c r="D16" i="24"/>
  <c r="E16" i="24"/>
  <c r="D17" i="24"/>
  <c r="E17" i="24"/>
  <c r="D18" i="24"/>
  <c r="E18" i="24"/>
  <c r="D19" i="24"/>
  <c r="D20" i="24"/>
  <c r="E23" i="24"/>
  <c r="F23" i="24" s="1"/>
  <c r="E24" i="24"/>
  <c r="F24" i="24" s="1"/>
  <c r="D26" i="24"/>
  <c r="E26" i="24"/>
  <c r="D27" i="24"/>
  <c r="E27" i="24"/>
  <c r="D28" i="24"/>
  <c r="E28" i="24"/>
  <c r="D29" i="24"/>
  <c r="E29" i="24"/>
  <c r="D30" i="24"/>
  <c r="E30" i="24"/>
  <c r="D31" i="24"/>
  <c r="E31" i="24"/>
  <c r="D32" i="24"/>
  <c r="E32" i="24"/>
  <c r="D33" i="24"/>
  <c r="E33" i="24"/>
  <c r="D34" i="24"/>
  <c r="E34" i="24"/>
  <c r="D35" i="24"/>
  <c r="E35" i="24"/>
  <c r="E40" i="24"/>
  <c r="F40" i="24" s="1"/>
  <c r="E41" i="24"/>
  <c r="F41" i="24" s="1"/>
  <c r="E42" i="24"/>
  <c r="F42" i="24" s="1"/>
  <c r="E43" i="24"/>
  <c r="F43" i="24" s="1"/>
  <c r="E45" i="24"/>
  <c r="F45" i="24" s="1"/>
  <c r="E46" i="24"/>
  <c r="F46" i="24" s="1"/>
  <c r="E49" i="24"/>
  <c r="F49" i="24" s="1"/>
  <c r="E50" i="24"/>
  <c r="F50" i="24" s="1"/>
  <c r="F51" i="24"/>
  <c r="E64" i="24"/>
  <c r="F64" i="24" s="1"/>
  <c r="E65" i="24"/>
  <c r="F65" i="24" s="1"/>
  <c r="E67" i="24"/>
  <c r="F67" i="24" s="1"/>
  <c r="E68" i="24"/>
  <c r="F68" i="24" s="1"/>
  <c r="E69" i="24"/>
  <c r="F69" i="24" s="1"/>
  <c r="D71" i="24"/>
  <c r="E71" i="24"/>
  <c r="D72" i="24"/>
  <c r="E72" i="24"/>
  <c r="D73" i="24"/>
  <c r="E73" i="24"/>
  <c r="D74" i="24"/>
  <c r="E74" i="24"/>
  <c r="D75" i="24"/>
  <c r="E75" i="24"/>
  <c r="D76" i="24"/>
  <c r="E76" i="24"/>
  <c r="D77" i="24"/>
  <c r="E77" i="24"/>
  <c r="D78" i="24"/>
  <c r="E78" i="24"/>
  <c r="D79" i="24"/>
  <c r="E79" i="24"/>
  <c r="D85" i="24"/>
  <c r="E85" i="24"/>
  <c r="D86" i="24"/>
  <c r="E86" i="24"/>
  <c r="D87" i="24"/>
  <c r="E87" i="24"/>
  <c r="D88" i="24"/>
  <c r="E88" i="24"/>
  <c r="D89" i="24"/>
  <c r="E89" i="24"/>
  <c r="D90" i="24"/>
  <c r="E90" i="24"/>
  <c r="D91" i="24"/>
  <c r="E91" i="24"/>
  <c r="D92" i="24"/>
  <c r="E92" i="24"/>
  <c r="D93" i="24"/>
  <c r="E93" i="24"/>
  <c r="D94" i="24"/>
  <c r="E94" i="24"/>
  <c r="D99" i="24"/>
  <c r="E99" i="24"/>
  <c r="D100" i="24"/>
  <c r="E100" i="24"/>
  <c r="D101" i="24"/>
  <c r="E101" i="24"/>
  <c r="D102" i="24"/>
  <c r="E102" i="24"/>
  <c r="D103" i="24"/>
  <c r="E103" i="24"/>
  <c r="D104" i="24"/>
  <c r="E104" i="24"/>
  <c r="D105" i="24"/>
  <c r="E105" i="24"/>
  <c r="D106" i="24"/>
  <c r="E106" i="24"/>
  <c r="D107" i="24"/>
  <c r="E107" i="24"/>
  <c r="D108" i="24"/>
  <c r="E108" i="24"/>
  <c r="E122" i="24"/>
  <c r="F122" i="24" s="1"/>
  <c r="E123" i="24"/>
  <c r="F123" i="24" s="1"/>
  <c r="E124" i="24"/>
  <c r="F124" i="24" s="1"/>
  <c r="E126" i="24"/>
  <c r="F126" i="24" s="1"/>
  <c r="E127" i="24"/>
  <c r="F127" i="24" s="1"/>
  <c r="E128" i="24"/>
  <c r="F128" i="24" s="1"/>
  <c r="E129" i="24"/>
  <c r="F129" i="24" s="1"/>
  <c r="E130" i="24"/>
  <c r="F130" i="24" s="1"/>
  <c r="E131" i="24"/>
  <c r="F131" i="24" s="1"/>
  <c r="E132" i="24"/>
  <c r="F132" i="24" s="1"/>
  <c r="E133" i="24"/>
  <c r="F133" i="24" s="1"/>
  <c r="E136" i="24"/>
  <c r="F136" i="24" s="1"/>
  <c r="E137" i="24"/>
  <c r="F137" i="24" s="1"/>
  <c r="E138" i="24"/>
  <c r="F138" i="24" s="1"/>
  <c r="E139" i="24"/>
  <c r="F139" i="24" s="1"/>
  <c r="E140" i="24"/>
  <c r="F140" i="24" s="1"/>
  <c r="E141" i="24"/>
  <c r="F141" i="24" s="1"/>
  <c r="E143" i="24"/>
  <c r="F143" i="24" s="1"/>
  <c r="E144" i="24"/>
  <c r="F144" i="24" s="1"/>
  <c r="E146" i="24"/>
  <c r="F146" i="24" s="1"/>
  <c r="E147" i="24"/>
  <c r="F147" i="24" s="1"/>
  <c r="E148" i="24"/>
  <c r="F148" i="24" s="1"/>
  <c r="E149" i="24"/>
  <c r="F149" i="24" s="1"/>
  <c r="E150" i="24"/>
  <c r="F150" i="24" s="1"/>
  <c r="E151" i="24"/>
  <c r="F151" i="24" s="1"/>
  <c r="E152" i="24"/>
  <c r="F152" i="24" s="1"/>
  <c r="E153" i="24"/>
  <c r="F153" i="24" s="1"/>
  <c r="E156" i="24"/>
  <c r="F156" i="24" s="1"/>
  <c r="E157" i="24"/>
  <c r="F157" i="24" s="1"/>
  <c r="E159" i="24"/>
  <c r="F159" i="24" s="1"/>
  <c r="E160" i="24"/>
  <c r="F160" i="24" s="1"/>
  <c r="E162" i="24"/>
  <c r="F162" i="24" s="1"/>
  <c r="E163" i="24"/>
  <c r="F163" i="24" s="1"/>
  <c r="E165" i="24"/>
  <c r="F165" i="24" s="1"/>
  <c r="E166" i="24"/>
  <c r="F166" i="24" s="1"/>
  <c r="E169" i="24"/>
  <c r="F169" i="24" s="1"/>
  <c r="E170" i="24"/>
  <c r="F170" i="24" s="1"/>
  <c r="E171" i="24"/>
  <c r="F171" i="24" s="1"/>
  <c r="E172" i="24"/>
  <c r="F172" i="24" s="1"/>
  <c r="E173" i="24"/>
  <c r="F173" i="24" s="1"/>
  <c r="E176" i="24"/>
  <c r="F176" i="24" s="1"/>
  <c r="E177" i="24"/>
  <c r="F177" i="24" s="1"/>
  <c r="E178" i="24"/>
  <c r="F178" i="24" s="1"/>
  <c r="E179" i="24"/>
  <c r="F179" i="24" s="1"/>
  <c r="E180" i="24"/>
  <c r="F180" i="24" s="1"/>
  <c r="E181" i="24"/>
  <c r="F181" i="24" s="1"/>
  <c r="E183" i="24"/>
  <c r="F183" i="24" s="1"/>
  <c r="E184" i="24"/>
  <c r="F184" i="24" s="1"/>
  <c r="E185" i="24"/>
  <c r="F185" i="24" s="1"/>
  <c r="E187" i="24"/>
  <c r="F187" i="24" s="1"/>
  <c r="E188" i="24"/>
  <c r="F188" i="24" s="1"/>
  <c r="E189" i="24"/>
  <c r="F189" i="24" s="1"/>
  <c r="E192" i="24"/>
  <c r="F192" i="24" s="1"/>
  <c r="E193" i="24"/>
  <c r="F193" i="24" s="1"/>
  <c r="E194" i="24"/>
  <c r="F194" i="24" s="1"/>
  <c r="E195" i="24"/>
  <c r="F195" i="24" s="1"/>
  <c r="E196" i="24"/>
  <c r="F196" i="24" s="1"/>
  <c r="E197" i="24"/>
  <c r="F197" i="24" s="1"/>
  <c r="E198" i="24"/>
  <c r="F198" i="24" s="1"/>
  <c r="E199" i="24"/>
  <c r="F199" i="24" s="1"/>
  <c r="E200" i="24"/>
  <c r="F200" i="24" s="1"/>
  <c r="E201" i="24"/>
  <c r="F201" i="24" s="1"/>
  <c r="E202" i="24"/>
  <c r="F202" i="24" s="1"/>
  <c r="E205" i="24"/>
  <c r="F205" i="24" s="1"/>
  <c r="E206" i="24"/>
  <c r="F206" i="24" s="1"/>
  <c r="E207" i="24"/>
  <c r="F207" i="24" s="1"/>
  <c r="E208" i="24"/>
  <c r="F208" i="24" s="1"/>
  <c r="E209" i="24"/>
  <c r="F209" i="24" s="1"/>
  <c r="E210" i="24"/>
  <c r="F210" i="24" s="1"/>
  <c r="E211" i="24"/>
  <c r="F211" i="24" s="1"/>
  <c r="E212" i="24"/>
  <c r="F212" i="24" s="1"/>
  <c r="E214" i="24"/>
  <c r="F214" i="24" s="1"/>
  <c r="E215" i="24"/>
  <c r="F215" i="24" s="1"/>
  <c r="E216" i="24"/>
  <c r="F216" i="24" s="1"/>
  <c r="E217" i="24"/>
  <c r="F217" i="24" s="1"/>
  <c r="E218" i="24"/>
  <c r="F218" i="24" s="1"/>
  <c r="E219" i="24"/>
  <c r="F219" i="24" s="1"/>
  <c r="E226" i="24"/>
  <c r="F226" i="24" s="1"/>
  <c r="E227" i="24"/>
  <c r="F227" i="24" s="1"/>
  <c r="E228" i="24"/>
  <c r="F228" i="24" s="1"/>
  <c r="E229" i="24"/>
  <c r="F229" i="24" s="1"/>
  <c r="E230" i="24"/>
  <c r="F230" i="24" s="1"/>
  <c r="E232" i="24"/>
  <c r="F232" i="24" s="1"/>
  <c r="E233" i="24"/>
  <c r="F233" i="24" s="1"/>
  <c r="E234" i="24"/>
  <c r="F234" i="24" s="1"/>
  <c r="E236" i="24"/>
  <c r="F236" i="24" s="1"/>
  <c r="E237" i="24"/>
  <c r="F237" i="24" s="1"/>
  <c r="E238" i="24"/>
  <c r="F238" i="24" s="1"/>
  <c r="E239" i="24"/>
  <c r="F239" i="24" s="1"/>
  <c r="E240" i="24"/>
  <c r="F240" i="24" s="1"/>
  <c r="E241" i="24"/>
  <c r="F241" i="24" s="1"/>
  <c r="E243" i="24"/>
  <c r="F243" i="24" s="1"/>
  <c r="E244" i="24"/>
  <c r="F244" i="24" s="1"/>
  <c r="E246" i="24"/>
  <c r="F246" i="24" s="1"/>
  <c r="E247" i="24"/>
  <c r="F247" i="24" s="1"/>
  <c r="E248" i="24"/>
  <c r="F248" i="24" s="1"/>
  <c r="E249" i="24"/>
  <c r="F249" i="24" s="1"/>
  <c r="E250" i="24"/>
  <c r="F250" i="24" s="1"/>
  <c r="E251" i="24"/>
  <c r="F251" i="24" s="1"/>
  <c r="E252" i="24"/>
  <c r="F252" i="24" s="1"/>
  <c r="E254" i="24"/>
  <c r="F254" i="24" s="1"/>
  <c r="E255" i="24"/>
  <c r="F255" i="24" s="1"/>
  <c r="E257" i="24"/>
  <c r="F257" i="24" s="1"/>
  <c r="E272" i="24"/>
  <c r="F272" i="24" s="1"/>
  <c r="E273" i="24"/>
  <c r="F273" i="24" s="1"/>
  <c r="E274" i="24"/>
  <c r="F274" i="24" s="1"/>
  <c r="E275" i="24"/>
  <c r="F275" i="24" s="1"/>
  <c r="E276" i="24"/>
  <c r="F276" i="24" s="1"/>
  <c r="E277" i="24"/>
  <c r="F277" i="24" s="1"/>
  <c r="E282" i="24"/>
  <c r="F282" i="24" s="1"/>
  <c r="E283" i="24"/>
  <c r="F283" i="24" s="1"/>
  <c r="E284" i="24"/>
  <c r="F284" i="24" s="1"/>
  <c r="E288" i="24"/>
  <c r="F288" i="24" s="1"/>
  <c r="E289" i="24"/>
  <c r="F289" i="24" s="1"/>
  <c r="E290" i="24"/>
  <c r="F290" i="24" s="1"/>
  <c r="E296" i="24"/>
  <c r="F296" i="24" s="1"/>
  <c r="E301" i="24"/>
  <c r="F301" i="24" s="1"/>
  <c r="E302" i="24"/>
  <c r="F302" i="24" s="1"/>
  <c r="E306" i="24"/>
  <c r="F306" i="24" s="1"/>
  <c r="E307" i="24"/>
  <c r="F307" i="24" s="1"/>
  <c r="E308" i="24"/>
  <c r="F308" i="24" s="1"/>
  <c r="E310" i="24"/>
  <c r="F310" i="24" s="1"/>
  <c r="E311" i="24"/>
  <c r="F311" i="24" s="1"/>
  <c r="E313" i="24"/>
  <c r="F313" i="24" s="1"/>
  <c r="E314" i="24"/>
  <c r="F314" i="24" s="1"/>
  <c r="E315" i="24"/>
  <c r="F315" i="24" s="1"/>
  <c r="E316" i="24"/>
  <c r="F316" i="24" s="1"/>
  <c r="E320" i="24"/>
  <c r="F320" i="24" s="1"/>
  <c r="E321" i="24"/>
  <c r="F321" i="24" s="1"/>
  <c r="E330" i="24"/>
  <c r="F330" i="24" s="1"/>
  <c r="E331" i="24"/>
  <c r="F331" i="24" s="1"/>
  <c r="E332" i="24"/>
  <c r="F332" i="24" s="1"/>
  <c r="E333" i="24"/>
  <c r="F333" i="24" s="1"/>
  <c r="E334" i="24"/>
  <c r="F334" i="24" s="1"/>
  <c r="E335" i="24"/>
  <c r="F335" i="24" s="1"/>
  <c r="E336" i="24"/>
  <c r="F336" i="24" s="1"/>
  <c r="E337" i="24"/>
  <c r="F337" i="24" s="1"/>
  <c r="E338" i="24"/>
  <c r="F338" i="24" s="1"/>
  <c r="E339" i="24"/>
  <c r="F339" i="24" s="1"/>
  <c r="E340" i="24"/>
  <c r="F340" i="24" s="1"/>
  <c r="E341" i="24"/>
  <c r="F341" i="24" s="1"/>
  <c r="E342" i="24"/>
  <c r="F342" i="24" s="1"/>
  <c r="E343" i="24"/>
  <c r="F343" i="24" s="1"/>
  <c r="E345" i="24"/>
  <c r="F345" i="24" s="1"/>
  <c r="E346" i="24"/>
  <c r="F346" i="24" s="1"/>
  <c r="E352" i="24"/>
  <c r="F352" i="24" s="1"/>
  <c r="E353" i="24"/>
  <c r="F353" i="24" s="1"/>
  <c r="E354" i="24"/>
  <c r="F354" i="24" s="1"/>
  <c r="E355" i="24"/>
  <c r="F355" i="24" s="1"/>
  <c r="E358" i="24"/>
  <c r="F358" i="24" s="1"/>
  <c r="E360" i="24"/>
  <c r="F360" i="24" s="1"/>
  <c r="E361" i="24"/>
  <c r="F361" i="24" s="1"/>
  <c r="E362" i="24"/>
  <c r="F362" i="24" s="1"/>
  <c r="E364" i="24"/>
  <c r="F364" i="24" s="1"/>
  <c r="E365" i="24"/>
  <c r="F365" i="24" s="1"/>
  <c r="E366" i="24"/>
  <c r="F366" i="24" s="1"/>
  <c r="E368" i="24"/>
  <c r="F368" i="24" s="1"/>
  <c r="E369" i="24"/>
  <c r="F369" i="24" s="1"/>
  <c r="E370" i="24"/>
  <c r="F370" i="24" s="1"/>
  <c r="E371" i="24"/>
  <c r="F371" i="24" s="1"/>
  <c r="E372" i="24"/>
  <c r="F372" i="24" s="1"/>
  <c r="E373" i="24"/>
  <c r="F373" i="24" s="1"/>
  <c r="E374" i="24"/>
  <c r="F374" i="24" s="1"/>
  <c r="E375" i="24"/>
  <c r="F375" i="24" s="1"/>
  <c r="E376" i="24"/>
  <c r="F376" i="24" s="1"/>
  <c r="E377" i="24"/>
  <c r="F377" i="24" s="1"/>
  <c r="E378" i="24"/>
  <c r="F378" i="24" s="1"/>
  <c r="E379" i="24"/>
  <c r="F379" i="24" s="1"/>
  <c r="E380" i="24"/>
  <c r="F380" i="24" s="1"/>
  <c r="E381" i="24"/>
  <c r="F381" i="24" s="1"/>
  <c r="E382" i="24"/>
  <c r="F382" i="24" s="1"/>
  <c r="E389" i="24"/>
  <c r="F389" i="24" s="1"/>
  <c r="E390" i="24"/>
  <c r="F390" i="24" s="1"/>
  <c r="E391" i="24"/>
  <c r="F391" i="24" s="1"/>
  <c r="E395" i="24"/>
  <c r="F395" i="24" s="1"/>
  <c r="E396" i="24"/>
  <c r="F396" i="24" s="1"/>
  <c r="E397" i="24"/>
  <c r="F397" i="24" s="1"/>
  <c r="E398" i="24"/>
  <c r="F398" i="24" s="1"/>
  <c r="E399" i="24"/>
  <c r="F399" i="24" s="1"/>
  <c r="E400" i="24"/>
  <c r="F400" i="24" s="1"/>
  <c r="E401" i="24"/>
  <c r="F401" i="24" s="1"/>
  <c r="E402" i="24"/>
  <c r="F402" i="24" s="1"/>
  <c r="E403" i="24"/>
  <c r="F403" i="24" s="1"/>
  <c r="E404" i="24"/>
  <c r="F404" i="24" s="1"/>
  <c r="E405" i="24"/>
  <c r="F405" i="24" s="1"/>
  <c r="E406" i="24"/>
  <c r="F406" i="24" s="1"/>
  <c r="E407" i="24"/>
  <c r="F407" i="24" s="1"/>
  <c r="E408" i="24"/>
  <c r="F408" i="24" s="1"/>
  <c r="E409" i="24"/>
  <c r="F409" i="24" s="1"/>
  <c r="E410" i="24"/>
  <c r="F410" i="24" s="1"/>
  <c r="E412" i="24"/>
  <c r="F412" i="24" s="1"/>
  <c r="E413" i="24"/>
  <c r="F413" i="24" s="1"/>
  <c r="E414" i="24"/>
  <c r="F414" i="24" s="1"/>
  <c r="E415" i="24"/>
  <c r="F415" i="24" s="1"/>
  <c r="E416" i="24"/>
  <c r="F416" i="24" s="1"/>
  <c r="E417" i="24"/>
  <c r="F417" i="24" s="1"/>
  <c r="E418" i="24"/>
  <c r="F418" i="24" s="1"/>
  <c r="E419" i="24"/>
  <c r="F419" i="24" s="1"/>
  <c r="E421" i="24"/>
  <c r="F421" i="24" s="1"/>
  <c r="E422" i="24"/>
  <c r="F422" i="24" s="1"/>
  <c r="E423" i="24"/>
  <c r="F423" i="24" s="1"/>
  <c r="E424" i="24"/>
  <c r="F424" i="24" s="1"/>
  <c r="E425" i="24"/>
  <c r="F425" i="24" s="1"/>
  <c r="E431" i="24"/>
  <c r="F431" i="24" s="1"/>
  <c r="E432" i="24"/>
  <c r="F432" i="24" s="1"/>
  <c r="E434" i="24"/>
  <c r="F434" i="24" s="1"/>
  <c r="E436" i="24"/>
  <c r="F436" i="24" s="1"/>
  <c r="E437" i="24"/>
  <c r="F437" i="24" s="1"/>
  <c r="E438" i="24"/>
  <c r="F438" i="24" s="1"/>
  <c r="E439" i="24"/>
  <c r="F439" i="24" s="1"/>
  <c r="E441" i="24"/>
  <c r="F441" i="24" s="1"/>
  <c r="E442" i="24"/>
  <c r="F442" i="24" s="1"/>
  <c r="E443" i="24"/>
  <c r="F443" i="24" s="1"/>
  <c r="E444" i="24"/>
  <c r="E445" i="24"/>
  <c r="F445" i="24" s="1"/>
  <c r="E446" i="24"/>
  <c r="F446" i="24" s="1"/>
  <c r="E447" i="24"/>
  <c r="F447" i="24" s="1"/>
  <c r="E448" i="24"/>
  <c r="F448" i="24" s="1"/>
  <c r="E450" i="24"/>
  <c r="F450" i="24" s="1"/>
  <c r="E452" i="24"/>
  <c r="F452" i="24" s="1"/>
  <c r="E453" i="24"/>
  <c r="F453" i="24" s="1"/>
  <c r="E454" i="24"/>
  <c r="F454" i="24" s="1"/>
  <c r="E456" i="24"/>
  <c r="F456" i="24" s="1"/>
  <c r="E457" i="24"/>
  <c r="F457" i="24" s="1"/>
  <c r="E458" i="24"/>
  <c r="F458" i="24" s="1"/>
  <c r="E459" i="24"/>
  <c r="F459" i="24" s="1"/>
  <c r="E461" i="24"/>
  <c r="F461" i="24" s="1"/>
  <c r="E463" i="24"/>
  <c r="F463" i="24" s="1"/>
  <c r="E464" i="24"/>
  <c r="F464" i="24" s="1"/>
  <c r="E466" i="24"/>
  <c r="F466" i="24" s="1"/>
  <c r="E467" i="24"/>
  <c r="F467" i="24" s="1"/>
  <c r="E468" i="24"/>
  <c r="F468" i="24" s="1"/>
  <c r="E469" i="24"/>
  <c r="F469" i="24" s="1"/>
  <c r="E470" i="24"/>
  <c r="F470" i="24" s="1"/>
  <c r="E472" i="24"/>
  <c r="F472" i="24" s="1"/>
  <c r="E473" i="24"/>
  <c r="F473" i="24" s="1"/>
  <c r="E474" i="24"/>
  <c r="F474" i="24" s="1"/>
  <c r="E475" i="24"/>
  <c r="F475" i="24" s="1"/>
  <c r="E476" i="24"/>
  <c r="F476" i="24" s="1"/>
  <c r="E477" i="24"/>
  <c r="F477" i="24" s="1"/>
  <c r="E478" i="24"/>
  <c r="F478" i="24" s="1"/>
  <c r="E479" i="24"/>
  <c r="F479" i="24" s="1"/>
  <c r="E480" i="24"/>
  <c r="F480" i="24" s="1"/>
  <c r="E482" i="24"/>
  <c r="F482" i="24" s="1"/>
  <c r="E483" i="24"/>
  <c r="F483" i="24" s="1"/>
  <c r="E484" i="24"/>
  <c r="F484" i="24" s="1"/>
  <c r="E491" i="24"/>
  <c r="F491" i="24" s="1"/>
  <c r="E493" i="24"/>
  <c r="F493" i="24" s="1"/>
  <c r="E494" i="24"/>
  <c r="F494" i="24" s="1"/>
  <c r="E495" i="24"/>
  <c r="F495" i="24" s="1"/>
  <c r="E498" i="24"/>
  <c r="F498" i="24" s="1"/>
  <c r="E499" i="24"/>
  <c r="F499" i="24" s="1"/>
  <c r="E500" i="24"/>
  <c r="F500" i="24" s="1"/>
  <c r="E501" i="24"/>
  <c r="F501" i="24" s="1"/>
  <c r="E502" i="24"/>
  <c r="F502" i="24" s="1"/>
  <c r="E503" i="24"/>
  <c r="F503" i="24" s="1"/>
  <c r="E504" i="24"/>
  <c r="F504" i="24" s="1"/>
  <c r="E505" i="24"/>
  <c r="F505" i="24" s="1"/>
  <c r="E507" i="24"/>
  <c r="F507" i="24" s="1"/>
  <c r="E508" i="24"/>
  <c r="F508" i="24" s="1"/>
  <c r="E509" i="24"/>
  <c r="F509" i="24" s="1"/>
  <c r="E514" i="24"/>
  <c r="F514" i="24" s="1"/>
  <c r="E515" i="24"/>
  <c r="F515" i="24" s="1"/>
  <c r="E516" i="24"/>
  <c r="F516" i="24" s="1"/>
  <c r="E517" i="24"/>
  <c r="F517" i="24" s="1"/>
  <c r="E518" i="24"/>
  <c r="F518" i="24" s="1"/>
  <c r="E520" i="24"/>
  <c r="F520" i="24" s="1"/>
  <c r="E521" i="24"/>
  <c r="E522" i="24"/>
  <c r="F522" i="24" s="1"/>
  <c r="E524" i="24"/>
  <c r="F524" i="24" s="1"/>
  <c r="E525" i="24"/>
  <c r="F525" i="24" s="1"/>
  <c r="E526" i="24"/>
  <c r="F526" i="24" s="1"/>
  <c r="E528" i="24"/>
  <c r="F528" i="24" s="1"/>
  <c r="E529" i="24"/>
  <c r="F529" i="24" s="1"/>
  <c r="E530" i="24"/>
  <c r="F530" i="24" s="1"/>
  <c r="E531" i="24"/>
  <c r="F531" i="24" s="1"/>
  <c r="E532" i="24"/>
  <c r="F532" i="24" s="1"/>
  <c r="E536" i="24"/>
  <c r="F536" i="24" s="1"/>
  <c r="E537" i="24"/>
  <c r="F537" i="24" s="1"/>
  <c r="E539" i="24"/>
  <c r="F539" i="24" s="1"/>
  <c r="E543" i="24"/>
  <c r="F543" i="24" s="1"/>
  <c r="E544" i="24"/>
  <c r="F544" i="24" s="1"/>
  <c r="E547" i="24"/>
  <c r="F547" i="24" s="1"/>
  <c r="E550" i="24"/>
  <c r="F550" i="24" s="1"/>
  <c r="E551" i="24"/>
  <c r="F551" i="24" s="1"/>
  <c r="E552" i="24"/>
  <c r="F552" i="24" s="1"/>
  <c r="E553" i="24"/>
  <c r="F553" i="24" s="1"/>
  <c r="E554" i="24"/>
  <c r="F554" i="24" s="1"/>
  <c r="E555" i="24"/>
  <c r="F555" i="24" s="1"/>
  <c r="E556" i="24"/>
  <c r="F556" i="24" s="1"/>
  <c r="E557" i="24"/>
  <c r="F557" i="24" s="1"/>
  <c r="E558" i="24"/>
  <c r="F558" i="24" s="1"/>
  <c r="E559" i="24"/>
  <c r="F559" i="24" s="1"/>
  <c r="E560" i="24"/>
  <c r="F560" i="24" s="1"/>
  <c r="E561" i="24"/>
  <c r="F561" i="24" s="1"/>
  <c r="E563" i="24"/>
  <c r="F563" i="24" s="1"/>
  <c r="E564" i="24"/>
  <c r="F564" i="24" s="1"/>
  <c r="E565" i="24"/>
  <c r="F565" i="24" s="1"/>
  <c r="E566" i="24"/>
  <c r="F566" i="24" s="1"/>
  <c r="E567" i="24"/>
  <c r="F567" i="24" s="1"/>
  <c r="E568" i="24"/>
  <c r="F568" i="24" s="1"/>
  <c r="E569" i="24"/>
  <c r="F569" i="24" s="1"/>
  <c r="E570" i="24"/>
  <c r="F570" i="24" s="1"/>
  <c r="E571" i="24"/>
  <c r="F571" i="24" s="1"/>
  <c r="E572" i="24"/>
  <c r="F572" i="24" s="1"/>
  <c r="E573" i="24"/>
  <c r="F573" i="24" s="1"/>
  <c r="E574" i="24"/>
  <c r="F574" i="24" s="1"/>
  <c r="E575" i="24"/>
  <c r="F575" i="24" s="1"/>
  <c r="E581" i="24"/>
  <c r="F581" i="24" s="1"/>
  <c r="E583" i="24"/>
  <c r="F583" i="24" s="1"/>
  <c r="E584" i="24"/>
  <c r="F584" i="24" s="1"/>
  <c r="E585" i="24"/>
  <c r="F585" i="24" s="1"/>
  <c r="E587" i="24"/>
  <c r="F587" i="24" s="1"/>
  <c r="E588" i="24"/>
  <c r="F588" i="24" s="1"/>
  <c r="E589" i="24"/>
  <c r="F589" i="24" s="1"/>
  <c r="E590" i="24"/>
  <c r="F590" i="24" s="1"/>
  <c r="E591" i="24"/>
  <c r="F591" i="24" s="1"/>
  <c r="E592" i="24"/>
  <c r="F592" i="24" s="1"/>
  <c r="E593" i="24"/>
  <c r="F593" i="24" s="1"/>
  <c r="E594" i="24"/>
  <c r="F594" i="24" s="1"/>
  <c r="E595" i="24"/>
  <c r="F595" i="24" s="1"/>
  <c r="E596" i="24"/>
  <c r="F596" i="24" s="1"/>
  <c r="E597" i="24"/>
  <c r="F597" i="24" s="1"/>
  <c r="E602" i="24"/>
  <c r="F602" i="24" s="1"/>
  <c r="E603" i="24"/>
  <c r="F603" i="24" s="1"/>
  <c r="E604" i="24"/>
  <c r="F604" i="24" s="1"/>
  <c r="E606" i="24"/>
  <c r="F606" i="24" s="1"/>
  <c r="E609" i="24"/>
  <c r="F609" i="24" s="1"/>
  <c r="E610" i="24"/>
  <c r="F610" i="24" s="1"/>
  <c r="E612" i="24"/>
  <c r="E613" i="24"/>
  <c r="F613" i="24" s="1"/>
  <c r="E615" i="24"/>
  <c r="F615" i="24" s="1"/>
  <c r="E616" i="24"/>
  <c r="F616" i="24" s="1"/>
  <c r="E618" i="24"/>
  <c r="F618" i="24" s="1"/>
  <c r="E619" i="24"/>
  <c r="F619" i="24" s="1"/>
  <c r="E621" i="24"/>
  <c r="F621" i="24" s="1"/>
  <c r="E622" i="24"/>
  <c r="F622" i="24" s="1"/>
  <c r="E624" i="24"/>
  <c r="F624" i="24" s="1"/>
  <c r="E625" i="24"/>
  <c r="F625" i="24" s="1"/>
  <c r="E627" i="24"/>
  <c r="F627" i="24" s="1"/>
  <c r="E628" i="24"/>
  <c r="F628" i="24" s="1"/>
  <c r="E629" i="24"/>
  <c r="F629" i="24" s="1"/>
  <c r="E630" i="24"/>
  <c r="F630" i="24" s="1"/>
  <c r="E631" i="24"/>
  <c r="F631" i="24" s="1"/>
  <c r="E632" i="24"/>
  <c r="F632" i="24" s="1"/>
  <c r="E633" i="24"/>
  <c r="F633" i="24" s="1"/>
  <c r="E635" i="24"/>
  <c r="F635" i="24" s="1"/>
  <c r="E636" i="24"/>
  <c r="F636" i="24" s="1"/>
  <c r="E637" i="24"/>
  <c r="F637" i="24" s="1"/>
  <c r="E638" i="24"/>
  <c r="F638" i="24" s="1"/>
  <c r="E639" i="24"/>
  <c r="F639" i="24" s="1"/>
  <c r="E645" i="24"/>
  <c r="F645" i="24" s="1"/>
  <c r="E646" i="24"/>
  <c r="F646" i="24" s="1"/>
  <c r="E647" i="24"/>
  <c r="F647" i="24" s="1"/>
  <c r="E648" i="24"/>
  <c r="F648" i="24" s="1"/>
  <c r="E649" i="24"/>
  <c r="E650" i="24"/>
  <c r="F650" i="24" s="1"/>
  <c r="E651" i="24"/>
  <c r="F651" i="24" s="1"/>
  <c r="E652" i="24"/>
  <c r="F652" i="24" s="1"/>
  <c r="E654" i="24"/>
  <c r="F654" i="24" s="1"/>
  <c r="E655" i="24"/>
  <c r="F655" i="24" s="1"/>
  <c r="E656" i="24"/>
  <c r="F656" i="24" s="1"/>
  <c r="E657" i="24"/>
  <c r="F657" i="24" s="1"/>
  <c r="E660" i="24"/>
  <c r="F660" i="24" s="1"/>
  <c r="E661" i="24"/>
  <c r="F661" i="24" s="1"/>
  <c r="E662" i="24"/>
  <c r="F662" i="24" s="1"/>
  <c r="E663" i="24"/>
  <c r="F663" i="24" s="1"/>
  <c r="E664" i="24"/>
  <c r="F664" i="24" s="1"/>
  <c r="E666" i="24"/>
  <c r="F666" i="24" s="1"/>
  <c r="E667" i="24"/>
  <c r="F667" i="24" s="1"/>
  <c r="E668" i="24"/>
  <c r="F668" i="24" s="1"/>
  <c r="E669" i="24"/>
  <c r="F669" i="24" s="1"/>
  <c r="E672" i="24"/>
  <c r="F672" i="24" s="1"/>
  <c r="E673" i="24"/>
  <c r="F673" i="24" s="1"/>
  <c r="E675" i="24"/>
  <c r="F675" i="24" s="1"/>
  <c r="E676" i="24"/>
  <c r="F676" i="24" s="1"/>
  <c r="E678" i="24"/>
  <c r="F678" i="24" s="1"/>
  <c r="E679" i="24"/>
  <c r="F679" i="24" s="1"/>
  <c r="E680" i="24"/>
  <c r="F680" i="24" s="1"/>
  <c r="E682" i="24"/>
  <c r="F682" i="24" s="1"/>
  <c r="E683" i="24"/>
  <c r="E684" i="24"/>
  <c r="F684" i="24" s="1"/>
  <c r="E685" i="24"/>
  <c r="F685" i="24" s="1"/>
  <c r="E687" i="24"/>
  <c r="F687" i="24" s="1"/>
  <c r="E688" i="24"/>
  <c r="F688" i="24" s="1"/>
  <c r="E689" i="24"/>
  <c r="E690" i="24"/>
  <c r="F690" i="24" s="1"/>
  <c r="E691" i="24"/>
  <c r="F691" i="24" s="1"/>
  <c r="E693" i="24"/>
  <c r="F693" i="24" s="1"/>
  <c r="E694" i="24"/>
  <c r="F694" i="24" s="1"/>
  <c r="E695" i="24"/>
  <c r="F695" i="24" s="1"/>
  <c r="E696" i="24"/>
  <c r="F696" i="24" s="1"/>
  <c r="E697" i="24"/>
  <c r="E698" i="24"/>
  <c r="F698" i="24" s="1"/>
  <c r="E699" i="24"/>
  <c r="F699" i="24" s="1"/>
  <c r="E703" i="24"/>
  <c r="F703" i="24" s="1"/>
  <c r="E704" i="24"/>
  <c r="F704" i="24" s="1"/>
  <c r="E705" i="24"/>
  <c r="F705" i="24" s="1"/>
  <c r="E706" i="24"/>
  <c r="F706" i="24" s="1"/>
  <c r="E707" i="24"/>
  <c r="F707" i="24" s="1"/>
  <c r="E712" i="24"/>
  <c r="F712" i="24" s="1"/>
  <c r="E713" i="24"/>
  <c r="F713" i="24" s="1"/>
  <c r="E714" i="24"/>
  <c r="F714" i="24" s="1"/>
  <c r="E715" i="24"/>
  <c r="F715" i="24" s="1"/>
  <c r="E716" i="24"/>
  <c r="F716" i="24" s="1"/>
  <c r="E717" i="24"/>
  <c r="F717" i="24" s="1"/>
  <c r="E718" i="24"/>
  <c r="F718" i="24" s="1"/>
  <c r="E719" i="24"/>
  <c r="F719" i="24" s="1"/>
  <c r="E720" i="24"/>
  <c r="F720" i="24" s="1"/>
  <c r="E722" i="24"/>
  <c r="F722" i="24" s="1"/>
  <c r="E723" i="24"/>
  <c r="F723" i="24" s="1"/>
  <c r="E724" i="24"/>
  <c r="F724" i="24" s="1"/>
  <c r="E725" i="24"/>
  <c r="F725" i="24" s="1"/>
  <c r="E726" i="24"/>
  <c r="F726" i="24" s="1"/>
  <c r="E727" i="24"/>
  <c r="F727" i="24" s="1"/>
  <c r="E728" i="24"/>
  <c r="F728" i="24" s="1"/>
  <c r="E729" i="24"/>
  <c r="F729" i="24" s="1"/>
  <c r="E730" i="24"/>
  <c r="F730" i="24" s="1"/>
  <c r="E731" i="24"/>
  <c r="F731" i="24" s="1"/>
  <c r="E732" i="24"/>
  <c r="F732" i="24" s="1"/>
  <c r="E734" i="24"/>
  <c r="F734" i="24" s="1"/>
  <c r="E735" i="24"/>
  <c r="F735" i="24" s="1"/>
  <c r="E736" i="24"/>
  <c r="F736" i="24" s="1"/>
  <c r="E737" i="24"/>
  <c r="F737" i="24" s="1"/>
  <c r="E739" i="24"/>
  <c r="F739" i="24" s="1"/>
  <c r="E740" i="24"/>
  <c r="F740" i="24" s="1"/>
  <c r="E741" i="24"/>
  <c r="F741" i="24" s="1"/>
  <c r="E742" i="24"/>
  <c r="F742" i="24" s="1"/>
  <c r="E743" i="24"/>
  <c r="F743" i="24" s="1"/>
  <c r="E744" i="24"/>
  <c r="F744" i="24" s="1"/>
  <c r="E745" i="24"/>
  <c r="F745" i="24" s="1"/>
  <c r="E746" i="24"/>
  <c r="F746" i="24" s="1"/>
  <c r="E747" i="24"/>
  <c r="F747" i="24" s="1"/>
  <c r="E748" i="24"/>
  <c r="F748" i="24" s="1"/>
  <c r="E750" i="24"/>
  <c r="F750" i="24" s="1"/>
  <c r="E751" i="24"/>
  <c r="F751" i="24" s="1"/>
  <c r="E752" i="24"/>
  <c r="F752" i="24" s="1"/>
  <c r="E753" i="24"/>
  <c r="F753" i="24" s="1"/>
  <c r="E754" i="24"/>
  <c r="F754" i="24" s="1"/>
  <c r="E755" i="24"/>
  <c r="F755" i="24" s="1"/>
  <c r="E756" i="24"/>
  <c r="F756" i="24" s="1"/>
  <c r="E757" i="24"/>
  <c r="F757" i="24" s="1"/>
  <c r="E758" i="24"/>
  <c r="F758" i="24" s="1"/>
  <c r="E759" i="24"/>
  <c r="F759" i="24" s="1"/>
  <c r="E760" i="24"/>
  <c r="F760" i="24" s="1"/>
  <c r="E762" i="24"/>
  <c r="F762" i="24" s="1"/>
  <c r="E763" i="24"/>
  <c r="F763" i="24" s="1"/>
  <c r="E764" i="24"/>
  <c r="F764" i="24" s="1"/>
  <c r="E765" i="24"/>
  <c r="F765" i="24" s="1"/>
  <c r="E766" i="24"/>
  <c r="F766" i="24" s="1"/>
  <c r="E767" i="24"/>
  <c r="F767" i="24" s="1"/>
  <c r="E768" i="24"/>
  <c r="F768" i="24" s="1"/>
  <c r="E769" i="24"/>
  <c r="F769" i="24" s="1"/>
  <c r="E770" i="24"/>
  <c r="F770" i="24" s="1"/>
  <c r="E771" i="24"/>
  <c r="F771" i="24" s="1"/>
  <c r="E772" i="24"/>
  <c r="F772" i="24" s="1"/>
  <c r="E773" i="24"/>
  <c r="F773" i="24" s="1"/>
  <c r="E774" i="24"/>
  <c r="F774" i="24" s="1"/>
  <c r="E775" i="24"/>
  <c r="F775" i="24" s="1"/>
  <c r="E776" i="24"/>
  <c r="F776" i="24" s="1"/>
  <c r="E777" i="24"/>
  <c r="F777" i="24" s="1"/>
  <c r="E778" i="24"/>
  <c r="F778" i="24" s="1"/>
  <c r="E779" i="24"/>
  <c r="F779" i="24" s="1"/>
  <c r="E781" i="24"/>
  <c r="F781" i="24" s="1"/>
  <c r="E782" i="24"/>
  <c r="F782" i="24" s="1"/>
  <c r="E783" i="24"/>
  <c r="F783" i="24" s="1"/>
  <c r="E784" i="24"/>
  <c r="F784" i="24" s="1"/>
  <c r="E785" i="24"/>
  <c r="F785" i="24" s="1"/>
  <c r="E786" i="24"/>
  <c r="F786" i="24" s="1"/>
  <c r="E788" i="24"/>
  <c r="F788" i="24" s="1"/>
  <c r="E789" i="24"/>
  <c r="F789" i="24" s="1"/>
  <c r="E790" i="24"/>
  <c r="F790" i="24" s="1"/>
  <c r="E791" i="24"/>
  <c r="F791" i="24" s="1"/>
  <c r="E792" i="24"/>
  <c r="F792" i="24" s="1"/>
  <c r="E793" i="24"/>
  <c r="F793" i="24" s="1"/>
  <c r="E795" i="24"/>
  <c r="F795" i="24" s="1"/>
  <c r="E796" i="24"/>
  <c r="F796" i="24" s="1"/>
  <c r="E797" i="24"/>
  <c r="F797" i="24" s="1"/>
  <c r="E798" i="24"/>
  <c r="F798" i="24" s="1"/>
  <c r="E799" i="24"/>
  <c r="E800" i="24"/>
  <c r="F800" i="24" s="1"/>
  <c r="E801" i="24"/>
  <c r="F801" i="24" s="1"/>
  <c r="E802" i="24"/>
  <c r="F802" i="24" s="1"/>
  <c r="E803" i="24"/>
  <c r="F803" i="24" s="1"/>
  <c r="E804" i="24"/>
  <c r="F804" i="24" s="1"/>
  <c r="E805" i="24"/>
  <c r="F805" i="24" s="1"/>
  <c r="E807" i="24"/>
  <c r="F807" i="24" s="1"/>
  <c r="E808" i="24"/>
  <c r="F808" i="24" s="1"/>
  <c r="E809" i="24"/>
  <c r="F809" i="24" s="1"/>
  <c r="E810" i="24"/>
  <c r="F810" i="24" s="1"/>
  <c r="E811" i="24"/>
  <c r="F811" i="24" s="1"/>
  <c r="E812" i="24"/>
  <c r="F812" i="24" s="1"/>
  <c r="E813" i="24"/>
  <c r="F813" i="24" s="1"/>
  <c r="E815" i="24"/>
  <c r="F815" i="24" s="1"/>
  <c r="E816" i="24"/>
  <c r="F816" i="24" s="1"/>
  <c r="E818" i="24"/>
  <c r="F818" i="24" s="1"/>
  <c r="E819" i="24"/>
  <c r="F819" i="24" s="1"/>
  <c r="E820" i="24"/>
  <c r="F820" i="24" s="1"/>
  <c r="E827" i="24"/>
  <c r="F827" i="24" s="1"/>
  <c r="E828" i="24"/>
  <c r="F828" i="24" s="1"/>
  <c r="E829" i="24"/>
  <c r="F829" i="24" s="1"/>
  <c r="E830" i="24"/>
  <c r="F830" i="24" s="1"/>
  <c r="E832" i="24"/>
  <c r="F832" i="24" s="1"/>
  <c r="E833" i="24"/>
  <c r="F833" i="24" s="1"/>
  <c r="E834" i="24"/>
  <c r="F834" i="24" s="1"/>
  <c r="E835" i="24"/>
  <c r="F835" i="24" s="1"/>
  <c r="E836" i="24"/>
  <c r="F836" i="24" s="1"/>
  <c r="E837" i="24"/>
  <c r="F837" i="24" s="1"/>
  <c r="E843" i="24"/>
  <c r="F843" i="24" s="1"/>
  <c r="E844" i="24"/>
  <c r="F844" i="24" s="1"/>
  <c r="E846" i="24"/>
  <c r="F846" i="24" s="1"/>
  <c r="E847" i="24"/>
  <c r="F847" i="24" s="1"/>
  <c r="E848" i="24"/>
  <c r="F848" i="24" s="1"/>
  <c r="E849" i="24"/>
  <c r="F849" i="24" s="1"/>
  <c r="E850" i="24"/>
  <c r="F850" i="24" s="1"/>
  <c r="E851" i="24"/>
  <c r="F851" i="24" s="1"/>
  <c r="E853" i="24"/>
  <c r="F853" i="24" s="1"/>
  <c r="E854" i="24"/>
  <c r="F854" i="24" s="1"/>
  <c r="E855" i="24"/>
  <c r="F855" i="24" s="1"/>
  <c r="E856" i="24"/>
  <c r="F856" i="24" s="1"/>
  <c r="E857" i="24"/>
  <c r="F857" i="24" s="1"/>
  <c r="E858" i="24"/>
  <c r="F858" i="24" s="1"/>
  <c r="E865" i="24"/>
  <c r="F865" i="24" s="1"/>
  <c r="E866" i="24"/>
  <c r="F866" i="24" s="1"/>
  <c r="E867" i="24"/>
  <c r="F867" i="24" s="1"/>
  <c r="E869" i="24"/>
  <c r="F869" i="24" s="1"/>
  <c r="E870" i="24"/>
  <c r="F870" i="24" s="1"/>
  <c r="E871" i="24"/>
  <c r="F871" i="24" s="1"/>
  <c r="E872" i="24"/>
  <c r="F872" i="24" s="1"/>
  <c r="E874" i="24"/>
  <c r="F874" i="24" s="1"/>
  <c r="E875" i="24"/>
  <c r="F875" i="24" s="1"/>
  <c r="E876" i="24"/>
  <c r="F876" i="24" s="1"/>
  <c r="E877" i="24"/>
  <c r="F877" i="24" s="1"/>
  <c r="E878" i="24"/>
  <c r="F878" i="24" s="1"/>
  <c r="E880" i="24"/>
  <c r="F880" i="24" s="1"/>
  <c r="E881" i="24"/>
  <c r="F881" i="24" s="1"/>
  <c r="E882" i="24"/>
  <c r="F882" i="24" s="1"/>
  <c r="E883" i="24"/>
  <c r="F883" i="24" s="1"/>
  <c r="E884" i="24"/>
  <c r="F884" i="24" s="1"/>
  <c r="E885" i="24"/>
  <c r="F885" i="24" s="1"/>
  <c r="E887" i="24"/>
  <c r="F887" i="24" s="1"/>
  <c r="E890" i="24"/>
  <c r="F890" i="24" s="1"/>
  <c r="E891" i="24"/>
  <c r="F891" i="24" s="1"/>
  <c r="E892" i="24"/>
  <c r="F892" i="24" s="1"/>
  <c r="E893" i="24"/>
  <c r="F893" i="24" s="1"/>
  <c r="E895" i="24"/>
  <c r="F895" i="24" s="1"/>
  <c r="E896" i="24"/>
  <c r="F896" i="24" s="1"/>
  <c r="E897" i="24"/>
  <c r="F897" i="24" s="1"/>
  <c r="E898" i="24"/>
  <c r="F898" i="24" s="1"/>
  <c r="E899" i="24"/>
  <c r="F899" i="24" s="1"/>
  <c r="E900" i="24"/>
  <c r="F900" i="24" s="1"/>
  <c r="E901" i="24"/>
  <c r="F901" i="24" s="1"/>
  <c r="E902" i="24"/>
  <c r="F902" i="24" s="1"/>
  <c r="E903" i="24"/>
  <c r="F903" i="24" s="1"/>
  <c r="E904" i="24"/>
  <c r="F904" i="24" s="1"/>
  <c r="E905" i="24"/>
  <c r="F905" i="24" s="1"/>
  <c r="E907" i="24"/>
  <c r="F907" i="24" s="1"/>
  <c r="E908" i="24"/>
  <c r="F908" i="24" s="1"/>
  <c r="E910" i="24"/>
  <c r="F910" i="24" s="1"/>
  <c r="E911" i="24"/>
  <c r="F911" i="24" s="1"/>
  <c r="E913" i="24"/>
  <c r="F913" i="24" s="1"/>
  <c r="E914" i="24"/>
  <c r="F914" i="24" s="1"/>
  <c r="E915" i="24"/>
  <c r="F915" i="24" s="1"/>
  <c r="E916" i="24"/>
  <c r="E917" i="24"/>
  <c r="F917" i="24" s="1"/>
  <c r="E918" i="24"/>
  <c r="F918" i="24" s="1"/>
  <c r="E919" i="24"/>
  <c r="F919" i="24" s="1"/>
  <c r="E920" i="24"/>
  <c r="F920" i="24" s="1"/>
  <c r="E921" i="24"/>
  <c r="F921" i="24" s="1"/>
  <c r="E922" i="24"/>
  <c r="F922" i="24" s="1"/>
  <c r="E924" i="24"/>
  <c r="F924" i="24" s="1"/>
  <c r="E925" i="24"/>
  <c r="F925" i="24" s="1"/>
  <c r="E926" i="24"/>
  <c r="F926" i="24" s="1"/>
  <c r="E927" i="24"/>
  <c r="F927" i="24" s="1"/>
  <c r="E928" i="24"/>
  <c r="F928" i="24" s="1"/>
  <c r="E929" i="24"/>
  <c r="F929" i="24" s="1"/>
  <c r="E930" i="24"/>
  <c r="F930" i="24" s="1"/>
  <c r="E931" i="24"/>
  <c r="F931" i="24" s="1"/>
  <c r="E932" i="24"/>
  <c r="F932" i="24" s="1"/>
  <c r="E934" i="24"/>
  <c r="F934" i="24" s="1"/>
  <c r="E935" i="24"/>
  <c r="F935" i="24" s="1"/>
  <c r="E936" i="24"/>
  <c r="F936" i="24" s="1"/>
  <c r="E937" i="24"/>
  <c r="F937" i="24" s="1"/>
  <c r="E939" i="24"/>
  <c r="F939" i="24" s="1"/>
  <c r="E940" i="24"/>
  <c r="F940" i="24" s="1"/>
  <c r="E941" i="24"/>
  <c r="F941" i="24" s="1"/>
  <c r="E942" i="24"/>
  <c r="F942" i="24" s="1"/>
  <c r="E943" i="24"/>
  <c r="F943" i="24" s="1"/>
  <c r="E944" i="24"/>
  <c r="F944" i="24" s="1"/>
  <c r="E947" i="24"/>
  <c r="F947" i="24" s="1"/>
  <c r="E948" i="24"/>
  <c r="F948" i="24" s="1"/>
  <c r="E951" i="24"/>
  <c r="F951" i="24" s="1"/>
  <c r="E952" i="24"/>
  <c r="F952" i="24" s="1"/>
  <c r="E953" i="24"/>
  <c r="F953" i="24" s="1"/>
  <c r="E954" i="24"/>
  <c r="F954" i="24" s="1"/>
  <c r="E955" i="24"/>
  <c r="F955" i="24" s="1"/>
  <c r="E956" i="24"/>
  <c r="F956" i="24" s="1"/>
  <c r="E957" i="24"/>
  <c r="F957" i="24" s="1"/>
  <c r="E958" i="24"/>
  <c r="F958" i="24" s="1"/>
  <c r="E959" i="24"/>
  <c r="F959" i="24" s="1"/>
  <c r="E961" i="24"/>
  <c r="F961" i="24" s="1"/>
  <c r="E962" i="24"/>
  <c r="F962" i="24" s="1"/>
  <c r="E963" i="24"/>
  <c r="F963" i="24" s="1"/>
  <c r="E965" i="24"/>
  <c r="F965" i="24" s="1"/>
  <c r="E966" i="24"/>
  <c r="F966" i="24" s="1"/>
  <c r="E969" i="24"/>
  <c r="F969" i="24" s="1"/>
  <c r="E970" i="24"/>
  <c r="F970" i="24" s="1"/>
  <c r="E971" i="24"/>
  <c r="F971" i="24" s="1"/>
  <c r="E972" i="24"/>
  <c r="F972" i="24" s="1"/>
  <c r="E973" i="24"/>
  <c r="F973" i="24" s="1"/>
  <c r="E974" i="24"/>
  <c r="F974" i="24" s="1"/>
  <c r="E975" i="24"/>
  <c r="F975" i="24" s="1"/>
  <c r="E977" i="24"/>
  <c r="F977" i="24" s="1"/>
  <c r="E978" i="24"/>
  <c r="F978" i="24" s="1"/>
  <c r="E979" i="24"/>
  <c r="F979" i="24" s="1"/>
  <c r="E980" i="24"/>
  <c r="F980" i="24" s="1"/>
  <c r="E981" i="24"/>
  <c r="F981" i="24" s="1"/>
  <c r="E984" i="24"/>
  <c r="F984" i="24" s="1"/>
  <c r="E985" i="24"/>
  <c r="F985" i="24" s="1"/>
  <c r="E986" i="24"/>
  <c r="F986" i="24" s="1"/>
  <c r="E987" i="24"/>
  <c r="F987" i="24" s="1"/>
  <c r="E989" i="24"/>
  <c r="F989" i="24" s="1"/>
  <c r="E990" i="24"/>
  <c r="F990" i="24" s="1"/>
  <c r="E992" i="24"/>
  <c r="F992" i="24" s="1"/>
  <c r="E993" i="24"/>
  <c r="F993" i="24" s="1"/>
  <c r="E994" i="24"/>
  <c r="F994" i="24" s="1"/>
  <c r="E995" i="24"/>
  <c r="F995" i="24" s="1"/>
  <c r="E996" i="24"/>
  <c r="F996" i="24" s="1"/>
  <c r="E997" i="24"/>
  <c r="F997" i="24" s="1"/>
  <c r="E998" i="24"/>
  <c r="F998" i="24" s="1"/>
  <c r="E999" i="24"/>
  <c r="F999" i="24" s="1"/>
  <c r="E1000" i="24"/>
  <c r="F1000" i="24" s="1"/>
  <c r="E1001" i="24"/>
  <c r="F1001" i="24" s="1"/>
  <c r="E1002" i="24"/>
  <c r="F1002" i="24" s="1"/>
  <c r="E1003" i="24"/>
  <c r="F1003" i="24" s="1"/>
  <c r="E1004" i="24"/>
  <c r="F1004" i="24" s="1"/>
  <c r="E1006" i="24"/>
  <c r="F1006" i="24" s="1"/>
  <c r="E1007" i="24"/>
  <c r="F1007" i="24" s="1"/>
  <c r="E1009" i="24"/>
  <c r="F1009" i="24" s="1"/>
  <c r="E1010" i="24"/>
  <c r="F1010" i="24" s="1"/>
  <c r="E1011" i="24"/>
  <c r="F1011" i="24" s="1"/>
  <c r="E1012" i="24"/>
  <c r="F1012" i="24" s="1"/>
  <c r="E1013" i="24"/>
  <c r="F1013" i="24" s="1"/>
  <c r="E1014" i="24"/>
  <c r="F1014" i="24" s="1"/>
  <c r="E1015" i="24"/>
  <c r="F1015" i="24" s="1"/>
  <c r="E1016" i="24"/>
  <c r="F1016" i="24" s="1"/>
  <c r="E1017" i="24"/>
  <c r="F1017" i="24" s="1"/>
  <c r="E1018" i="24"/>
  <c r="F1018" i="24" s="1"/>
  <c r="E1019" i="24"/>
  <c r="F1019" i="24" s="1"/>
  <c r="E1020" i="24"/>
  <c r="F1020" i="24" s="1"/>
  <c r="E1021" i="24"/>
  <c r="F1021" i="24" s="1"/>
  <c r="E1024" i="24"/>
  <c r="F1024" i="24" s="1"/>
  <c r="E1025" i="24"/>
  <c r="F1025" i="24" s="1"/>
  <c r="E1026" i="24"/>
  <c r="F1026" i="24" s="1"/>
  <c r="E1027" i="24"/>
  <c r="F1027" i="24" s="1"/>
  <c r="E1028" i="24"/>
  <c r="F1028" i="24" s="1"/>
  <c r="E1029" i="24"/>
  <c r="F1029" i="24" s="1"/>
  <c r="E1030" i="24"/>
  <c r="F1030" i="24" s="1"/>
  <c r="E1031" i="24"/>
  <c r="F1031" i="24" s="1"/>
  <c r="E1032" i="24"/>
  <c r="F1032" i="24" s="1"/>
  <c r="E1034" i="24"/>
  <c r="F1034" i="24" s="1"/>
  <c r="E1035" i="24"/>
  <c r="F1035" i="24" s="1"/>
  <c r="E1036" i="24"/>
  <c r="F1036" i="24" s="1"/>
  <c r="E1037" i="24"/>
  <c r="F1037" i="24" s="1"/>
  <c r="E1038" i="24"/>
  <c r="F1038" i="24" s="1"/>
  <c r="E1039" i="24"/>
  <c r="F1039" i="24" s="1"/>
  <c r="E1041" i="24"/>
  <c r="F1041" i="24" s="1"/>
  <c r="E1042" i="24"/>
  <c r="F1042" i="24" s="1"/>
  <c r="E1043" i="24"/>
  <c r="F1043" i="24" s="1"/>
  <c r="E1044" i="24"/>
  <c r="F1044" i="24" s="1"/>
  <c r="E1045" i="24"/>
  <c r="F1045" i="24" s="1"/>
  <c r="E1046" i="24"/>
  <c r="F1046" i="24" s="1"/>
  <c r="E1047" i="24"/>
  <c r="F1047" i="24" s="1"/>
  <c r="E1048" i="24"/>
  <c r="F1048" i="24" s="1"/>
  <c r="E1050" i="24"/>
  <c r="F1050" i="24" s="1"/>
  <c r="E1051" i="24"/>
  <c r="F1051" i="24" s="1"/>
  <c r="E1052" i="24"/>
  <c r="F1052" i="24" s="1"/>
  <c r="E1053" i="24"/>
  <c r="F1053" i="24" s="1"/>
  <c r="E1054" i="24"/>
  <c r="F1054" i="24" s="1"/>
  <c r="E1056" i="24"/>
  <c r="F1056" i="24" s="1"/>
  <c r="E1057" i="24"/>
  <c r="F1057" i="24" s="1"/>
  <c r="E1058" i="24"/>
  <c r="F1058" i="24" s="1"/>
  <c r="E1059" i="24"/>
  <c r="F1059" i="24" s="1"/>
  <c r="E1060" i="24"/>
  <c r="F1060" i="24" s="1"/>
  <c r="E1067" i="24"/>
  <c r="F1067" i="24" s="1"/>
  <c r="E1068" i="24"/>
  <c r="F1068" i="24" s="1"/>
  <c r="E1069" i="24"/>
  <c r="F1069" i="24" s="1"/>
  <c r="E1071" i="24"/>
  <c r="F1071" i="24" s="1"/>
  <c r="E1072" i="24"/>
  <c r="F1072" i="24" s="1"/>
  <c r="E1073" i="24"/>
  <c r="F1073" i="24" s="1"/>
  <c r="E1076" i="24"/>
  <c r="F1076" i="24" s="1"/>
  <c r="E1077" i="24"/>
  <c r="F1077" i="24" s="1"/>
  <c r="E1078" i="24"/>
  <c r="F1078" i="24" s="1"/>
  <c r="E1080" i="24"/>
  <c r="F1080" i="24" s="1"/>
  <c r="E1081" i="24"/>
  <c r="F1081" i="24" s="1"/>
  <c r="E1082" i="24"/>
  <c r="F1082" i="24" s="1"/>
  <c r="E1087" i="24"/>
  <c r="F1087" i="24" s="1"/>
  <c r="E1088" i="24"/>
  <c r="F1088" i="24" s="1"/>
  <c r="E1089" i="24"/>
  <c r="F1089" i="24" s="1"/>
  <c r="E1090" i="24"/>
  <c r="F1090" i="24" s="1"/>
  <c r="E1092" i="24"/>
  <c r="F1092" i="24" s="1"/>
  <c r="E1093" i="24"/>
  <c r="F1093" i="24" s="1"/>
  <c r="E1094" i="24"/>
  <c r="F1094" i="24" s="1"/>
  <c r="E1095" i="24"/>
  <c r="F1095" i="24" s="1"/>
  <c r="E1096" i="24"/>
  <c r="F1096" i="24" s="1"/>
  <c r="E1097" i="24"/>
  <c r="F1097" i="24" s="1"/>
  <c r="E1102" i="24"/>
  <c r="F1102" i="24" s="1"/>
  <c r="E1103" i="24"/>
  <c r="F1103" i="24" s="1"/>
  <c r="E1104" i="24"/>
  <c r="F1104" i="24" s="1"/>
  <c r="E1111" i="24"/>
  <c r="F1111" i="24" s="1"/>
  <c r="E1112" i="24"/>
  <c r="F1112" i="24" s="1"/>
  <c r="E1113" i="24"/>
  <c r="F1113" i="24" s="1"/>
  <c r="E1114" i="24"/>
  <c r="F1114" i="24" s="1"/>
  <c r="E1116" i="24"/>
  <c r="F1116" i="24" s="1"/>
  <c r="E1117" i="24"/>
  <c r="F1117" i="24" s="1"/>
  <c r="E1118" i="24"/>
  <c r="F1118" i="24" s="1"/>
  <c r="E1119" i="24"/>
  <c r="F1119" i="24" s="1"/>
  <c r="E1121" i="24"/>
  <c r="F1121" i="24" s="1"/>
  <c r="E1122" i="24"/>
  <c r="F1122" i="24" s="1"/>
  <c r="E1123" i="24"/>
  <c r="F1123" i="24" s="1"/>
  <c r="E1124" i="24"/>
  <c r="F1124" i="24" s="1"/>
  <c r="E1126" i="24"/>
  <c r="F1126" i="24" s="1"/>
  <c r="E1127" i="24"/>
  <c r="F1127" i="24" s="1"/>
  <c r="E1128" i="24"/>
  <c r="F1128" i="24" s="1"/>
  <c r="E1129" i="24"/>
  <c r="F1129" i="24" s="1"/>
  <c r="E1130" i="24"/>
  <c r="F1130" i="24" s="1"/>
  <c r="E1131" i="24"/>
  <c r="F1131" i="24" s="1"/>
  <c r="E1132" i="24"/>
  <c r="F1132" i="24" s="1"/>
  <c r="E1133" i="24"/>
  <c r="F1133" i="24" s="1"/>
  <c r="E1135" i="24"/>
  <c r="F1135" i="24" s="1"/>
  <c r="E1136" i="24"/>
  <c r="F1136" i="24" s="1"/>
  <c r="E1137" i="24"/>
  <c r="F1137" i="24" s="1"/>
  <c r="E1138" i="24"/>
  <c r="F1138" i="24" s="1"/>
  <c r="E1139" i="24"/>
  <c r="F1139" i="24" s="1"/>
  <c r="E1140" i="24"/>
  <c r="F1140" i="24" s="1"/>
  <c r="E1141" i="24"/>
  <c r="F1141" i="24" s="1"/>
  <c r="E1142" i="24"/>
  <c r="F1142" i="24" s="1"/>
  <c r="E1143" i="24"/>
  <c r="F1143" i="24" s="1"/>
  <c r="E1144" i="24"/>
  <c r="F1144" i="24" s="1"/>
  <c r="E1145" i="24"/>
  <c r="F1145" i="24" s="1"/>
  <c r="E1146" i="24"/>
  <c r="F1146" i="24" s="1"/>
  <c r="E1148" i="24"/>
  <c r="F1148" i="24" s="1"/>
  <c r="E1149" i="24"/>
  <c r="F1149" i="24" s="1"/>
  <c r="E1151" i="24"/>
  <c r="F1151" i="24" s="1"/>
  <c r="E1153" i="24"/>
  <c r="F1153" i="24" s="1"/>
  <c r="E1154" i="24"/>
  <c r="F1154" i="24" s="1"/>
  <c r="E1155" i="24"/>
  <c r="F1155" i="24" s="1"/>
  <c r="E1156" i="24"/>
  <c r="F1156" i="24" s="1"/>
  <c r="E1157" i="24"/>
  <c r="F1157" i="24" s="1"/>
  <c r="E1158" i="24"/>
  <c r="F1158" i="24" s="1"/>
  <c r="E1159" i="24"/>
  <c r="F1159" i="24" s="1"/>
  <c r="E1161" i="24"/>
  <c r="F1161" i="24" s="1"/>
  <c r="E1164" i="24"/>
  <c r="F1164" i="24" s="1"/>
  <c r="E1165" i="24"/>
  <c r="F1165" i="24" s="1"/>
  <c r="E1166" i="24"/>
  <c r="F1166" i="24" s="1"/>
  <c r="E1167" i="24"/>
  <c r="F1167" i="24" s="1"/>
  <c r="E1168" i="24"/>
  <c r="F1168" i="24" s="1"/>
  <c r="E1169" i="24"/>
  <c r="F1169" i="24" s="1"/>
  <c r="E1170" i="24"/>
  <c r="F1170" i="24" s="1"/>
  <c r="E1171" i="24"/>
  <c r="F1171" i="24" s="1"/>
  <c r="E1172" i="24"/>
  <c r="F1172" i="24" s="1"/>
  <c r="E1173" i="24"/>
  <c r="F1173" i="24" s="1"/>
  <c r="E1174" i="24"/>
  <c r="F1174" i="24" s="1"/>
  <c r="E1175" i="24"/>
  <c r="F1175" i="24" s="1"/>
  <c r="E1177" i="24"/>
  <c r="F1177" i="24" s="1"/>
  <c r="E1178" i="24"/>
  <c r="F1178" i="24" s="1"/>
  <c r="E1179" i="24"/>
  <c r="F1179" i="24" s="1"/>
  <c r="E1180" i="24"/>
  <c r="F1180" i="24" s="1"/>
  <c r="E1181" i="24"/>
  <c r="F1181" i="24" s="1"/>
  <c r="E1182" i="24"/>
  <c r="F1182" i="24" s="1"/>
  <c r="E1183" i="24"/>
  <c r="F1183" i="24" s="1"/>
  <c r="E1184" i="24"/>
  <c r="F1184" i="24" s="1"/>
  <c r="E1185" i="24"/>
  <c r="F1185" i="24" s="1"/>
  <c r="E1186" i="24"/>
  <c r="F1186" i="24" s="1"/>
  <c r="E1187" i="24"/>
  <c r="F1187" i="24" s="1"/>
  <c r="E1188" i="24"/>
  <c r="F1188" i="24" s="1"/>
  <c r="E1190" i="24"/>
  <c r="F1190" i="24" s="1"/>
  <c r="E1191" i="24"/>
  <c r="F1191" i="24" s="1"/>
  <c r="E1192" i="24"/>
  <c r="F1192" i="24" s="1"/>
  <c r="E1193" i="24"/>
  <c r="F1193" i="24" s="1"/>
  <c r="E1194" i="24"/>
  <c r="F1194" i="24" s="1"/>
  <c r="E1195" i="24"/>
  <c r="F1195" i="24" s="1"/>
  <c r="E1196" i="24"/>
  <c r="F1196" i="24" s="1"/>
  <c r="E1197" i="24"/>
  <c r="F1197" i="24" s="1"/>
  <c r="E1198" i="24"/>
  <c r="F1198" i="24" s="1"/>
  <c r="E1199" i="24"/>
  <c r="F1199" i="24" s="1"/>
  <c r="E1200" i="24"/>
  <c r="F1200" i="24" s="1"/>
  <c r="E1201" i="24"/>
  <c r="F1201" i="24" s="1"/>
  <c r="E1203" i="24"/>
  <c r="F1203" i="24" s="1"/>
  <c r="E1205" i="24"/>
  <c r="F1205" i="24" s="1"/>
  <c r="E1206" i="24"/>
  <c r="F1206" i="24" s="1"/>
  <c r="E1207" i="24"/>
  <c r="F1207" i="24" s="1"/>
  <c r="E1208" i="24"/>
  <c r="F1208" i="24" s="1"/>
  <c r="E1209" i="24"/>
  <c r="F1209" i="24" s="1"/>
  <c r="E1210" i="24"/>
  <c r="F1210" i="24" s="1"/>
  <c r="E1211" i="24"/>
  <c r="F1211" i="24" s="1"/>
  <c r="E1213" i="24"/>
  <c r="F1213" i="24" s="1"/>
  <c r="E1215" i="24"/>
  <c r="F1215" i="24" s="1"/>
  <c r="E1216" i="24"/>
  <c r="F1216" i="24" s="1"/>
  <c r="E1217" i="24"/>
  <c r="F1217" i="24" s="1"/>
  <c r="E1218" i="24"/>
  <c r="F1218" i="24" s="1"/>
  <c r="E1219" i="24"/>
  <c r="F1219" i="24" s="1"/>
  <c r="E1220" i="24"/>
  <c r="F1220" i="24" s="1"/>
  <c r="E1221" i="24"/>
  <c r="F1221" i="24" s="1"/>
  <c r="E1223" i="24"/>
  <c r="F1223" i="24" s="1"/>
  <c r="E1224" i="24"/>
  <c r="F1224" i="24" s="1"/>
  <c r="E1225" i="24"/>
  <c r="F1225" i="24" s="1"/>
  <c r="E1227" i="24"/>
  <c r="F1227" i="24" s="1"/>
  <c r="E1228" i="24"/>
  <c r="F1228" i="24" s="1"/>
  <c r="E1229" i="24"/>
  <c r="F1229" i="24" s="1"/>
  <c r="E1231" i="24"/>
  <c r="F1231" i="24" s="1"/>
  <c r="E1232" i="24"/>
  <c r="F1232" i="24" s="1"/>
  <c r="E1238" i="24"/>
  <c r="F1238" i="24" s="1"/>
  <c r="E1239" i="24"/>
  <c r="F1239" i="24" s="1"/>
  <c r="E1240" i="24"/>
  <c r="F1240" i="24" s="1"/>
  <c r="E1241" i="24"/>
  <c r="F1241" i="24" s="1"/>
  <c r="E1242" i="24"/>
  <c r="F1242" i="24" s="1"/>
  <c r="E1243" i="24"/>
  <c r="F1243" i="24" s="1"/>
  <c r="E1244" i="24"/>
  <c r="F1244" i="24" s="1"/>
  <c r="E1247" i="24"/>
  <c r="F1247" i="24" s="1"/>
  <c r="E1248" i="24"/>
  <c r="F1248" i="24" s="1"/>
  <c r="E1250" i="24"/>
  <c r="F1250" i="24" s="1"/>
  <c r="E1251" i="24"/>
  <c r="F1251" i="24" s="1"/>
  <c r="E1252" i="24"/>
  <c r="F1252" i="24" s="1"/>
  <c r="E1254" i="24"/>
  <c r="F1254" i="24" s="1"/>
  <c r="E1255" i="24"/>
  <c r="F1255" i="24" s="1"/>
  <c r="E1256" i="24"/>
  <c r="F1256" i="24" s="1"/>
  <c r="E1257" i="24"/>
  <c r="E1258" i="24"/>
  <c r="F1258" i="24" s="1"/>
  <c r="E1259" i="24"/>
  <c r="F1259" i="24" s="1"/>
  <c r="E1260" i="24"/>
  <c r="F1260" i="24" s="1"/>
  <c r="E1264" i="24"/>
  <c r="F1264" i="24" s="1"/>
  <c r="E1265" i="24"/>
  <c r="F1265" i="24" s="1"/>
  <c r="E1267" i="24"/>
  <c r="F1267" i="24" s="1"/>
  <c r="E1268" i="24"/>
  <c r="F1268" i="24" s="1"/>
  <c r="E1269" i="24"/>
  <c r="F1269" i="24" s="1"/>
  <c r="E1271" i="24"/>
  <c r="F1271" i="24" s="1"/>
  <c r="E1272" i="24"/>
  <c r="F1272" i="24" s="1"/>
  <c r="E1274" i="24"/>
  <c r="F1274" i="24" s="1"/>
  <c r="E1275" i="24"/>
  <c r="F1275" i="24" s="1"/>
  <c r="E1276" i="24"/>
  <c r="F1276" i="24" s="1"/>
  <c r="E1277" i="24"/>
  <c r="F1277" i="24" s="1"/>
  <c r="E1278" i="24"/>
  <c r="F1278" i="24" s="1"/>
  <c r="E1279" i="24"/>
  <c r="F1279" i="24" s="1"/>
  <c r="E1281" i="24"/>
  <c r="F1281" i="24" s="1"/>
  <c r="E1282" i="24"/>
  <c r="F1282" i="24" s="1"/>
  <c r="E1283" i="24"/>
  <c r="F1283" i="24" s="1"/>
  <c r="E1284" i="24"/>
  <c r="F1284" i="24" s="1"/>
  <c r="E1285" i="24"/>
  <c r="F1285" i="24" s="1"/>
  <c r="E1286" i="24"/>
  <c r="F1286" i="24" s="1"/>
  <c r="E1288" i="24"/>
  <c r="F1288" i="24" s="1"/>
  <c r="E1289" i="24"/>
  <c r="F1289" i="24" s="1"/>
  <c r="E1290" i="24"/>
  <c r="F1290" i="24" s="1"/>
  <c r="E1291" i="24"/>
  <c r="F1291" i="24" s="1"/>
  <c r="E1292" i="24"/>
  <c r="F1292" i="24" s="1"/>
  <c r="E1293" i="24"/>
  <c r="F1293" i="24" s="1"/>
  <c r="E1295" i="24"/>
  <c r="F1295" i="24" s="1"/>
  <c r="E1296" i="24"/>
  <c r="F1296" i="24" s="1"/>
  <c r="E1298" i="24"/>
  <c r="F1298" i="24" s="1"/>
  <c r="E1299" i="24"/>
  <c r="F1299" i="24" s="1"/>
  <c r="E1300" i="24"/>
  <c r="F1300" i="24" s="1"/>
  <c r="E1301" i="24"/>
  <c r="F1301" i="24" s="1"/>
  <c r="E1302" i="24"/>
  <c r="F1302" i="24" s="1"/>
  <c r="E1303" i="24"/>
  <c r="F1303" i="24" s="1"/>
  <c r="E1304" i="24"/>
  <c r="F1304" i="24" s="1"/>
  <c r="E1305" i="24"/>
  <c r="F1305" i="24" s="1"/>
  <c r="E1306" i="24"/>
  <c r="F1306" i="24" s="1"/>
  <c r="E1307" i="24"/>
  <c r="F1307" i="24" s="1"/>
  <c r="E1311" i="24"/>
  <c r="F1311" i="24" s="1"/>
  <c r="E1312" i="24"/>
  <c r="F1312" i="24" s="1"/>
  <c r="E1313" i="24"/>
  <c r="F1313" i="24" s="1"/>
  <c r="E1315" i="24"/>
  <c r="F1315" i="24" s="1"/>
  <c r="E1316" i="24"/>
  <c r="F1316" i="24" s="1"/>
  <c r="E1317" i="24"/>
  <c r="F1317" i="24" s="1"/>
  <c r="E1318" i="24"/>
  <c r="F1318" i="24" s="1"/>
  <c r="E1320" i="24"/>
  <c r="F1320" i="24" s="1"/>
  <c r="E1321" i="24"/>
  <c r="F1321" i="24" s="1"/>
  <c r="E1322" i="24"/>
  <c r="F1322" i="24" s="1"/>
  <c r="E1324" i="24"/>
  <c r="F1324" i="24" s="1"/>
  <c r="E1325" i="24"/>
  <c r="F1325" i="24" s="1"/>
  <c r="E1326" i="24"/>
  <c r="F1326" i="24" s="1"/>
  <c r="E1327" i="24"/>
  <c r="F1327" i="24" s="1"/>
  <c r="E1328" i="24"/>
  <c r="F1328" i="24" s="1"/>
  <c r="E1329" i="24"/>
  <c r="F1329" i="24" s="1"/>
  <c r="E1330" i="24"/>
  <c r="F1330" i="24" s="1"/>
  <c r="E1331" i="24"/>
  <c r="F1331" i="24" s="1"/>
  <c r="E1332" i="24"/>
  <c r="F1332" i="24" s="1"/>
  <c r="E1334" i="24"/>
  <c r="F1334" i="24" s="1"/>
  <c r="E1335" i="24"/>
  <c r="F1335" i="24" s="1"/>
  <c r="E1340" i="24"/>
  <c r="F1340" i="24" s="1"/>
  <c r="E1342" i="24"/>
  <c r="F1342" i="24" s="1"/>
  <c r="E1343" i="24"/>
  <c r="F1343" i="24" s="1"/>
  <c r="E1345" i="24"/>
  <c r="F1345" i="24" s="1"/>
  <c r="E1346" i="24"/>
  <c r="F1346" i="24" s="1"/>
  <c r="E1348" i="24"/>
  <c r="F1348" i="24" s="1"/>
  <c r="E1349" i="24"/>
  <c r="F1349" i="24" s="1"/>
  <c r="E1351" i="24"/>
  <c r="F1351" i="24" s="1"/>
  <c r="E1352" i="24"/>
  <c r="F1352" i="24" s="1"/>
  <c r="E1353" i="24"/>
  <c r="F1353" i="24" s="1"/>
  <c r="E1382" i="24"/>
  <c r="F1382" i="24" s="1"/>
  <c r="E1383" i="24"/>
  <c r="F1383" i="24" s="1"/>
  <c r="E1384" i="24"/>
  <c r="F1384" i="24" s="1"/>
  <c r="E1386" i="24"/>
  <c r="F1386" i="24" s="1"/>
  <c r="E1387" i="24"/>
  <c r="F1387" i="24" s="1"/>
  <c r="E1388" i="24"/>
  <c r="F1388" i="24" s="1"/>
  <c r="E1390" i="24"/>
  <c r="F1390" i="24" s="1"/>
  <c r="E1391" i="24"/>
  <c r="F1391" i="24" s="1"/>
  <c r="E1392" i="24"/>
  <c r="F1392" i="24" s="1"/>
  <c r="E1395" i="24"/>
  <c r="F1395" i="24" s="1"/>
  <c r="E1396" i="24"/>
  <c r="F1396" i="24" s="1"/>
  <c r="E1397" i="24"/>
  <c r="F1397" i="24" s="1"/>
  <c r="E1399" i="24"/>
  <c r="F1399" i="24" s="1"/>
  <c r="E1400" i="24"/>
  <c r="F1400" i="24" s="1"/>
  <c r="E1401" i="24"/>
  <c r="F1401" i="24" s="1"/>
  <c r="E1403" i="24"/>
  <c r="F1403" i="24" s="1"/>
  <c r="E1404" i="24"/>
  <c r="F1404" i="24" s="1"/>
  <c r="E1405" i="24"/>
  <c r="F1405" i="24" s="1"/>
  <c r="E1407" i="24"/>
  <c r="F1407" i="24" s="1"/>
  <c r="E1408" i="24"/>
  <c r="F1408" i="24" s="1"/>
  <c r="E1409" i="24"/>
  <c r="F1409" i="24" s="1"/>
  <c r="E1410" i="24"/>
  <c r="F1410" i="24" s="1"/>
  <c r="E1411" i="24"/>
  <c r="F1411" i="24" s="1"/>
  <c r="E1412" i="24"/>
  <c r="F1412" i="24" s="1"/>
  <c r="E1414" i="24"/>
  <c r="F1414" i="24" s="1"/>
  <c r="E1415" i="24"/>
  <c r="F1415" i="24" s="1"/>
  <c r="E1416" i="24"/>
  <c r="F1416" i="24" s="1"/>
  <c r="E1418" i="24"/>
  <c r="F1418" i="24" s="1"/>
  <c r="E1419" i="24"/>
  <c r="F1419" i="24" s="1"/>
  <c r="E1420" i="24"/>
  <c r="F1420" i="24" s="1"/>
  <c r="E1424" i="24"/>
  <c r="F1424" i="24" s="1"/>
  <c r="E1425" i="24"/>
  <c r="F1425" i="24" s="1"/>
  <c r="E1427" i="24"/>
  <c r="F1427" i="24" s="1"/>
  <c r="E1428" i="24"/>
  <c r="F1428" i="24" s="1"/>
  <c r="E1429" i="24"/>
  <c r="F1429" i="24" s="1"/>
  <c r="E1430" i="24"/>
  <c r="F1430" i="24" s="1"/>
  <c r="E1432" i="24"/>
  <c r="F1432" i="24" s="1"/>
  <c r="E1433" i="24"/>
  <c r="F1433" i="24" s="1"/>
  <c r="E1434" i="24"/>
  <c r="F1434" i="24" s="1"/>
  <c r="E1435" i="24"/>
  <c r="F1435" i="24" s="1"/>
  <c r="E1436" i="24"/>
  <c r="F1436" i="24" s="1"/>
  <c r="E1437" i="24"/>
  <c r="F1437" i="24" s="1"/>
  <c r="E1440" i="24"/>
  <c r="F1440" i="24" s="1"/>
  <c r="E1441" i="24"/>
  <c r="F1441" i="24" s="1"/>
  <c r="E1442" i="24"/>
  <c r="F1442" i="24" s="1"/>
  <c r="E1443" i="24"/>
  <c r="F1443" i="24" s="1"/>
  <c r="E1445" i="24"/>
  <c r="F1445" i="24" s="1"/>
  <c r="E1446" i="24"/>
  <c r="F1446" i="24" s="1"/>
  <c r="E1447" i="24"/>
  <c r="F1447" i="24" s="1"/>
  <c r="E1448" i="24"/>
  <c r="F1448" i="24" s="1"/>
  <c r="E1450" i="24"/>
  <c r="F1450" i="24" s="1"/>
  <c r="E1451" i="24"/>
  <c r="F1451" i="24" s="1"/>
  <c r="E1452" i="24"/>
  <c r="F1452" i="24" s="1"/>
  <c r="E1453" i="24"/>
  <c r="F1453" i="24" s="1"/>
  <c r="E1455" i="24"/>
  <c r="F1455" i="24" s="1"/>
  <c r="E1456" i="24"/>
  <c r="F1456" i="24" s="1"/>
  <c r="E1457" i="24"/>
  <c r="F1457" i="24" s="1"/>
  <c r="E1458" i="24"/>
  <c r="F1458" i="24" s="1"/>
  <c r="E1459" i="24"/>
  <c r="F1459" i="24" s="1"/>
  <c r="E1460" i="24"/>
  <c r="F1460" i="24" s="1"/>
  <c r="E1463" i="24"/>
  <c r="F1463" i="24" s="1"/>
  <c r="E1464" i="24"/>
  <c r="F1464" i="24" s="1"/>
  <c r="E1465" i="24"/>
  <c r="F1465" i="24" s="1"/>
  <c r="E1466" i="24"/>
  <c r="F1466" i="24" s="1"/>
  <c r="E1467" i="24"/>
  <c r="F1467" i="24" s="1"/>
  <c r="E1468" i="24"/>
  <c r="F1468" i="24" s="1"/>
  <c r="E1469" i="24"/>
  <c r="F1469" i="24" s="1"/>
  <c r="E1470" i="24"/>
  <c r="F1470" i="24" s="1"/>
  <c r="E1471" i="24"/>
  <c r="F1471" i="24" s="1"/>
  <c r="E1473" i="24"/>
  <c r="F1473" i="24" s="1"/>
  <c r="E1474" i="24"/>
  <c r="F1474" i="24" s="1"/>
  <c r="E1476" i="24"/>
  <c r="F1476" i="24" s="1"/>
  <c r="E1477" i="24"/>
  <c r="F1477" i="24" s="1"/>
  <c r="E1478" i="24"/>
  <c r="F1478" i="24" s="1"/>
  <c r="E1479" i="24"/>
  <c r="F1479" i="24" s="1"/>
  <c r="E1480" i="24"/>
  <c r="F1480" i="24" s="1"/>
  <c r="E1481" i="24"/>
  <c r="F1481" i="24" s="1"/>
  <c r="E1482" i="24"/>
  <c r="F1482" i="24" s="1"/>
  <c r="E1483" i="24"/>
  <c r="F1483" i="24" s="1"/>
  <c r="E1484" i="24"/>
  <c r="F1484" i="24" s="1"/>
  <c r="E1485" i="24"/>
  <c r="F1485" i="24" s="1"/>
  <c r="E1486" i="24"/>
  <c r="F1486" i="24" s="1"/>
  <c r="E1487" i="24"/>
  <c r="F1487" i="24" s="1"/>
  <c r="E1488" i="24"/>
  <c r="F1488" i="24" s="1"/>
  <c r="E1489" i="24"/>
  <c r="F1489" i="24" s="1"/>
  <c r="E1490" i="24"/>
  <c r="F1490" i="24" s="1"/>
  <c r="E1491" i="24"/>
  <c r="F1491" i="24" s="1"/>
  <c r="E1492" i="24"/>
  <c r="F1492" i="24" s="1"/>
  <c r="E1493" i="24"/>
  <c r="F1493" i="24" s="1"/>
  <c r="E1494" i="24"/>
  <c r="F1494" i="24" s="1"/>
  <c r="E1495" i="24"/>
  <c r="F1495" i="24" s="1"/>
  <c r="E1496" i="24"/>
  <c r="F1496" i="24" s="1"/>
  <c r="E1497" i="24"/>
  <c r="F1497" i="24" s="1"/>
  <c r="E1500" i="24"/>
  <c r="F1500" i="24" s="1"/>
  <c r="E1501" i="24"/>
  <c r="F1501" i="24" s="1"/>
  <c r="E1502" i="24"/>
  <c r="F1502" i="24" s="1"/>
  <c r="E1504" i="24"/>
  <c r="F1504" i="24" s="1"/>
  <c r="E1505" i="24"/>
  <c r="F1505" i="24" s="1"/>
  <c r="E1506" i="24"/>
  <c r="F1506" i="24" s="1"/>
  <c r="E1507" i="24"/>
  <c r="F1507" i="24" s="1"/>
  <c r="E1512" i="24"/>
  <c r="F1512" i="24" s="1"/>
  <c r="E1518" i="24"/>
  <c r="F1518" i="24" s="1"/>
  <c r="E1519" i="24"/>
  <c r="F1519" i="24" s="1"/>
  <c r="E1520" i="24"/>
  <c r="F1520" i="24" s="1"/>
  <c r="E1522" i="24"/>
  <c r="F1522" i="24" s="1"/>
  <c r="E1523" i="24"/>
  <c r="F1523" i="24" s="1"/>
  <c r="E1524" i="24"/>
  <c r="F1524" i="24" s="1"/>
  <c r="E1525" i="24"/>
  <c r="F1525" i="24" s="1"/>
  <c r="E1529" i="24"/>
  <c r="F1529" i="24" s="1"/>
  <c r="E1530" i="24"/>
  <c r="F1530" i="24" s="1"/>
  <c r="E1532" i="24"/>
  <c r="F1532" i="24" s="1"/>
  <c r="E1533" i="24"/>
  <c r="F1533" i="24" s="1"/>
  <c r="E1535" i="24"/>
  <c r="F1535" i="24" s="1"/>
  <c r="E1536" i="24"/>
  <c r="F1536" i="24" s="1"/>
  <c r="E1538" i="24"/>
  <c r="F1538" i="24" s="1"/>
  <c r="E1539" i="24"/>
  <c r="F1539" i="24" s="1"/>
  <c r="E1540" i="24"/>
  <c r="F1540" i="24" s="1"/>
  <c r="E1541" i="24"/>
  <c r="F1541" i="24" s="1"/>
  <c r="E1543" i="24"/>
  <c r="F1543" i="24" s="1"/>
  <c r="E1544" i="24"/>
  <c r="F1544" i="24" s="1"/>
  <c r="E1545" i="24"/>
  <c r="F1545" i="24" s="1"/>
  <c r="E1546" i="24"/>
  <c r="F1546" i="24" s="1"/>
  <c r="E1547" i="24"/>
  <c r="F1547" i="24" s="1"/>
  <c r="E1548" i="24"/>
  <c r="F1548" i="24" s="1"/>
  <c r="E1549" i="24"/>
  <c r="F1549" i="24" s="1"/>
  <c r="E1550" i="24"/>
  <c r="F1550" i="24" s="1"/>
  <c r="E1552" i="24"/>
  <c r="F1552" i="24" s="1"/>
  <c r="E1553" i="24"/>
  <c r="F1553" i="24" s="1"/>
  <c r="E1554" i="24"/>
  <c r="F1554" i="24" s="1"/>
  <c r="E1556" i="24"/>
  <c r="F1556" i="24" s="1"/>
  <c r="E1557" i="24"/>
  <c r="F1557" i="24" s="1"/>
  <c r="E1558" i="24"/>
  <c r="F1558" i="24" s="1"/>
  <c r="E1559" i="24"/>
  <c r="F1559" i="24" s="1"/>
  <c r="E1561" i="24"/>
  <c r="F1561" i="24" s="1"/>
  <c r="E1562" i="24"/>
  <c r="F1562" i="24" s="1"/>
  <c r="E1563" i="24"/>
  <c r="F1563" i="24" s="1"/>
  <c r="E1564" i="24"/>
  <c r="F1564" i="24" s="1"/>
  <c r="E1566" i="24"/>
  <c r="F1566" i="24" s="1"/>
  <c r="E1567" i="24"/>
  <c r="F1567" i="24" s="1"/>
  <c r="E1568" i="24"/>
  <c r="F1568" i="24" s="1"/>
  <c r="E1569" i="24"/>
  <c r="F1569" i="24" s="1"/>
  <c r="E1570" i="24"/>
  <c r="F1570" i="24" s="1"/>
  <c r="E1572" i="24"/>
  <c r="F1572" i="24" s="1"/>
  <c r="E1573" i="24"/>
  <c r="F1573" i="24" s="1"/>
  <c r="E1574" i="24"/>
  <c r="F1574" i="24" s="1"/>
  <c r="E1575" i="24"/>
  <c r="F1575" i="24" s="1"/>
  <c r="E1576" i="24"/>
  <c r="F1576" i="24" s="1"/>
  <c r="E1577" i="24"/>
  <c r="F1577" i="24" s="1"/>
  <c r="E1578" i="24"/>
  <c r="F1578" i="24" s="1"/>
  <c r="E1580" i="24"/>
  <c r="F1580" i="24" s="1"/>
  <c r="E1581" i="24"/>
  <c r="F1581" i="24" s="1"/>
  <c r="E1582" i="24"/>
  <c r="F1582" i="24" s="1"/>
  <c r="E1583" i="24"/>
  <c r="F1583" i="24" s="1"/>
  <c r="E1584" i="24"/>
  <c r="F1584" i="24" s="1"/>
  <c r="E1585" i="24"/>
  <c r="F1585" i="24" s="1"/>
  <c r="E1586" i="24"/>
  <c r="F1586" i="24" s="1"/>
  <c r="E1588" i="24"/>
  <c r="F1588" i="24" s="1"/>
  <c r="E1589" i="24"/>
  <c r="F1589" i="24" s="1"/>
  <c r="E1590" i="24"/>
  <c r="F1590" i="24" s="1"/>
  <c r="E1592" i="24"/>
  <c r="F1592" i="24" s="1"/>
  <c r="E1593" i="24"/>
  <c r="F1593" i="24" s="1"/>
  <c r="E1594" i="24"/>
  <c r="F1594" i="24" s="1"/>
  <c r="E1595" i="24"/>
  <c r="F1595" i="24" s="1"/>
  <c r="E1596" i="24"/>
  <c r="F1596" i="24" s="1"/>
  <c r="E1598" i="24"/>
  <c r="F1598" i="24" s="1"/>
  <c r="E1599" i="24"/>
  <c r="F1599" i="24" s="1"/>
  <c r="E1600" i="24"/>
  <c r="F1600" i="24" s="1"/>
  <c r="E1601" i="24"/>
  <c r="F1601" i="24" s="1"/>
  <c r="E1608" i="24"/>
  <c r="F1608" i="24" s="1"/>
  <c r="E1609" i="24"/>
  <c r="F1609" i="24" s="1"/>
  <c r="E1610" i="24"/>
  <c r="F1610" i="24" s="1"/>
  <c r="E1612" i="24"/>
  <c r="F1612" i="24" s="1"/>
  <c r="E1613" i="24"/>
  <c r="F1613" i="24" s="1"/>
  <c r="E1614" i="24"/>
  <c r="F1614" i="24" s="1"/>
  <c r="E1616" i="24"/>
  <c r="F1616" i="24" s="1"/>
  <c r="E1617" i="24"/>
  <c r="F1617" i="24" s="1"/>
  <c r="E1618" i="24"/>
  <c r="F1618" i="24" s="1"/>
  <c r="E1620" i="24"/>
  <c r="F1620" i="24" s="1"/>
  <c r="E1621" i="24"/>
  <c r="F1621" i="24" s="1"/>
  <c r="E1622" i="24"/>
  <c r="F1622" i="24" s="1"/>
  <c r="E1624" i="24"/>
  <c r="F1624" i="24" s="1"/>
  <c r="E1625" i="24"/>
  <c r="F1625" i="24" s="1"/>
  <c r="E1626" i="24"/>
  <c r="F1626" i="24" s="1"/>
  <c r="E1628" i="24"/>
  <c r="F1628" i="24" s="1"/>
  <c r="E1629" i="24"/>
  <c r="F1629" i="24" s="1"/>
  <c r="E1630" i="24"/>
  <c r="F1630" i="24" s="1"/>
  <c r="E1633" i="24"/>
  <c r="F1633" i="24" s="1"/>
  <c r="E1634" i="24"/>
  <c r="F1634" i="24" s="1"/>
  <c r="E1635" i="24"/>
  <c r="F1635" i="24" s="1"/>
  <c r="E1637" i="24"/>
  <c r="F1637" i="24" s="1"/>
  <c r="E1638" i="24"/>
  <c r="F1638" i="24" s="1"/>
  <c r="E1639" i="24"/>
  <c r="F1639" i="24" s="1"/>
  <c r="E1641" i="24"/>
  <c r="F1641" i="24" s="1"/>
  <c r="E1642" i="24"/>
  <c r="F1642" i="24" s="1"/>
  <c r="E1643" i="24"/>
  <c r="F1643" i="24" s="1"/>
  <c r="E1645" i="24"/>
  <c r="F1645" i="24" s="1"/>
  <c r="E1646" i="24"/>
  <c r="F1646" i="24" s="1"/>
  <c r="E1647" i="24"/>
  <c r="F1647" i="24" s="1"/>
  <c r="E1649" i="24"/>
  <c r="F1649" i="24" s="1"/>
  <c r="E1650" i="24"/>
  <c r="F1650" i="24" s="1"/>
  <c r="E1651" i="24"/>
  <c r="F1651" i="24" s="1"/>
  <c r="E1653" i="24"/>
  <c r="F1653" i="24" s="1"/>
  <c r="E1654" i="24"/>
  <c r="F1654" i="24" s="1"/>
  <c r="E1655" i="24"/>
  <c r="F1655" i="24" s="1"/>
  <c r="E1657" i="24"/>
  <c r="F1657" i="24" s="1"/>
  <c r="E1658" i="24"/>
  <c r="F1658" i="24" s="1"/>
  <c r="E1659" i="24"/>
  <c r="F1659" i="24" s="1"/>
  <c r="E1661" i="24"/>
  <c r="F1661" i="24" s="1"/>
  <c r="E1662" i="24"/>
  <c r="F1662" i="24" s="1"/>
  <c r="E1663" i="24"/>
  <c r="F1663" i="24" s="1"/>
  <c r="E1664" i="24"/>
  <c r="F1664" i="24" s="1"/>
  <c r="E1665" i="24"/>
  <c r="F1665" i="24" s="1"/>
  <c r="E1668" i="24"/>
  <c r="F1668" i="24" s="1"/>
  <c r="E1669" i="24"/>
  <c r="F1669" i="24" s="1"/>
  <c r="E1670" i="24"/>
  <c r="F1670" i="24" s="1"/>
  <c r="E1671" i="24"/>
  <c r="F1671" i="24" s="1"/>
  <c r="E1673" i="24"/>
  <c r="F1673" i="24" s="1"/>
  <c r="E1674" i="24"/>
  <c r="F1674" i="24" s="1"/>
  <c r="E1675" i="24"/>
  <c r="F1675" i="24" s="1"/>
  <c r="E1676" i="24"/>
  <c r="F1676" i="24" s="1"/>
  <c r="E1678" i="24"/>
  <c r="F1678" i="24" s="1"/>
  <c r="E1679" i="24"/>
  <c r="F1679" i="24" s="1"/>
  <c r="E1680" i="24"/>
  <c r="F1680" i="24" s="1"/>
  <c r="E1681" i="24"/>
  <c r="F1681" i="24" s="1"/>
  <c r="E1683" i="24"/>
  <c r="F1683" i="24" s="1"/>
  <c r="E1684" i="24"/>
  <c r="F1684" i="24" s="1"/>
  <c r="E1685" i="24"/>
  <c r="F1685" i="24" s="1"/>
  <c r="E1686" i="24"/>
  <c r="F1686" i="24" s="1"/>
  <c r="E1688" i="24"/>
  <c r="F1688" i="24" s="1"/>
  <c r="E1689" i="24"/>
  <c r="F1689" i="24" s="1"/>
  <c r="E1690" i="24"/>
  <c r="F1690" i="24" s="1"/>
  <c r="E1691" i="24"/>
  <c r="F1691" i="24" s="1"/>
  <c r="E1693" i="24"/>
  <c r="F1693" i="24" s="1"/>
  <c r="E1694" i="24"/>
  <c r="F1694" i="24" s="1"/>
  <c r="E1695" i="24"/>
  <c r="F1695" i="24" s="1"/>
  <c r="E1696" i="24"/>
  <c r="F1696" i="24" s="1"/>
  <c r="E1699" i="24"/>
  <c r="F1699" i="24" s="1"/>
  <c r="E1700" i="24"/>
  <c r="F1700" i="24" s="1"/>
  <c r="E1701" i="24"/>
  <c r="F1701" i="24" s="1"/>
  <c r="E1702" i="24"/>
  <c r="F1702" i="24" s="1"/>
  <c r="E1703" i="24"/>
  <c r="F1703" i="24" s="1"/>
  <c r="E1705" i="24"/>
  <c r="F1705" i="24" s="1"/>
  <c r="E1706" i="24"/>
  <c r="F1706" i="24" s="1"/>
  <c r="E1707" i="24"/>
  <c r="F1707" i="24" s="1"/>
  <c r="E1708" i="24"/>
  <c r="F1708" i="24" s="1"/>
  <c r="E1709" i="24"/>
  <c r="F1709" i="24" s="1"/>
  <c r="E1711" i="24"/>
  <c r="F1711" i="24" s="1"/>
  <c r="E1712" i="24"/>
  <c r="F1712" i="24" s="1"/>
  <c r="E1713" i="24"/>
  <c r="F1713" i="24" s="1"/>
  <c r="E1714" i="24"/>
  <c r="F1714" i="24" s="1"/>
  <c r="E1715" i="24"/>
  <c r="F1715" i="24" s="1"/>
  <c r="E1717" i="24"/>
  <c r="F1717" i="24" s="1"/>
  <c r="E1718" i="24"/>
  <c r="F1718" i="24" s="1"/>
  <c r="E1719" i="24"/>
  <c r="F1719" i="24" s="1"/>
  <c r="E1720" i="24"/>
  <c r="F1720" i="24" s="1"/>
  <c r="E1721" i="24"/>
  <c r="F1721" i="24" s="1"/>
  <c r="E1723" i="24"/>
  <c r="F1723" i="24" s="1"/>
  <c r="E1724" i="24"/>
  <c r="F1724" i="24" s="1"/>
  <c r="E1725" i="24"/>
  <c r="F1725" i="24" s="1"/>
  <c r="E1726" i="24"/>
  <c r="F1726" i="24" s="1"/>
  <c r="E1727" i="24"/>
  <c r="F1727" i="24" s="1"/>
  <c r="E1729" i="24"/>
  <c r="F1729" i="24" s="1"/>
  <c r="E1730" i="24"/>
  <c r="F1730" i="24" s="1"/>
  <c r="E1731" i="24"/>
  <c r="F1731" i="24" s="1"/>
  <c r="E1732" i="24"/>
  <c r="F1732" i="24" s="1"/>
  <c r="E1733" i="24"/>
  <c r="F1733" i="24" s="1"/>
  <c r="E1736" i="24"/>
  <c r="F1736" i="24" s="1"/>
  <c r="E1737" i="24"/>
  <c r="F1737" i="24" s="1"/>
  <c r="E1738" i="24"/>
  <c r="F1738" i="24" s="1"/>
  <c r="E1739" i="24"/>
  <c r="F1739" i="24" s="1"/>
  <c r="E1740" i="24"/>
  <c r="F1740" i="24" s="1"/>
  <c r="E1742" i="24"/>
  <c r="F1742" i="24" s="1"/>
  <c r="E1743" i="24"/>
  <c r="F1743" i="24" s="1"/>
  <c r="E1744" i="24"/>
  <c r="F1744" i="24" s="1"/>
  <c r="E1745" i="24"/>
  <c r="F1745" i="24" s="1"/>
  <c r="E1746" i="24"/>
  <c r="F1746" i="24" s="1"/>
  <c r="E1748" i="24"/>
  <c r="F1748" i="24" s="1"/>
  <c r="E1749" i="24"/>
  <c r="F1749" i="24" s="1"/>
  <c r="E1750" i="24"/>
  <c r="F1750" i="24" s="1"/>
  <c r="E1751" i="24"/>
  <c r="F1751" i="24" s="1"/>
  <c r="E1752" i="24"/>
  <c r="F1752" i="24" s="1"/>
  <c r="E1754" i="24"/>
  <c r="F1754" i="24" s="1"/>
  <c r="E1755" i="24"/>
  <c r="F1755" i="24" s="1"/>
  <c r="E1756" i="24"/>
  <c r="F1756" i="24" s="1"/>
  <c r="E1757" i="24"/>
  <c r="F1757" i="24" s="1"/>
  <c r="E1758" i="24"/>
  <c r="F1758" i="24" s="1"/>
  <c r="E1760" i="24"/>
  <c r="F1760" i="24" s="1"/>
  <c r="E1761" i="24"/>
  <c r="F1761" i="24" s="1"/>
  <c r="E1762" i="24"/>
  <c r="F1762" i="24" s="1"/>
  <c r="E1763" i="24"/>
  <c r="F1763" i="24" s="1"/>
  <c r="E1764" i="24"/>
  <c r="F1764" i="24" s="1"/>
  <c r="E1766" i="24"/>
  <c r="F1766" i="24" s="1"/>
  <c r="E1767" i="24"/>
  <c r="F1767" i="24" s="1"/>
  <c r="E1768" i="24"/>
  <c r="F1768" i="24" s="1"/>
  <c r="E1769" i="24"/>
  <c r="F1769" i="24" s="1"/>
  <c r="E1770" i="24"/>
  <c r="F1770" i="24" s="1"/>
  <c r="E1772" i="24"/>
  <c r="F1772" i="24" s="1"/>
  <c r="E1773" i="24"/>
  <c r="F1773" i="24" s="1"/>
  <c r="E1774" i="24"/>
  <c r="F1774" i="24" s="1"/>
  <c r="E1775" i="24"/>
  <c r="F1775" i="24" s="1"/>
  <c r="E1776" i="24"/>
  <c r="F1776" i="24" s="1"/>
  <c r="E1778" i="24"/>
  <c r="F1778" i="24" s="1"/>
  <c r="E1779" i="24"/>
  <c r="F1779" i="24" s="1"/>
  <c r="E1780" i="24"/>
  <c r="F1780" i="24" s="1"/>
  <c r="E1782" i="24"/>
  <c r="F1782" i="24" s="1"/>
  <c r="E1784" i="24"/>
  <c r="F1784" i="24" s="1"/>
  <c r="E1785" i="24"/>
  <c r="F1785" i="24" s="1"/>
  <c r="E1786" i="24"/>
  <c r="F1786" i="24" s="1"/>
  <c r="E1787" i="24"/>
  <c r="F1787" i="24" s="1"/>
  <c r="E1790" i="24"/>
  <c r="F1790" i="24" s="1"/>
  <c r="E1791" i="24"/>
  <c r="F1791" i="24" s="1"/>
  <c r="E1792" i="24"/>
  <c r="F1792" i="24" s="1"/>
  <c r="E1793" i="24"/>
  <c r="F1793" i="24" s="1"/>
  <c r="E1794" i="24"/>
  <c r="F1794" i="24" s="1"/>
  <c r="E1795" i="24"/>
  <c r="F1795" i="24" s="1"/>
  <c r="E1797" i="24"/>
  <c r="F1797" i="24" s="1"/>
  <c r="E1798" i="24"/>
  <c r="F1798" i="24" s="1"/>
  <c r="E1799" i="24"/>
  <c r="F1799" i="24" s="1"/>
  <c r="E1801" i="24"/>
  <c r="F1801" i="24" s="1"/>
  <c r="E1802" i="24"/>
  <c r="F1802" i="24" s="1"/>
  <c r="E1803" i="24"/>
  <c r="F1803" i="24" s="1"/>
  <c r="E1804" i="24"/>
  <c r="F1804" i="24" s="1"/>
  <c r="E1805" i="24"/>
  <c r="F1805" i="24" s="1"/>
  <c r="E1806" i="24"/>
  <c r="F1806" i="24" s="1"/>
  <c r="E1807" i="24"/>
  <c r="F1807" i="24" s="1"/>
  <c r="E1810" i="24"/>
  <c r="F1810" i="24" s="1"/>
  <c r="E1811" i="24"/>
  <c r="F1811" i="24" s="1"/>
  <c r="E1812" i="24"/>
  <c r="F1812" i="24" s="1"/>
  <c r="E1814" i="24"/>
  <c r="F1814" i="24" s="1"/>
  <c r="E1815" i="24"/>
  <c r="F1815" i="24" s="1"/>
  <c r="E1816" i="24"/>
  <c r="F1816" i="24" s="1"/>
  <c r="E1817" i="24"/>
  <c r="F1817" i="24" s="1"/>
  <c r="E1823" i="24"/>
  <c r="F1823" i="24" s="1"/>
  <c r="E1824" i="24"/>
  <c r="F1824" i="24" s="1"/>
  <c r="E1825" i="24"/>
  <c r="F1825" i="24" s="1"/>
  <c r="E1826" i="24"/>
  <c r="F1826" i="24" s="1"/>
  <c r="E1827" i="24"/>
  <c r="F1827" i="24" s="1"/>
  <c r="E1828" i="24"/>
  <c r="F1828" i="24" s="1"/>
  <c r="E1829" i="24"/>
  <c r="F1829" i="24" s="1"/>
  <c r="E1830" i="24"/>
  <c r="F1830" i="24" s="1"/>
  <c r="E1831" i="24"/>
  <c r="F1831" i="24" s="1"/>
  <c r="E1833" i="24"/>
  <c r="F1833" i="24" s="1"/>
  <c r="E1834" i="24"/>
  <c r="F1834" i="24" s="1"/>
  <c r="E1835" i="24"/>
  <c r="F1835" i="24" s="1"/>
  <c r="E1837" i="24"/>
  <c r="F1837" i="24" s="1"/>
  <c r="E1838" i="24"/>
  <c r="F1838" i="24" s="1"/>
  <c r="E1840" i="24"/>
  <c r="F1840" i="24" s="1"/>
  <c r="E1841" i="24"/>
  <c r="F1841" i="24" s="1"/>
  <c r="E1842" i="24"/>
  <c r="F1842" i="24" s="1"/>
  <c r="E1844" i="24"/>
  <c r="F1844" i="24" s="1"/>
  <c r="E1845" i="24"/>
  <c r="F1845" i="24" s="1"/>
  <c r="E1846" i="24"/>
  <c r="F1846" i="24" s="1"/>
  <c r="E1848" i="24"/>
  <c r="F1848" i="24" s="1"/>
  <c r="E1849" i="24"/>
  <c r="F1849" i="24" s="1"/>
  <c r="E1850" i="24"/>
  <c r="F1850" i="24" s="1"/>
  <c r="E1852" i="24"/>
  <c r="F1852" i="24" s="1"/>
  <c r="E1853" i="24"/>
  <c r="F1853" i="24" s="1"/>
  <c r="E1854" i="24"/>
  <c r="F1854" i="24" s="1"/>
  <c r="E1856" i="24"/>
  <c r="F1856" i="24" s="1"/>
  <c r="E1857" i="24"/>
  <c r="F1857" i="24" s="1"/>
  <c r="E1858" i="24"/>
  <c r="F1858" i="24" s="1"/>
  <c r="E1859" i="24"/>
  <c r="F1859" i="24" s="1"/>
  <c r="E1861" i="24"/>
  <c r="F1861" i="24" s="1"/>
  <c r="E1862" i="24"/>
  <c r="F1862" i="24" s="1"/>
  <c r="E1863" i="24"/>
  <c r="F1863" i="24" s="1"/>
  <c r="E1864" i="24"/>
  <c r="F1864" i="24" s="1"/>
  <c r="E1866" i="24"/>
  <c r="F1866" i="24" s="1"/>
  <c r="E1867" i="24"/>
  <c r="F1867" i="24" s="1"/>
  <c r="E1868" i="24"/>
  <c r="F1868" i="24" s="1"/>
  <c r="E1870" i="24"/>
  <c r="F1870" i="24" s="1"/>
  <c r="E1871" i="24"/>
  <c r="F1871" i="24" s="1"/>
  <c r="E1872" i="24"/>
  <c r="F1872" i="24" s="1"/>
  <c r="E1877" i="24"/>
  <c r="F1877" i="24" s="1"/>
  <c r="E1878" i="24"/>
  <c r="F1878" i="24" s="1"/>
  <c r="E1879" i="24"/>
  <c r="F1879" i="24" s="1"/>
  <c r="E1880" i="24"/>
  <c r="F1880" i="24" s="1"/>
  <c r="E1881" i="24"/>
  <c r="F1881" i="24" s="1"/>
  <c r="E1882" i="24"/>
  <c r="F1882" i="24" s="1"/>
  <c r="E1883" i="24"/>
  <c r="F1883" i="24" s="1"/>
  <c r="E1885" i="24"/>
  <c r="F1885" i="24" s="1"/>
  <c r="E1886" i="24"/>
  <c r="F1886" i="24" s="1"/>
  <c r="E1887" i="24"/>
  <c r="F1887" i="24" s="1"/>
  <c r="E1888" i="24"/>
  <c r="F1888" i="24" s="1"/>
  <c r="E1890" i="24"/>
  <c r="F1890" i="24" s="1"/>
  <c r="E1891" i="24"/>
  <c r="F1891" i="24" s="1"/>
  <c r="E1892" i="24"/>
  <c r="F1892" i="24" s="1"/>
  <c r="E1893" i="24"/>
  <c r="F1893" i="24" s="1"/>
  <c r="E1894" i="24"/>
  <c r="F1894" i="24" s="1"/>
  <c r="E1900" i="24"/>
  <c r="F1900" i="24" s="1"/>
  <c r="E1901" i="24"/>
  <c r="F1901" i="24" s="1"/>
  <c r="E1902" i="24"/>
  <c r="F1902" i="24" s="1"/>
  <c r="E1903" i="24"/>
  <c r="F1903" i="24" s="1"/>
  <c r="E1904" i="24"/>
  <c r="F1904" i="24" s="1"/>
  <c r="E1906" i="24"/>
  <c r="F1906" i="24" s="1"/>
  <c r="E1907" i="24"/>
  <c r="F1907" i="24" s="1"/>
  <c r="E1908" i="24"/>
  <c r="F1908" i="24" s="1"/>
  <c r="E1909" i="24"/>
  <c r="F1909" i="24" s="1"/>
  <c r="E1910" i="24"/>
  <c r="F1910" i="24" s="1"/>
  <c r="E1912" i="24"/>
  <c r="F1912" i="24" s="1"/>
  <c r="E1913" i="24"/>
  <c r="F1913" i="24" s="1"/>
  <c r="E1914" i="24"/>
  <c r="F1914" i="24" s="1"/>
  <c r="E1915" i="24"/>
  <c r="F1915" i="24" s="1"/>
  <c r="E1916" i="24"/>
  <c r="F1916" i="24" s="1"/>
  <c r="E1918" i="24"/>
  <c r="F1918" i="24" s="1"/>
  <c r="E1919" i="24"/>
  <c r="F1919" i="24" s="1"/>
  <c r="E1920" i="24"/>
  <c r="F1920" i="24" s="1"/>
  <c r="E1921" i="24"/>
  <c r="F1921" i="24" s="1"/>
  <c r="E1922" i="24"/>
  <c r="F1922" i="24" s="1"/>
  <c r="E1923" i="24"/>
  <c r="F1923" i="24" s="1"/>
  <c r="E1924" i="24"/>
  <c r="F1924" i="24" s="1"/>
  <c r="E1926" i="24"/>
  <c r="F1926" i="24" s="1"/>
  <c r="E1927" i="24"/>
  <c r="F1927" i="24" s="1"/>
  <c r="E1928" i="24"/>
  <c r="F1928" i="24" s="1"/>
  <c r="E1929" i="24"/>
  <c r="F1929" i="24" s="1"/>
  <c r="E1931" i="24"/>
  <c r="F1931" i="24" s="1"/>
  <c r="E1932" i="24"/>
  <c r="F1932" i="24" s="1"/>
  <c r="E1938" i="24"/>
  <c r="F1938" i="24" s="1"/>
  <c r="E1939" i="24"/>
  <c r="F1939" i="24" s="1"/>
  <c r="E1940" i="24"/>
  <c r="F1940" i="24" s="1"/>
  <c r="E1941" i="24"/>
  <c r="F1941" i="24" s="1"/>
  <c r="E1942" i="24"/>
  <c r="F1942" i="24" s="1"/>
  <c r="E1944" i="24"/>
  <c r="F1944" i="24" s="1"/>
  <c r="E1945" i="24"/>
  <c r="F1945" i="24" s="1"/>
  <c r="E1946" i="24"/>
  <c r="F1946" i="24" s="1"/>
  <c r="E1948" i="24"/>
  <c r="F1948" i="24" s="1"/>
  <c r="E1949" i="24"/>
  <c r="F1949" i="24" s="1"/>
  <c r="E1950" i="24"/>
  <c r="F1950" i="24" s="1"/>
  <c r="E1952" i="24"/>
  <c r="F1952" i="24" s="1"/>
  <c r="E1953" i="24"/>
  <c r="F1953" i="24" s="1"/>
  <c r="E1954" i="24"/>
  <c r="F1954" i="24" s="1"/>
  <c r="E1956" i="24"/>
  <c r="F1956" i="24" s="1"/>
  <c r="E1957" i="24"/>
  <c r="F1957" i="24" s="1"/>
  <c r="E1963" i="24"/>
  <c r="F1963" i="24" s="1"/>
  <c r="E1964" i="24"/>
  <c r="F1964" i="24" s="1"/>
  <c r="E1965" i="24"/>
  <c r="F1965" i="24" s="1"/>
  <c r="E1966" i="24"/>
  <c r="F1966" i="24" s="1"/>
  <c r="E1967" i="24"/>
  <c r="F1967" i="24" s="1"/>
  <c r="E1968" i="24"/>
  <c r="F1968" i="24" s="1"/>
  <c r="E1969" i="24"/>
  <c r="F1969" i="24" s="1"/>
  <c r="E1970" i="24"/>
  <c r="F1970" i="24" s="1"/>
  <c r="E1971" i="24"/>
  <c r="F1971" i="24" s="1"/>
  <c r="E1972" i="24"/>
  <c r="F1972" i="24" s="1"/>
  <c r="E1973" i="24"/>
  <c r="F1973" i="24" s="1"/>
  <c r="E1974" i="24"/>
  <c r="F1974" i="24" s="1"/>
  <c r="E1975" i="24"/>
  <c r="F1975" i="24" s="1"/>
  <c r="E1976" i="24"/>
  <c r="F1976" i="24" s="1"/>
  <c r="E1978" i="24"/>
  <c r="F1978" i="24" s="1"/>
  <c r="E1979" i="24"/>
  <c r="F1979" i="24" s="1"/>
  <c r="E1980" i="24"/>
  <c r="F1980" i="24" s="1"/>
  <c r="E1981" i="24"/>
  <c r="F1981" i="24" s="1"/>
  <c r="E1982" i="24"/>
  <c r="F1982" i="24" s="1"/>
  <c r="A5" i="31"/>
  <c r="D8" i="31"/>
  <c r="G6" i="21"/>
  <c r="F11" i="21"/>
  <c r="G23" i="21"/>
  <c r="G24" i="21"/>
  <c r="F26" i="21"/>
  <c r="F27" i="21"/>
  <c r="F28" i="21"/>
  <c r="F29" i="21"/>
  <c r="F30" i="21"/>
  <c r="G40" i="21"/>
  <c r="E40" i="21" s="1"/>
  <c r="G41" i="21"/>
  <c r="E41" i="21" s="1"/>
  <c r="G42" i="21"/>
  <c r="E42" i="21" s="1"/>
  <c r="G43" i="21"/>
  <c r="E43" i="21" s="1"/>
  <c r="G45" i="21"/>
  <c r="E45" i="21" s="1"/>
  <c r="G46" i="21"/>
  <c r="E46" i="21" s="1"/>
  <c r="E47" i="21"/>
  <c r="G49" i="21"/>
  <c r="E49" i="21" s="1"/>
  <c r="G50" i="21"/>
  <c r="E58" i="21"/>
  <c r="E62" i="21"/>
  <c r="G64" i="21"/>
  <c r="E64" i="21" s="1"/>
  <c r="G65" i="21"/>
  <c r="G67" i="21"/>
  <c r="G68" i="21"/>
  <c r="E68" i="21" s="1"/>
  <c r="G69" i="21"/>
  <c r="F77" i="21"/>
  <c r="F78" i="21"/>
  <c r="F79" i="21"/>
  <c r="F80" i="21"/>
  <c r="F91" i="21"/>
  <c r="F94" i="21"/>
  <c r="F103" i="21"/>
  <c r="F104" i="21"/>
  <c r="G122" i="21"/>
  <c r="E122" i="21" s="1"/>
  <c r="G123" i="21"/>
  <c r="E123" i="21" s="1"/>
  <c r="G124" i="21"/>
  <c r="E124" i="21" s="1"/>
  <c r="G126" i="21"/>
  <c r="E126" i="21" s="1"/>
  <c r="G127" i="21"/>
  <c r="E127" i="21" s="1"/>
  <c r="G128" i="21"/>
  <c r="E128" i="21" s="1"/>
  <c r="G129" i="21"/>
  <c r="E129" i="21" s="1"/>
  <c r="G130" i="21"/>
  <c r="E130" i="21" s="1"/>
  <c r="G131" i="21"/>
  <c r="E131" i="21" s="1"/>
  <c r="G132" i="21"/>
  <c r="E132" i="21" s="1"/>
  <c r="G133" i="21"/>
  <c r="E133" i="21" s="1"/>
  <c r="G136" i="21"/>
  <c r="E136" i="21" s="1"/>
  <c r="G137" i="21"/>
  <c r="E137" i="21" s="1"/>
  <c r="G138" i="21"/>
  <c r="E138" i="21" s="1"/>
  <c r="G143" i="21"/>
  <c r="E143" i="21" s="1"/>
  <c r="G144" i="21"/>
  <c r="E144" i="21" s="1"/>
  <c r="G146" i="21"/>
  <c r="E146" i="21" s="1"/>
  <c r="G147" i="21"/>
  <c r="E147" i="21" s="1"/>
  <c r="G148" i="21"/>
  <c r="E148" i="21" s="1"/>
  <c r="G149" i="21"/>
  <c r="E149" i="21" s="1"/>
  <c r="G150" i="21"/>
  <c r="E150" i="21" s="1"/>
  <c r="G151" i="21"/>
  <c r="E151" i="21" s="1"/>
  <c r="G152" i="21"/>
  <c r="E152" i="21" s="1"/>
  <c r="G153" i="21"/>
  <c r="E153" i="21" s="1"/>
  <c r="G156" i="21"/>
  <c r="E156" i="21" s="1"/>
  <c r="G157" i="21"/>
  <c r="E157" i="21" s="1"/>
  <c r="G159" i="21"/>
  <c r="E159" i="21" s="1"/>
  <c r="G162" i="21"/>
  <c r="E162" i="21" s="1"/>
  <c r="G163" i="21"/>
  <c r="E163" i="21" s="1"/>
  <c r="G165" i="21"/>
  <c r="E165" i="21" s="1"/>
  <c r="G166" i="21"/>
  <c r="E166" i="21" s="1"/>
  <c r="G169" i="21"/>
  <c r="E169" i="21" s="1"/>
  <c r="G170" i="21"/>
  <c r="E170" i="21" s="1"/>
  <c r="G171" i="21"/>
  <c r="E171" i="21" s="1"/>
  <c r="G172" i="21"/>
  <c r="E172" i="21" s="1"/>
  <c r="G173" i="21"/>
  <c r="E173" i="21" s="1"/>
  <c r="E176" i="21"/>
  <c r="E177" i="21"/>
  <c r="E178" i="21"/>
  <c r="E179" i="21"/>
  <c r="E180" i="21"/>
  <c r="E181" i="21"/>
  <c r="G183" i="21"/>
  <c r="E183" i="21" s="1"/>
  <c r="G184" i="21"/>
  <c r="E184" i="21" s="1"/>
  <c r="E187" i="21"/>
  <c r="E188" i="21"/>
  <c r="E189" i="21"/>
  <c r="G192" i="21"/>
  <c r="E192" i="21" s="1"/>
  <c r="G193" i="21"/>
  <c r="E193" i="21" s="1"/>
  <c r="G194" i="21"/>
  <c r="E194" i="21" s="1"/>
  <c r="G195" i="21"/>
  <c r="E195" i="21" s="1"/>
  <c r="G196" i="21"/>
  <c r="E196" i="21" s="1"/>
  <c r="G197" i="21"/>
  <c r="E197" i="21" s="1"/>
  <c r="G198" i="21"/>
  <c r="E198" i="21" s="1"/>
  <c r="G199" i="21"/>
  <c r="E199" i="21" s="1"/>
  <c r="G200" i="21"/>
  <c r="E200" i="21" s="1"/>
  <c r="G201" i="21"/>
  <c r="E201" i="21" s="1"/>
  <c r="G202" i="21"/>
  <c r="E202" i="21" s="1"/>
  <c r="E205" i="21"/>
  <c r="E206" i="21"/>
  <c r="E207" i="21"/>
  <c r="E208" i="21"/>
  <c r="E209" i="21"/>
  <c r="E210" i="21"/>
  <c r="E211" i="21"/>
  <c r="E212" i="21"/>
  <c r="G214" i="21"/>
  <c r="E214" i="21" s="1"/>
  <c r="G215" i="21"/>
  <c r="G216" i="21"/>
  <c r="E216" i="21" s="1"/>
  <c r="G217" i="21"/>
  <c r="E217" i="21" s="1"/>
  <c r="G218" i="21"/>
  <c r="E218" i="21" s="1"/>
  <c r="G219" i="21"/>
  <c r="E219" i="21" s="1"/>
  <c r="E226" i="21"/>
  <c r="E227" i="21"/>
  <c r="E228" i="21"/>
  <c r="E229" i="21"/>
  <c r="E230" i="21"/>
  <c r="E232" i="21"/>
  <c r="E233" i="21"/>
  <c r="E234" i="21"/>
  <c r="E236" i="21"/>
  <c r="E237" i="21"/>
  <c r="E238" i="21"/>
  <c r="E239" i="21"/>
  <c r="E240" i="21"/>
  <c r="E241" i="21"/>
  <c r="G243" i="21"/>
  <c r="E243" i="21" s="1"/>
  <c r="G244" i="21"/>
  <c r="E244" i="21" s="1"/>
  <c r="G246" i="21"/>
  <c r="E246" i="21" s="1"/>
  <c r="G247" i="21"/>
  <c r="E247" i="21" s="1"/>
  <c r="G248" i="21"/>
  <c r="E248" i="21" s="1"/>
  <c r="G249" i="21"/>
  <c r="E249" i="21" s="1"/>
  <c r="G250" i="21"/>
  <c r="E250" i="21" s="1"/>
  <c r="G251" i="21"/>
  <c r="E251" i="21" s="1"/>
  <c r="G252" i="21"/>
  <c r="E252" i="21" s="1"/>
  <c r="G254" i="21"/>
  <c r="E254" i="21" s="1"/>
  <c r="G257" i="21"/>
  <c r="E257" i="21" s="1"/>
  <c r="G306" i="21"/>
  <c r="E306" i="21" s="1"/>
  <c r="G307" i="21"/>
  <c r="E307" i="21" s="1"/>
  <c r="E308" i="21"/>
  <c r="E310" i="21"/>
  <c r="E311" i="21"/>
  <c r="E313" i="21"/>
  <c r="E314" i="21"/>
  <c r="E315" i="21"/>
  <c r="E316" i="21"/>
  <c r="G320" i="21"/>
  <c r="E320" i="21" s="1"/>
  <c r="E321" i="21"/>
  <c r="G330" i="21"/>
  <c r="E330" i="21" s="1"/>
  <c r="E331" i="21"/>
  <c r="E332" i="21"/>
  <c r="E333" i="21"/>
  <c r="E334" i="21"/>
  <c r="E335" i="21"/>
  <c r="E336" i="21"/>
  <c r="E337" i="21"/>
  <c r="E338" i="21"/>
  <c r="E339" i="21"/>
  <c r="E340" i="21"/>
  <c r="E341" i="21"/>
  <c r="E342" i="21"/>
  <c r="E343" i="21"/>
  <c r="G345" i="21"/>
  <c r="E345" i="21" s="1"/>
  <c r="E346" i="21"/>
  <c r="E349" i="21"/>
  <c r="E352" i="21"/>
  <c r="E353" i="21"/>
  <c r="E354" i="21"/>
  <c r="E355" i="21"/>
  <c r="G358" i="21"/>
  <c r="E358" i="21" s="1"/>
  <c r="G360" i="21"/>
  <c r="E360" i="21" s="1"/>
  <c r="G361" i="21"/>
  <c r="E361" i="21" s="1"/>
  <c r="G362" i="21"/>
  <c r="E362" i="21" s="1"/>
  <c r="G364" i="21"/>
  <c r="E364" i="21" s="1"/>
  <c r="E365" i="21"/>
  <c r="E366" i="21"/>
  <c r="G368" i="21"/>
  <c r="E368" i="21" s="1"/>
  <c r="E369" i="21"/>
  <c r="E370" i="21"/>
  <c r="E371" i="21"/>
  <c r="E372" i="21"/>
  <c r="E373" i="21"/>
  <c r="E374" i="21"/>
  <c r="E375" i="21"/>
  <c r="E376" i="21"/>
  <c r="E377" i="21"/>
  <c r="E378" i="21"/>
  <c r="E379" i="21"/>
  <c r="E380" i="21"/>
  <c r="E381" i="21"/>
  <c r="E382" i="21"/>
  <c r="G389" i="21"/>
  <c r="E389" i="21" s="1"/>
  <c r="E390" i="21"/>
  <c r="E391" i="21"/>
  <c r="G395" i="21"/>
  <c r="E395" i="21" s="1"/>
  <c r="E396" i="21"/>
  <c r="E397" i="21"/>
  <c r="E398" i="21"/>
  <c r="E399" i="21"/>
  <c r="E400" i="21"/>
  <c r="E401" i="21"/>
  <c r="E402" i="21"/>
  <c r="E403" i="21"/>
  <c r="E404" i="21"/>
  <c r="E405" i="21"/>
  <c r="E406" i="21"/>
  <c r="E407" i="21"/>
  <c r="E408" i="21"/>
  <c r="E409" i="21"/>
  <c r="E410" i="21"/>
  <c r="G412" i="21"/>
  <c r="E412" i="21" s="1"/>
  <c r="E413" i="21"/>
  <c r="E414" i="21"/>
  <c r="E415" i="21"/>
  <c r="E416" i="21"/>
  <c r="E417" i="21"/>
  <c r="E418" i="21"/>
  <c r="E419" i="21"/>
  <c r="G421" i="21"/>
  <c r="E421" i="21" s="1"/>
  <c r="E422" i="21"/>
  <c r="E423" i="21"/>
  <c r="E424" i="21"/>
  <c r="E425" i="21"/>
  <c r="G431" i="21"/>
  <c r="E431" i="21" s="1"/>
  <c r="G432" i="21"/>
  <c r="E432" i="21" s="1"/>
  <c r="G434" i="21"/>
  <c r="E434" i="21" s="1"/>
  <c r="E435" i="21"/>
  <c r="E436" i="21"/>
  <c r="E437" i="21"/>
  <c r="E438" i="21"/>
  <c r="E439" i="21"/>
  <c r="G441" i="21"/>
  <c r="E441" i="21" s="1"/>
  <c r="E442" i="21"/>
  <c r="G443" i="21"/>
  <c r="E443" i="21" s="1"/>
  <c r="G445" i="21"/>
  <c r="E445" i="21" s="1"/>
  <c r="E446" i="21"/>
  <c r="E447" i="21"/>
  <c r="E448" i="21"/>
  <c r="G450" i="21"/>
  <c r="E450" i="21" s="1"/>
  <c r="G452" i="21"/>
  <c r="E452" i="21" s="1"/>
  <c r="G453" i="21"/>
  <c r="E453" i="21" s="1"/>
  <c r="G454" i="21"/>
  <c r="E454" i="21" s="1"/>
  <c r="G456" i="21"/>
  <c r="E456" i="21" s="1"/>
  <c r="G457" i="21"/>
  <c r="E457" i="21" s="1"/>
  <c r="G458" i="21"/>
  <c r="E458" i="21" s="1"/>
  <c r="G459" i="21"/>
  <c r="E459" i="21" s="1"/>
  <c r="G461" i="21"/>
  <c r="E461" i="21" s="1"/>
  <c r="G463" i="21"/>
  <c r="E463" i="21" s="1"/>
  <c r="G464" i="21"/>
  <c r="E464" i="21" s="1"/>
  <c r="G466" i="21"/>
  <c r="E466" i="21" s="1"/>
  <c r="G467" i="21"/>
  <c r="E467" i="21" s="1"/>
  <c r="G468" i="21"/>
  <c r="E468" i="21" s="1"/>
  <c r="G469" i="21"/>
  <c r="E469" i="21" s="1"/>
  <c r="G470" i="21"/>
  <c r="E470" i="21" s="1"/>
  <c r="G472" i="21"/>
  <c r="E472" i="21" s="1"/>
  <c r="E473" i="21"/>
  <c r="E474" i="21"/>
  <c r="E475" i="21"/>
  <c r="E476" i="21"/>
  <c r="E477" i="21"/>
  <c r="E478" i="21"/>
  <c r="E479" i="21"/>
  <c r="E480" i="21"/>
  <c r="G482" i="21"/>
  <c r="E482" i="21" s="1"/>
  <c r="E483" i="21"/>
  <c r="E484" i="21"/>
  <c r="E487" i="21"/>
  <c r="E491" i="21"/>
  <c r="E493" i="21"/>
  <c r="E494" i="21"/>
  <c r="E495" i="21"/>
  <c r="G498" i="21"/>
  <c r="E498" i="21" s="1"/>
  <c r="E499" i="21"/>
  <c r="E500" i="21"/>
  <c r="E501" i="21"/>
  <c r="E502" i="21"/>
  <c r="E503" i="21"/>
  <c r="E504" i="21"/>
  <c r="E505" i="21"/>
  <c r="E507" i="21"/>
  <c r="E508" i="21"/>
  <c r="E509" i="21"/>
  <c r="E514" i="21"/>
  <c r="E515" i="21"/>
  <c r="E516" i="21"/>
  <c r="E517" i="21"/>
  <c r="E518" i="21"/>
  <c r="G520" i="21"/>
  <c r="E520" i="21" s="1"/>
  <c r="G522" i="21"/>
  <c r="E522" i="21" s="1"/>
  <c r="G524" i="21"/>
  <c r="E524" i="21" s="1"/>
  <c r="G525" i="21"/>
  <c r="E525" i="21" s="1"/>
  <c r="G526" i="21"/>
  <c r="E526" i="21" s="1"/>
  <c r="G528" i="21"/>
  <c r="E528" i="21" s="1"/>
  <c r="E529" i="21"/>
  <c r="E530" i="21"/>
  <c r="E531" i="21"/>
  <c r="E532" i="21"/>
  <c r="G536" i="21"/>
  <c r="E536" i="21" s="1"/>
  <c r="G537" i="21"/>
  <c r="E537" i="21" s="1"/>
  <c r="G539" i="21"/>
  <c r="E539" i="21" s="1"/>
  <c r="E543" i="21"/>
  <c r="E544" i="21"/>
  <c r="E547" i="21"/>
  <c r="E550" i="21"/>
  <c r="E551" i="21"/>
  <c r="E552" i="21"/>
  <c r="E553" i="21"/>
  <c r="E554" i="21"/>
  <c r="E555" i="21"/>
  <c r="E556" i="21"/>
  <c r="E557" i="21"/>
  <c r="E558" i="21"/>
  <c r="E559" i="21"/>
  <c r="E560" i="21"/>
  <c r="E561" i="21"/>
  <c r="E563" i="21"/>
  <c r="E564" i="21"/>
  <c r="E565" i="21"/>
  <c r="E566" i="21"/>
  <c r="E567" i="21"/>
  <c r="E568" i="21"/>
  <c r="E569" i="21"/>
  <c r="E570" i="21"/>
  <c r="E571" i="21"/>
  <c r="E572" i="21"/>
  <c r="E573" i="21"/>
  <c r="E574" i="21"/>
  <c r="E581" i="21"/>
  <c r="G583" i="21"/>
  <c r="E583" i="21" s="1"/>
  <c r="E584" i="21"/>
  <c r="E585" i="21"/>
  <c r="E587" i="21"/>
  <c r="E588" i="21"/>
  <c r="E589" i="21"/>
  <c r="E590" i="21"/>
  <c r="E591" i="21"/>
  <c r="E592" i="21"/>
  <c r="E593" i="21"/>
  <c r="E594" i="21"/>
  <c r="E595" i="21"/>
  <c r="E596" i="21"/>
  <c r="E597" i="21"/>
  <c r="G602" i="21"/>
  <c r="E602" i="21" s="1"/>
  <c r="E603" i="21"/>
  <c r="E604" i="21"/>
  <c r="E606" i="21"/>
  <c r="G609" i="21"/>
  <c r="E609" i="21" s="1"/>
  <c r="G610" i="21"/>
  <c r="E610" i="21" s="1"/>
  <c r="G613" i="21"/>
  <c r="E613" i="21" s="1"/>
  <c r="G615" i="21"/>
  <c r="E615" i="21" s="1"/>
  <c r="G616" i="21"/>
  <c r="E616" i="21" s="1"/>
  <c r="G618" i="21"/>
  <c r="E618" i="21" s="1"/>
  <c r="G619" i="21"/>
  <c r="E619" i="21" s="1"/>
  <c r="G621" i="21"/>
  <c r="E621" i="21" s="1"/>
  <c r="G622" i="21"/>
  <c r="E622" i="21" s="1"/>
  <c r="G624" i="21"/>
  <c r="E624" i="21" s="1"/>
  <c r="G627" i="21"/>
  <c r="E627" i="21" s="1"/>
  <c r="E628" i="21"/>
  <c r="E629" i="21"/>
  <c r="E630" i="21"/>
  <c r="E631" i="21"/>
  <c r="E632" i="21"/>
  <c r="E633" i="21"/>
  <c r="G635" i="21"/>
  <c r="E635" i="21" s="1"/>
  <c r="E636" i="21"/>
  <c r="E637" i="21"/>
  <c r="E638" i="21"/>
  <c r="E639" i="21"/>
  <c r="G645" i="21"/>
  <c r="E645" i="21" s="1"/>
  <c r="E646" i="21"/>
  <c r="E647" i="21"/>
  <c r="E648" i="21"/>
  <c r="E650" i="21"/>
  <c r="E651" i="21"/>
  <c r="E652" i="21"/>
  <c r="G654" i="21"/>
  <c r="E654" i="21" s="1"/>
  <c r="E655" i="21"/>
  <c r="E656" i="21"/>
  <c r="E657" i="21"/>
  <c r="G660" i="21"/>
  <c r="E660" i="21" s="1"/>
  <c r="E661" i="21"/>
  <c r="E662" i="21"/>
  <c r="E663" i="21"/>
  <c r="E664" i="21"/>
  <c r="E666" i="21"/>
  <c r="E667" i="21"/>
  <c r="E668" i="21"/>
  <c r="E669" i="21"/>
  <c r="G672" i="21"/>
  <c r="E672" i="21" s="1"/>
  <c r="G673" i="21"/>
  <c r="E673" i="21" s="1"/>
  <c r="G675" i="21"/>
  <c r="E675" i="21" s="1"/>
  <c r="G676" i="21"/>
  <c r="E676" i="21" s="1"/>
  <c r="G678" i="21"/>
  <c r="E678" i="21" s="1"/>
  <c r="E679" i="21"/>
  <c r="E680" i="21"/>
  <c r="G682" i="21"/>
  <c r="E682" i="21" s="1"/>
  <c r="E684" i="21"/>
  <c r="E685" i="21"/>
  <c r="G687" i="21"/>
  <c r="E687" i="21" s="1"/>
  <c r="E688" i="21"/>
  <c r="E690" i="21"/>
  <c r="E691" i="21"/>
  <c r="G693" i="21"/>
  <c r="E693" i="21" s="1"/>
  <c r="E694" i="21"/>
  <c r="E695" i="21"/>
  <c r="E696" i="21"/>
  <c r="E698" i="21"/>
  <c r="E699" i="21"/>
  <c r="G703" i="21"/>
  <c r="E703" i="21" s="1"/>
  <c r="E704" i="21"/>
  <c r="E705" i="21"/>
  <c r="E706" i="21"/>
  <c r="E707" i="21"/>
  <c r="G712" i="21"/>
  <c r="E712" i="21" s="1"/>
  <c r="E713" i="21"/>
  <c r="E714" i="21"/>
  <c r="E715" i="21"/>
  <c r="E716" i="21"/>
  <c r="E717" i="21"/>
  <c r="E718" i="21"/>
  <c r="E719" i="21"/>
  <c r="E720" i="21"/>
  <c r="G722" i="21"/>
  <c r="E722" i="21" s="1"/>
  <c r="E723" i="21"/>
  <c r="E724" i="21"/>
  <c r="E725" i="21"/>
  <c r="E726" i="21"/>
  <c r="E727" i="21"/>
  <c r="E728" i="21"/>
  <c r="E729" i="21"/>
  <c r="E730" i="21"/>
  <c r="E731" i="21"/>
  <c r="E732" i="21"/>
  <c r="G734" i="21"/>
  <c r="E734" i="21" s="1"/>
  <c r="E735" i="21"/>
  <c r="E736" i="21"/>
  <c r="E737" i="21"/>
  <c r="G739" i="21"/>
  <c r="E739" i="21" s="1"/>
  <c r="E740" i="21"/>
  <c r="E741" i="21"/>
  <c r="E742" i="21"/>
  <c r="E743" i="21"/>
  <c r="E744" i="21"/>
  <c r="E745" i="21"/>
  <c r="E746" i="21"/>
  <c r="E747" i="21"/>
  <c r="E748" i="21"/>
  <c r="G750" i="21"/>
  <c r="E750" i="21" s="1"/>
  <c r="E751" i="21"/>
  <c r="E752" i="21"/>
  <c r="E753" i="21"/>
  <c r="E754" i="21"/>
  <c r="E755" i="21"/>
  <c r="E756" i="21"/>
  <c r="E757" i="21"/>
  <c r="E758" i="21"/>
  <c r="E759" i="21"/>
  <c r="E760" i="21"/>
  <c r="G762" i="21"/>
  <c r="E762" i="21" s="1"/>
  <c r="E763" i="21"/>
  <c r="E764" i="21"/>
  <c r="E765" i="21"/>
  <c r="E766" i="21"/>
  <c r="E767" i="21"/>
  <c r="E768" i="21"/>
  <c r="E769" i="21"/>
  <c r="E770" i="21"/>
  <c r="E771" i="21"/>
  <c r="E772" i="21"/>
  <c r="E773" i="21"/>
  <c r="E774" i="21"/>
  <c r="E775" i="21"/>
  <c r="E776" i="21"/>
  <c r="E777" i="21"/>
  <c r="E778" i="21"/>
  <c r="E779" i="21"/>
  <c r="G781" i="21"/>
  <c r="E781" i="21" s="1"/>
  <c r="E782" i="21"/>
  <c r="E783" i="21"/>
  <c r="E784" i="21"/>
  <c r="E785" i="21"/>
  <c r="E786" i="21"/>
  <c r="G788" i="21"/>
  <c r="E788" i="21" s="1"/>
  <c r="E789" i="21"/>
  <c r="E790" i="21"/>
  <c r="E791" i="21"/>
  <c r="E792" i="21"/>
  <c r="E793" i="21"/>
  <c r="G795" i="21"/>
  <c r="E795" i="21" s="1"/>
  <c r="E796" i="21"/>
  <c r="E797" i="21"/>
  <c r="E798" i="21"/>
  <c r="G800" i="21"/>
  <c r="E800" i="21" s="1"/>
  <c r="E801" i="21"/>
  <c r="E802" i="21"/>
  <c r="E803" i="21"/>
  <c r="E804" i="21"/>
  <c r="E805" i="21"/>
  <c r="G807" i="21"/>
  <c r="E807" i="21" s="1"/>
  <c r="E808" i="21"/>
  <c r="E809" i="21"/>
  <c r="E810" i="21"/>
  <c r="E811" i="21"/>
  <c r="E812" i="21"/>
  <c r="E813" i="21"/>
  <c r="G815" i="21"/>
  <c r="E815" i="21" s="1"/>
  <c r="E816" i="21"/>
  <c r="E817" i="21"/>
  <c r="E818" i="21"/>
  <c r="E819" i="21"/>
  <c r="E820" i="21"/>
  <c r="G827" i="21"/>
  <c r="E827" i="21" s="1"/>
  <c r="E828" i="21"/>
  <c r="E829" i="21"/>
  <c r="E830" i="21"/>
  <c r="G832" i="21"/>
  <c r="E832" i="21" s="1"/>
  <c r="E833" i="21"/>
  <c r="E834" i="21"/>
  <c r="E835" i="21"/>
  <c r="E836" i="21"/>
  <c r="E837" i="21"/>
  <c r="G843" i="21"/>
  <c r="E843" i="21" s="1"/>
  <c r="E844" i="21"/>
  <c r="G846" i="21"/>
  <c r="E846" i="21" s="1"/>
  <c r="E847" i="21"/>
  <c r="E848" i="21"/>
  <c r="E849" i="21"/>
  <c r="E850" i="21"/>
  <c r="E851" i="21"/>
  <c r="G853" i="21"/>
  <c r="E853" i="21" s="1"/>
  <c r="E854" i="21"/>
  <c r="E855" i="21"/>
  <c r="E856" i="21"/>
  <c r="E857" i="21"/>
  <c r="E858" i="21"/>
  <c r="G865" i="21"/>
  <c r="E865" i="21" s="1"/>
  <c r="E866" i="21"/>
  <c r="E867" i="21"/>
  <c r="E868" i="21"/>
  <c r="E869" i="21"/>
  <c r="E870" i="21"/>
  <c r="E871" i="21"/>
  <c r="E872" i="21"/>
  <c r="G874" i="21"/>
  <c r="E874" i="21" s="1"/>
  <c r="E875" i="21"/>
  <c r="E876" i="21"/>
  <c r="E877" i="21"/>
  <c r="E878" i="21"/>
  <c r="G880" i="21"/>
  <c r="E880" i="21" s="1"/>
  <c r="E881" i="21"/>
  <c r="E882" i="21"/>
  <c r="E883" i="21"/>
  <c r="E884" i="21"/>
  <c r="E885" i="21"/>
  <c r="G887" i="21"/>
  <c r="E887" i="21" s="1"/>
  <c r="G890" i="21"/>
  <c r="E890" i="21" s="1"/>
  <c r="E891" i="21"/>
  <c r="E892" i="21"/>
  <c r="E893" i="21"/>
  <c r="G895" i="21"/>
  <c r="E895" i="21" s="1"/>
  <c r="E896" i="21"/>
  <c r="E897" i="21"/>
  <c r="E898" i="21"/>
  <c r="E899" i="21"/>
  <c r="E900" i="21"/>
  <c r="E901" i="21"/>
  <c r="E902" i="21"/>
  <c r="E903" i="21"/>
  <c r="E904" i="21"/>
  <c r="E905" i="21"/>
  <c r="G907" i="21"/>
  <c r="E907" i="21" s="1"/>
  <c r="G908" i="21"/>
  <c r="E908" i="21" s="1"/>
  <c r="G910" i="21"/>
  <c r="E910" i="21" s="1"/>
  <c r="G911" i="21"/>
  <c r="E911" i="21" s="1"/>
  <c r="G913" i="21"/>
  <c r="E913" i="21" s="1"/>
  <c r="E914" i="21"/>
  <c r="E915" i="21"/>
  <c r="G917" i="21"/>
  <c r="E917" i="21" s="1"/>
  <c r="E918" i="21"/>
  <c r="E919" i="21"/>
  <c r="E920" i="21"/>
  <c r="E921" i="21"/>
  <c r="E922" i="21"/>
  <c r="G924" i="21"/>
  <c r="E924" i="21" s="1"/>
  <c r="E925" i="21"/>
  <c r="E926" i="21"/>
  <c r="E927" i="21"/>
  <c r="E928" i="21"/>
  <c r="E929" i="21"/>
  <c r="E930" i="21"/>
  <c r="E931" i="21"/>
  <c r="E932" i="21"/>
  <c r="G934" i="21"/>
  <c r="E934" i="21" s="1"/>
  <c r="E935" i="21"/>
  <c r="E936" i="21"/>
  <c r="E937" i="21"/>
  <c r="G939" i="21"/>
  <c r="E939" i="21" s="1"/>
  <c r="E940" i="21"/>
  <c r="E941" i="21"/>
  <c r="E942" i="21"/>
  <c r="E943" i="21"/>
  <c r="E944" i="21"/>
  <c r="G947" i="21"/>
  <c r="E947" i="21" s="1"/>
  <c r="G948" i="21"/>
  <c r="E948" i="21" s="1"/>
  <c r="G951" i="21"/>
  <c r="E951" i="21" s="1"/>
  <c r="E952" i="21"/>
  <c r="E953" i="21"/>
  <c r="E954" i="21"/>
  <c r="E955" i="21"/>
  <c r="E956" i="21"/>
  <c r="E957" i="21"/>
  <c r="E958" i="21"/>
  <c r="E959" i="21"/>
  <c r="G961" i="21"/>
  <c r="E961" i="21" s="1"/>
  <c r="E962" i="21"/>
  <c r="E963" i="21"/>
  <c r="G965" i="21"/>
  <c r="E965" i="21" s="1"/>
  <c r="G966" i="21"/>
  <c r="E966" i="21" s="1"/>
  <c r="G969" i="21"/>
  <c r="E969" i="21" s="1"/>
  <c r="E970" i="21"/>
  <c r="E971" i="21"/>
  <c r="E972" i="21"/>
  <c r="E973" i="21"/>
  <c r="E974" i="21"/>
  <c r="E975" i="21"/>
  <c r="E976" i="21"/>
  <c r="E977" i="21"/>
  <c r="E978" i="21"/>
  <c r="E979" i="21"/>
  <c r="E980" i="21"/>
  <c r="E981" i="21"/>
  <c r="G984" i="21"/>
  <c r="E984" i="21" s="1"/>
  <c r="E985" i="21"/>
  <c r="E986" i="21"/>
  <c r="E987" i="21"/>
  <c r="G989" i="21"/>
  <c r="E989" i="21" s="1"/>
  <c r="E990" i="21"/>
  <c r="G992" i="21"/>
  <c r="E992" i="21" s="1"/>
  <c r="E993" i="21"/>
  <c r="E994" i="21"/>
  <c r="E995" i="21"/>
  <c r="E996" i="21"/>
  <c r="E997" i="21"/>
  <c r="E998" i="21"/>
  <c r="E999" i="21"/>
  <c r="E1000" i="21"/>
  <c r="E1001" i="21"/>
  <c r="E1002" i="21"/>
  <c r="E1003" i="21"/>
  <c r="E1004" i="21"/>
  <c r="G1006" i="21"/>
  <c r="E1006" i="21" s="1"/>
  <c r="G1007" i="21"/>
  <c r="E1007" i="21" s="1"/>
  <c r="G1009" i="21"/>
  <c r="E1009" i="21" s="1"/>
  <c r="E1010" i="21"/>
  <c r="E1011" i="21"/>
  <c r="E1012" i="21"/>
  <c r="E1013" i="21"/>
  <c r="E1014" i="21"/>
  <c r="E1015" i="21"/>
  <c r="E1016" i="21"/>
  <c r="E1017" i="21"/>
  <c r="E1018" i="21"/>
  <c r="E1019" i="21"/>
  <c r="E1020" i="21"/>
  <c r="E1021" i="21"/>
  <c r="G1024" i="21"/>
  <c r="E1024" i="21" s="1"/>
  <c r="E1025" i="21"/>
  <c r="E1026" i="21"/>
  <c r="E1027" i="21"/>
  <c r="E1028" i="21"/>
  <c r="E1029" i="21"/>
  <c r="E1030" i="21"/>
  <c r="E1031" i="21"/>
  <c r="E1032" i="21"/>
  <c r="G1034" i="21"/>
  <c r="E1034" i="21" s="1"/>
  <c r="E1035" i="21"/>
  <c r="E1036" i="21"/>
  <c r="E1037" i="21"/>
  <c r="E1038" i="21"/>
  <c r="E1039" i="21"/>
  <c r="G1041" i="21"/>
  <c r="E1041" i="21" s="1"/>
  <c r="E1042" i="21"/>
  <c r="E1043" i="21"/>
  <c r="E1044" i="21"/>
  <c r="E1045" i="21"/>
  <c r="E1046" i="21"/>
  <c r="E1047" i="21"/>
  <c r="E1048" i="21"/>
  <c r="G1050" i="21"/>
  <c r="E1050" i="21" s="1"/>
  <c r="E1051" i="21"/>
  <c r="E1052" i="21"/>
  <c r="E1053" i="21"/>
  <c r="E1054" i="21"/>
  <c r="G1056" i="21"/>
  <c r="E1056" i="21" s="1"/>
  <c r="E1057" i="21"/>
  <c r="E1058" i="21"/>
  <c r="E1059" i="21"/>
  <c r="E1060" i="21"/>
  <c r="G1067" i="21"/>
  <c r="E1067" i="21" s="1"/>
  <c r="E1068" i="21"/>
  <c r="E1069" i="21"/>
  <c r="G1071" i="21"/>
  <c r="E1071" i="21" s="1"/>
  <c r="E1072" i="21"/>
  <c r="E1073" i="21"/>
  <c r="G1076" i="21"/>
  <c r="E1076" i="21" s="1"/>
  <c r="E1077" i="21"/>
  <c r="E1078" i="21"/>
  <c r="G1080" i="21"/>
  <c r="E1080" i="21" s="1"/>
  <c r="E1081" i="21"/>
  <c r="E1082" i="21"/>
  <c r="G1087" i="21"/>
  <c r="E1087" i="21" s="1"/>
  <c r="E1088" i="21"/>
  <c r="E1089" i="21"/>
  <c r="E1090" i="21"/>
  <c r="G1092" i="21"/>
  <c r="E1092" i="21" s="1"/>
  <c r="E1093" i="21"/>
  <c r="E1094" i="21"/>
  <c r="E1095" i="21"/>
  <c r="E1096" i="21"/>
  <c r="E1097" i="21"/>
  <c r="G1102" i="21"/>
  <c r="E1102" i="21" s="1"/>
  <c r="E1103" i="21"/>
  <c r="E1104" i="21"/>
  <c r="G1109" i="21"/>
  <c r="G1110" i="21"/>
  <c r="G1111" i="21"/>
  <c r="E1111" i="21" s="1"/>
  <c r="E1112" i="21"/>
  <c r="E1113" i="21"/>
  <c r="E1114" i="21"/>
  <c r="G1116" i="21"/>
  <c r="E1116" i="21" s="1"/>
  <c r="E1117" i="21"/>
  <c r="E1118" i="21"/>
  <c r="E1119" i="21"/>
  <c r="G1121" i="21"/>
  <c r="E1121" i="21" s="1"/>
  <c r="E1122" i="21"/>
  <c r="E1123" i="21"/>
  <c r="E1124" i="21"/>
  <c r="G1126" i="21"/>
  <c r="E1126" i="21" s="1"/>
  <c r="E1127" i="21"/>
  <c r="E1128" i="21"/>
  <c r="E1129" i="21"/>
  <c r="E1130" i="21"/>
  <c r="E1131" i="21"/>
  <c r="E1132" i="21"/>
  <c r="E1133" i="21"/>
  <c r="G1135" i="21"/>
  <c r="E1135" i="21" s="1"/>
  <c r="E1136" i="21"/>
  <c r="E1137" i="21"/>
  <c r="E1138" i="21"/>
  <c r="E1139" i="21"/>
  <c r="E1140" i="21"/>
  <c r="E1141" i="21"/>
  <c r="E1142" i="21"/>
  <c r="E1143" i="21"/>
  <c r="E1144" i="21"/>
  <c r="E1145" i="21"/>
  <c r="E1146" i="21"/>
  <c r="G1148" i="21"/>
  <c r="E1148" i="21" s="1"/>
  <c r="G1149" i="21"/>
  <c r="E1149" i="21" s="1"/>
  <c r="G1151" i="21"/>
  <c r="E1151" i="21" s="1"/>
  <c r="G1153" i="21"/>
  <c r="E1153" i="21" s="1"/>
  <c r="E1154" i="21"/>
  <c r="E1155" i="21"/>
  <c r="E1156" i="21"/>
  <c r="E1157" i="21"/>
  <c r="E1158" i="21"/>
  <c r="E1159" i="21"/>
  <c r="G1161" i="21"/>
  <c r="E1161" i="21" s="1"/>
  <c r="G1164" i="21"/>
  <c r="E1164" i="21" s="1"/>
  <c r="E1165" i="21"/>
  <c r="E1166" i="21"/>
  <c r="E1167" i="21"/>
  <c r="E1168" i="21"/>
  <c r="E1169" i="21"/>
  <c r="E1170" i="21"/>
  <c r="E1171" i="21"/>
  <c r="E1172" i="21"/>
  <c r="E1173" i="21"/>
  <c r="E1174" i="21"/>
  <c r="E1175" i="21"/>
  <c r="G1177" i="21"/>
  <c r="E1177" i="21" s="1"/>
  <c r="E1178" i="21"/>
  <c r="E1179" i="21"/>
  <c r="E1180" i="21"/>
  <c r="E1181" i="21"/>
  <c r="E1182" i="21"/>
  <c r="E1183" i="21"/>
  <c r="E1184" i="21"/>
  <c r="E1185" i="21"/>
  <c r="E1186" i="21"/>
  <c r="E1187" i="21"/>
  <c r="E1188" i="21"/>
  <c r="G1190" i="21"/>
  <c r="E1190" i="21" s="1"/>
  <c r="E1191" i="21"/>
  <c r="E1192" i="21"/>
  <c r="E1193" i="21"/>
  <c r="E1194" i="21"/>
  <c r="E1195" i="21"/>
  <c r="E1196" i="21"/>
  <c r="E1197" i="21"/>
  <c r="E1198" i="21"/>
  <c r="E1199" i="21"/>
  <c r="E1200" i="21"/>
  <c r="E1201" i="21"/>
  <c r="G1203" i="21"/>
  <c r="E1203" i="21" s="1"/>
  <c r="G1205" i="21"/>
  <c r="E1205" i="21" s="1"/>
  <c r="E1206" i="21"/>
  <c r="E1207" i="21"/>
  <c r="E1208" i="21"/>
  <c r="E1209" i="21"/>
  <c r="E1210" i="21"/>
  <c r="E1211" i="21"/>
  <c r="G1213" i="21"/>
  <c r="E1213" i="21" s="1"/>
  <c r="G1215" i="21"/>
  <c r="E1215" i="21" s="1"/>
  <c r="E1216" i="21"/>
  <c r="E1217" i="21"/>
  <c r="E1218" i="21"/>
  <c r="E1219" i="21"/>
  <c r="E1220" i="21"/>
  <c r="E1221" i="21"/>
  <c r="G1223" i="21"/>
  <c r="E1223" i="21" s="1"/>
  <c r="E1224" i="21"/>
  <c r="E1225" i="21"/>
  <c r="G1227" i="21"/>
  <c r="E1227" i="21" s="1"/>
  <c r="E1228" i="21"/>
  <c r="E1229" i="21"/>
  <c r="G1231" i="21"/>
  <c r="E1231" i="21" s="1"/>
  <c r="G1232" i="21"/>
  <c r="E1232" i="21" s="1"/>
  <c r="G1238" i="21"/>
  <c r="E1238" i="21" s="1"/>
  <c r="E1239" i="21"/>
  <c r="E1240" i="21"/>
  <c r="E1241" i="21"/>
  <c r="E1242" i="21"/>
  <c r="E1243" i="21"/>
  <c r="E1244" i="21"/>
  <c r="G1247" i="21"/>
  <c r="E1247" i="21" s="1"/>
  <c r="G1248" i="21"/>
  <c r="E1248" i="21" s="1"/>
  <c r="G1250" i="21"/>
  <c r="E1250" i="21" s="1"/>
  <c r="G1251" i="21"/>
  <c r="E1251" i="21" s="1"/>
  <c r="G1252" i="21"/>
  <c r="E1252" i="21" s="1"/>
  <c r="G1254" i="21"/>
  <c r="E1254" i="21" s="1"/>
  <c r="G1255" i="21"/>
  <c r="E1255" i="21" s="1"/>
  <c r="G1256" i="21"/>
  <c r="E1256" i="21" s="1"/>
  <c r="G1258" i="21"/>
  <c r="E1258" i="21" s="1"/>
  <c r="G1259" i="21"/>
  <c r="E1259" i="21" s="1"/>
  <c r="G1260" i="21"/>
  <c r="E1260" i="21" s="1"/>
  <c r="G1264" i="21"/>
  <c r="E1264" i="21" s="1"/>
  <c r="G1265" i="21"/>
  <c r="E1265" i="21" s="1"/>
  <c r="G1267" i="21"/>
  <c r="E1267" i="21" s="1"/>
  <c r="G1268" i="21"/>
  <c r="E1268" i="21" s="1"/>
  <c r="G1269" i="21"/>
  <c r="E1269" i="21" s="1"/>
  <c r="G1271" i="21"/>
  <c r="E1271" i="21" s="1"/>
  <c r="G1272" i="21"/>
  <c r="E1272" i="21" s="1"/>
  <c r="G1274" i="21"/>
  <c r="E1274" i="21" s="1"/>
  <c r="E1275" i="21"/>
  <c r="E1276" i="21"/>
  <c r="E1277" i="21"/>
  <c r="E1278" i="21"/>
  <c r="E1279" i="21"/>
  <c r="G1281" i="21"/>
  <c r="E1281" i="21" s="1"/>
  <c r="E1282" i="21"/>
  <c r="E1283" i="21"/>
  <c r="E1284" i="21"/>
  <c r="E1285" i="21"/>
  <c r="E1286" i="21"/>
  <c r="G1288" i="21"/>
  <c r="E1288" i="21" s="1"/>
  <c r="E1289" i="21"/>
  <c r="E1290" i="21"/>
  <c r="E1291" i="21"/>
  <c r="E1292" i="21"/>
  <c r="E1293" i="21"/>
  <c r="G1295" i="21"/>
  <c r="E1295" i="21" s="1"/>
  <c r="E1296" i="21"/>
  <c r="G1298" i="21"/>
  <c r="E1298" i="21" s="1"/>
  <c r="E1299" i="21"/>
  <c r="E1300" i="21"/>
  <c r="E1301" i="21"/>
  <c r="E1302" i="21"/>
  <c r="E1303" i="21"/>
  <c r="E1304" i="21"/>
  <c r="E1305" i="21"/>
  <c r="E1306" i="21"/>
  <c r="E1307" i="21"/>
  <c r="G1311" i="21"/>
  <c r="E1311" i="21" s="1"/>
  <c r="E1312" i="21"/>
  <c r="E1313" i="21"/>
  <c r="G1315" i="21"/>
  <c r="E1315" i="21" s="1"/>
  <c r="E1316" i="21"/>
  <c r="E1317" i="21"/>
  <c r="E1318" i="21"/>
  <c r="G1320" i="21"/>
  <c r="E1320" i="21" s="1"/>
  <c r="E1321" i="21"/>
  <c r="E1322" i="21"/>
  <c r="G1324" i="21"/>
  <c r="E1324" i="21" s="1"/>
  <c r="E1325" i="21"/>
  <c r="E1326" i="21"/>
  <c r="E1327" i="21"/>
  <c r="E1328" i="21"/>
  <c r="E1329" i="21"/>
  <c r="E1330" i="21"/>
  <c r="E1331" i="21"/>
  <c r="E1332" i="21"/>
  <c r="E1334" i="21"/>
  <c r="E1335" i="21"/>
  <c r="G1339" i="21"/>
  <c r="E1339" i="21" s="1"/>
  <c r="E1340" i="21"/>
  <c r="G1342" i="21"/>
  <c r="E1342" i="21" s="1"/>
  <c r="G1343" i="21"/>
  <c r="E1343" i="21" s="1"/>
  <c r="G1345" i="21"/>
  <c r="E1345" i="21" s="1"/>
  <c r="G1346" i="21"/>
  <c r="E1346" i="21" s="1"/>
  <c r="G1348" i="21"/>
  <c r="E1348" i="21" s="1"/>
  <c r="G1349" i="21"/>
  <c r="E1349" i="21" s="1"/>
  <c r="G1351" i="21"/>
  <c r="E1351" i="21" s="1"/>
  <c r="G1380" i="21"/>
  <c r="G1382" i="21"/>
  <c r="E1382" i="21" s="1"/>
  <c r="E1383" i="21"/>
  <c r="E1384" i="21"/>
  <c r="G1386" i="21"/>
  <c r="E1386" i="21" s="1"/>
  <c r="E1387" i="21"/>
  <c r="E1388" i="21"/>
  <c r="G1390" i="21"/>
  <c r="E1390" i="21" s="1"/>
  <c r="E1391" i="21"/>
  <c r="E1392" i="21"/>
  <c r="G1395" i="21"/>
  <c r="E1395" i="21" s="1"/>
  <c r="E1396" i="21"/>
  <c r="E1397" i="21"/>
  <c r="G1399" i="21"/>
  <c r="E1399" i="21" s="1"/>
  <c r="E1400" i="21"/>
  <c r="E1401" i="21"/>
  <c r="G1403" i="21"/>
  <c r="E1403" i="21" s="1"/>
  <c r="E1404" i="21"/>
  <c r="E1405" i="21"/>
  <c r="G1407" i="21"/>
  <c r="E1407" i="21" s="1"/>
  <c r="E1408" i="21"/>
  <c r="E1409" i="21"/>
  <c r="E1410" i="21"/>
  <c r="E1411" i="21"/>
  <c r="E1412" i="21"/>
  <c r="G1414" i="21"/>
  <c r="E1414" i="21" s="1"/>
  <c r="E1415" i="21"/>
  <c r="E1416" i="21"/>
  <c r="G1418" i="21"/>
  <c r="E1418" i="21" s="1"/>
  <c r="E1419" i="21"/>
  <c r="E1420" i="21"/>
  <c r="G1424" i="21"/>
  <c r="E1424" i="21" s="1"/>
  <c r="G1425" i="21"/>
  <c r="E1425" i="21" s="1"/>
  <c r="G1427" i="21"/>
  <c r="E1427" i="21" s="1"/>
  <c r="E1428" i="21"/>
  <c r="E1429" i="21"/>
  <c r="E1430" i="21"/>
  <c r="G1432" i="21"/>
  <c r="E1432" i="21" s="1"/>
  <c r="E1433" i="21"/>
  <c r="E1434" i="21"/>
  <c r="E1435" i="21"/>
  <c r="E1436" i="21"/>
  <c r="E1437" i="21"/>
  <c r="G1440" i="21"/>
  <c r="E1440" i="21" s="1"/>
  <c r="E1441" i="21"/>
  <c r="E1442" i="21"/>
  <c r="E1443" i="21"/>
  <c r="G1445" i="21"/>
  <c r="E1445" i="21" s="1"/>
  <c r="E1446" i="21"/>
  <c r="E1447" i="21"/>
  <c r="E1448" i="21"/>
  <c r="G1450" i="21"/>
  <c r="E1450" i="21" s="1"/>
  <c r="E1451" i="21"/>
  <c r="E1452" i="21"/>
  <c r="E1453" i="21"/>
  <c r="G1455" i="21"/>
  <c r="E1455" i="21" s="1"/>
  <c r="E1456" i="21"/>
  <c r="E1457" i="21"/>
  <c r="E1458" i="21"/>
  <c r="E1459" i="21"/>
  <c r="E1460" i="21"/>
  <c r="G1463" i="21"/>
  <c r="E1463" i="21" s="1"/>
  <c r="E1464" i="21"/>
  <c r="E1465" i="21"/>
  <c r="E1466" i="21"/>
  <c r="E1467" i="21"/>
  <c r="E1468" i="21"/>
  <c r="E1469" i="21"/>
  <c r="E1470" i="21"/>
  <c r="E1471" i="21"/>
  <c r="G1473" i="21"/>
  <c r="E1473" i="21" s="1"/>
  <c r="E1474" i="21"/>
  <c r="G1476" i="21"/>
  <c r="E1476" i="21" s="1"/>
  <c r="E1477" i="21"/>
  <c r="E1478" i="21"/>
  <c r="E1479" i="21"/>
  <c r="E1480" i="21"/>
  <c r="E1481" i="21"/>
  <c r="E1482" i="21"/>
  <c r="E1483" i="21"/>
  <c r="E1484" i="21"/>
  <c r="E1485" i="21"/>
  <c r="E1486" i="21"/>
  <c r="E1487" i="21"/>
  <c r="E1488" i="21"/>
  <c r="E1489" i="21"/>
  <c r="E1490" i="21"/>
  <c r="E1491" i="21"/>
  <c r="E1492" i="21"/>
  <c r="E1493" i="21"/>
  <c r="E1494" i="21"/>
  <c r="E1495" i="21"/>
  <c r="E1496" i="21"/>
  <c r="E1497" i="21"/>
  <c r="E1500" i="21"/>
  <c r="E1501" i="21"/>
  <c r="E1502" i="21"/>
  <c r="G1504" i="21"/>
  <c r="E1504" i="21" s="1"/>
  <c r="E1505" i="21"/>
  <c r="E1506" i="21"/>
  <c r="E1507" i="21"/>
  <c r="E1512" i="21"/>
  <c r="G1518" i="21"/>
  <c r="E1518" i="21" s="1"/>
  <c r="E1519" i="21"/>
  <c r="E1520" i="21"/>
  <c r="G1522" i="21"/>
  <c r="E1522" i="21" s="1"/>
  <c r="E1523" i="21"/>
  <c r="E1524" i="21"/>
  <c r="E1525" i="21"/>
  <c r="G1529" i="21"/>
  <c r="E1529" i="21" s="1"/>
  <c r="G1530" i="21"/>
  <c r="E1530" i="21" s="1"/>
  <c r="G1532" i="21"/>
  <c r="E1532" i="21" s="1"/>
  <c r="G1533" i="21"/>
  <c r="E1533" i="21" s="1"/>
  <c r="G1535" i="21"/>
  <c r="E1535" i="21" s="1"/>
  <c r="G1536" i="21"/>
  <c r="E1536" i="21" s="1"/>
  <c r="G1538" i="21"/>
  <c r="E1538" i="21" s="1"/>
  <c r="E1539" i="21"/>
  <c r="E1540" i="21"/>
  <c r="E1541" i="21"/>
  <c r="G1543" i="21"/>
  <c r="E1543" i="21" s="1"/>
  <c r="E1544" i="21"/>
  <c r="E1545" i="21"/>
  <c r="E1546" i="21"/>
  <c r="E1547" i="21"/>
  <c r="E1548" i="21"/>
  <c r="E1549" i="21"/>
  <c r="E1550" i="21"/>
  <c r="G1552" i="21"/>
  <c r="E1552" i="21" s="1"/>
  <c r="E1553" i="21"/>
  <c r="E1554" i="21"/>
  <c r="G1556" i="21"/>
  <c r="E1556" i="21" s="1"/>
  <c r="E1557" i="21"/>
  <c r="E1558" i="21"/>
  <c r="E1559" i="21"/>
  <c r="G1561" i="21"/>
  <c r="E1561" i="21" s="1"/>
  <c r="E1562" i="21"/>
  <c r="E1563" i="21"/>
  <c r="E1564" i="21"/>
  <c r="G1566" i="21"/>
  <c r="E1566" i="21" s="1"/>
  <c r="E1567" i="21"/>
  <c r="E1568" i="21"/>
  <c r="E1569" i="21"/>
  <c r="E1570" i="21"/>
  <c r="G1572" i="21"/>
  <c r="E1572" i="21" s="1"/>
  <c r="E1573" i="21"/>
  <c r="E1574" i="21"/>
  <c r="E1575" i="21"/>
  <c r="E1576" i="21"/>
  <c r="E1577" i="21"/>
  <c r="E1578" i="21"/>
  <c r="G1580" i="21"/>
  <c r="E1580" i="21" s="1"/>
  <c r="E1581" i="21"/>
  <c r="E1582" i="21"/>
  <c r="E1583" i="21"/>
  <c r="E1584" i="21"/>
  <c r="E1585" i="21"/>
  <c r="E1586" i="21"/>
  <c r="G1588" i="21"/>
  <c r="E1588" i="21" s="1"/>
  <c r="E1589" i="21"/>
  <c r="E1590" i="21"/>
  <c r="E1592" i="21"/>
  <c r="E1593" i="21"/>
  <c r="E1594" i="21"/>
  <c r="E1595" i="21"/>
  <c r="E1596" i="21"/>
  <c r="G1598" i="21"/>
  <c r="E1598" i="21" s="1"/>
  <c r="E1599" i="21"/>
  <c r="E1600" i="21"/>
  <c r="E1601" i="21"/>
  <c r="G1608" i="21"/>
  <c r="E1608" i="21" s="1"/>
  <c r="E1609" i="21"/>
  <c r="E1610" i="21"/>
  <c r="G1612" i="21"/>
  <c r="E1612" i="21" s="1"/>
  <c r="E1613" i="21"/>
  <c r="E1614" i="21"/>
  <c r="G1616" i="21"/>
  <c r="E1616" i="21" s="1"/>
  <c r="E1617" i="21"/>
  <c r="E1618" i="21"/>
  <c r="G1620" i="21"/>
  <c r="E1620" i="21" s="1"/>
  <c r="E1621" i="21"/>
  <c r="E1622" i="21"/>
  <c r="G1624" i="21"/>
  <c r="E1624" i="21" s="1"/>
  <c r="E1625" i="21"/>
  <c r="E1626" i="21"/>
  <c r="G1628" i="21"/>
  <c r="E1628" i="21" s="1"/>
  <c r="E1629" i="21"/>
  <c r="E1630" i="21"/>
  <c r="G1633" i="21"/>
  <c r="E1633" i="21" s="1"/>
  <c r="E1634" i="21"/>
  <c r="E1635" i="21"/>
  <c r="G1637" i="21"/>
  <c r="E1637" i="21" s="1"/>
  <c r="E1638" i="21"/>
  <c r="E1639" i="21"/>
  <c r="G1641" i="21"/>
  <c r="E1641" i="21" s="1"/>
  <c r="E1642" i="21"/>
  <c r="E1643" i="21"/>
  <c r="G1645" i="21"/>
  <c r="E1645" i="21" s="1"/>
  <c r="E1646" i="21"/>
  <c r="E1647" i="21"/>
  <c r="G1649" i="21"/>
  <c r="E1649" i="21" s="1"/>
  <c r="E1650" i="21"/>
  <c r="E1651" i="21"/>
  <c r="G1653" i="21"/>
  <c r="E1653" i="21" s="1"/>
  <c r="E1654" i="21"/>
  <c r="E1655" i="21"/>
  <c r="G1657" i="21"/>
  <c r="E1657" i="21" s="1"/>
  <c r="E1658" i="21"/>
  <c r="E1659" i="21"/>
  <c r="G1661" i="21"/>
  <c r="E1661" i="21" s="1"/>
  <c r="E1662" i="21"/>
  <c r="E1663" i="21"/>
  <c r="E1664" i="21"/>
  <c r="E1665" i="21"/>
  <c r="G1668" i="21"/>
  <c r="E1668" i="21" s="1"/>
  <c r="E1669" i="21"/>
  <c r="E1670" i="21"/>
  <c r="E1671" i="21"/>
  <c r="G1673" i="21"/>
  <c r="E1673" i="21" s="1"/>
  <c r="E1674" i="21"/>
  <c r="E1675" i="21"/>
  <c r="E1676" i="21"/>
  <c r="G1678" i="21"/>
  <c r="E1678" i="21" s="1"/>
  <c r="E1679" i="21"/>
  <c r="E1680" i="21"/>
  <c r="E1681" i="21"/>
  <c r="G1683" i="21"/>
  <c r="E1683" i="21" s="1"/>
  <c r="E1684" i="21"/>
  <c r="E1685" i="21"/>
  <c r="E1686" i="21"/>
  <c r="G1688" i="21"/>
  <c r="E1688" i="21" s="1"/>
  <c r="E1689" i="21"/>
  <c r="E1690" i="21"/>
  <c r="E1691" i="21"/>
  <c r="G1693" i="21"/>
  <c r="E1693" i="21" s="1"/>
  <c r="E1694" i="21"/>
  <c r="E1695" i="21"/>
  <c r="E1696" i="21"/>
  <c r="G1699" i="21"/>
  <c r="E1699" i="21" s="1"/>
  <c r="E1700" i="21"/>
  <c r="E1701" i="21"/>
  <c r="E1702" i="21"/>
  <c r="E1703" i="21"/>
  <c r="G1705" i="21"/>
  <c r="E1705" i="21" s="1"/>
  <c r="E1706" i="21"/>
  <c r="E1707" i="21"/>
  <c r="E1708" i="21"/>
  <c r="E1709" i="21"/>
  <c r="G1711" i="21"/>
  <c r="E1711" i="21" s="1"/>
  <c r="E1712" i="21"/>
  <c r="E1713" i="21"/>
  <c r="E1714" i="21"/>
  <c r="E1715" i="21"/>
  <c r="G1717" i="21"/>
  <c r="E1717" i="21" s="1"/>
  <c r="E1718" i="21"/>
  <c r="E1719" i="21"/>
  <c r="E1720" i="21"/>
  <c r="E1721" i="21"/>
  <c r="G1723" i="21"/>
  <c r="E1723" i="21" s="1"/>
  <c r="E1724" i="21"/>
  <c r="E1725" i="21"/>
  <c r="E1726" i="21"/>
  <c r="E1727" i="21"/>
  <c r="G1729" i="21"/>
  <c r="E1729" i="21" s="1"/>
  <c r="E1730" i="21"/>
  <c r="E1731" i="21"/>
  <c r="E1732" i="21"/>
  <c r="E1733" i="21"/>
  <c r="G1736" i="21"/>
  <c r="E1736" i="21" s="1"/>
  <c r="E1737" i="21"/>
  <c r="E1738" i="21"/>
  <c r="E1739" i="21"/>
  <c r="E1740" i="21"/>
  <c r="G1742" i="21"/>
  <c r="E1742" i="21" s="1"/>
  <c r="E1743" i="21"/>
  <c r="E1744" i="21"/>
  <c r="E1745" i="21"/>
  <c r="E1746" i="21"/>
  <c r="G1748" i="21"/>
  <c r="E1748" i="21" s="1"/>
  <c r="E1749" i="21"/>
  <c r="E1750" i="21"/>
  <c r="E1751" i="21"/>
  <c r="E1752" i="21"/>
  <c r="G1754" i="21"/>
  <c r="E1754" i="21" s="1"/>
  <c r="E1755" i="21"/>
  <c r="E1756" i="21"/>
  <c r="E1757" i="21"/>
  <c r="E1758" i="21"/>
  <c r="G1760" i="21"/>
  <c r="E1760" i="21" s="1"/>
  <c r="E1761" i="21"/>
  <c r="E1762" i="21"/>
  <c r="E1763" i="21"/>
  <c r="E1764" i="21"/>
  <c r="G1766" i="21"/>
  <c r="E1766" i="21" s="1"/>
  <c r="E1767" i="21"/>
  <c r="E1768" i="21"/>
  <c r="E1769" i="21"/>
  <c r="E1770" i="21"/>
  <c r="G1772" i="21"/>
  <c r="E1772" i="21" s="1"/>
  <c r="E1773" i="21"/>
  <c r="E1774" i="21"/>
  <c r="E1775" i="21"/>
  <c r="E1776" i="21"/>
  <c r="G1778" i="21"/>
  <c r="E1778" i="21" s="1"/>
  <c r="E1779" i="21"/>
  <c r="E1780" i="21"/>
  <c r="G1782" i="21"/>
  <c r="E1782" i="21" s="1"/>
  <c r="G1784" i="21"/>
  <c r="E1784" i="21" s="1"/>
  <c r="E1785" i="21"/>
  <c r="E1786" i="21"/>
  <c r="E1787" i="21"/>
  <c r="G1790" i="21"/>
  <c r="E1790" i="21" s="1"/>
  <c r="E1791" i="21"/>
  <c r="E1792" i="21"/>
  <c r="E1793" i="21"/>
  <c r="E1794" i="21"/>
  <c r="E1795" i="21"/>
  <c r="G1797" i="21"/>
  <c r="E1797" i="21" s="1"/>
  <c r="E1798" i="21"/>
  <c r="E1799" i="21"/>
  <c r="G1801" i="21"/>
  <c r="E1801" i="21" s="1"/>
  <c r="E1802" i="21"/>
  <c r="E1803" i="21"/>
  <c r="E1804" i="21"/>
  <c r="E1805" i="21"/>
  <c r="E1806" i="21"/>
  <c r="E1807" i="21"/>
  <c r="G1810" i="21"/>
  <c r="E1810" i="21" s="1"/>
  <c r="E1811" i="21"/>
  <c r="E1812" i="21"/>
  <c r="G1814" i="21"/>
  <c r="E1814" i="21" s="1"/>
  <c r="E1815" i="21"/>
  <c r="E1816" i="21"/>
  <c r="E1817" i="21"/>
  <c r="G1823" i="21"/>
  <c r="E1823" i="21" s="1"/>
  <c r="E1824" i="21"/>
  <c r="E1825" i="21"/>
  <c r="E1826" i="21"/>
  <c r="E1827" i="21"/>
  <c r="E1828" i="21"/>
  <c r="E1829" i="21"/>
  <c r="E1830" i="21"/>
  <c r="E1831" i="21"/>
  <c r="G1833" i="21"/>
  <c r="E1833" i="21" s="1"/>
  <c r="E1834" i="21"/>
  <c r="E1835" i="21"/>
  <c r="G1837" i="21"/>
  <c r="E1837" i="21" s="1"/>
  <c r="G1838" i="21"/>
  <c r="E1838" i="21" s="1"/>
  <c r="G1840" i="21"/>
  <c r="E1840" i="21" s="1"/>
  <c r="E1841" i="21"/>
  <c r="E1842" i="21"/>
  <c r="G1844" i="21"/>
  <c r="E1844" i="21" s="1"/>
  <c r="E1845" i="21"/>
  <c r="E1846" i="21"/>
  <c r="G1848" i="21"/>
  <c r="E1848" i="21" s="1"/>
  <c r="E1849" i="21"/>
  <c r="E1850" i="21"/>
  <c r="G1852" i="21"/>
  <c r="E1852" i="21" s="1"/>
  <c r="E1853" i="21"/>
  <c r="E1854" i="21"/>
  <c r="G1856" i="21"/>
  <c r="E1856" i="21" s="1"/>
  <c r="E1857" i="21"/>
  <c r="E1858" i="21"/>
  <c r="E1859" i="21"/>
  <c r="G1861" i="21"/>
  <c r="E1861" i="21" s="1"/>
  <c r="E1862" i="21"/>
  <c r="E1863" i="21"/>
  <c r="E1864" i="21"/>
  <c r="G1866" i="21"/>
  <c r="E1866" i="21" s="1"/>
  <c r="E1867" i="21"/>
  <c r="E1868" i="21"/>
  <c r="G1870" i="21"/>
  <c r="E1870" i="21" s="1"/>
  <c r="E1871" i="21"/>
  <c r="E1872" i="21"/>
  <c r="G1877" i="21"/>
  <c r="E1877" i="21" s="1"/>
  <c r="E1878" i="21"/>
  <c r="E1879" i="21"/>
  <c r="E1880" i="21"/>
  <c r="E1881" i="21"/>
  <c r="E1882" i="21"/>
  <c r="E1883" i="21"/>
  <c r="G1885" i="21"/>
  <c r="E1885" i="21" s="1"/>
  <c r="E1886" i="21"/>
  <c r="E1887" i="21"/>
  <c r="E1888" i="21"/>
  <c r="G1890" i="21"/>
  <c r="E1890" i="21" s="1"/>
  <c r="E1891" i="21"/>
  <c r="E1892" i="21"/>
  <c r="E1893" i="21"/>
  <c r="E1894" i="21"/>
  <c r="G1900" i="21"/>
  <c r="E1900" i="21" s="1"/>
  <c r="E1901" i="21"/>
  <c r="E1902" i="21"/>
  <c r="E1903" i="21"/>
  <c r="E1904" i="21"/>
  <c r="G1906" i="21"/>
  <c r="E1906" i="21" s="1"/>
  <c r="E1907" i="21"/>
  <c r="E1908" i="21"/>
  <c r="E1909" i="21"/>
  <c r="E1910" i="21"/>
  <c r="G1912" i="21"/>
  <c r="E1912" i="21" s="1"/>
  <c r="E1913" i="21"/>
  <c r="E1914" i="21"/>
  <c r="E1915" i="21"/>
  <c r="E1916" i="21"/>
  <c r="G1918" i="21"/>
  <c r="E1918" i="21" s="1"/>
  <c r="E1919" i="21"/>
  <c r="E1920" i="21"/>
  <c r="E1921" i="21"/>
  <c r="E1922" i="21"/>
  <c r="E1923" i="21"/>
  <c r="E1924" i="21"/>
  <c r="G1926" i="21"/>
  <c r="E1926" i="21" s="1"/>
  <c r="E1927" i="21"/>
  <c r="E1928" i="21"/>
  <c r="E1929" i="21"/>
  <c r="G1931" i="21"/>
  <c r="E1931" i="21" s="1"/>
  <c r="E1932" i="21"/>
  <c r="G1938" i="21"/>
  <c r="E1938" i="21" s="1"/>
  <c r="E1939" i="21"/>
  <c r="E1940" i="21"/>
  <c r="E1941" i="21"/>
  <c r="E1942" i="21"/>
  <c r="G1944" i="21"/>
  <c r="E1944" i="21" s="1"/>
  <c r="E1945" i="21"/>
  <c r="E1946" i="21"/>
  <c r="G1948" i="21"/>
  <c r="E1948" i="21" s="1"/>
  <c r="E1949" i="21"/>
  <c r="E1950" i="21"/>
  <c r="G1952" i="21"/>
  <c r="E1952" i="21" s="1"/>
  <c r="E1953" i="21"/>
  <c r="E1954" i="21"/>
  <c r="G1956" i="21"/>
  <c r="E1956" i="21" s="1"/>
  <c r="G1957" i="21"/>
  <c r="E1957" i="21" s="1"/>
  <c r="G1963" i="21"/>
  <c r="E1963" i="21" s="1"/>
  <c r="E1964" i="21"/>
  <c r="E1965" i="21"/>
  <c r="E1966" i="21"/>
  <c r="E1967" i="21"/>
  <c r="E1968" i="21"/>
  <c r="E1969" i="21"/>
  <c r="E1970" i="21"/>
  <c r="E1971" i="21"/>
  <c r="E1972" i="21"/>
  <c r="E1973" i="21"/>
  <c r="E1974" i="21"/>
  <c r="E1975" i="21"/>
  <c r="E1976" i="21"/>
  <c r="G1978" i="21"/>
  <c r="E1978" i="21" s="1"/>
  <c r="E1979" i="21"/>
  <c r="E1980" i="21"/>
  <c r="E1981" i="21"/>
  <c r="E1982" i="21"/>
  <c r="B2" i="4"/>
  <c r="C2" i="4"/>
  <c r="D2" i="4"/>
  <c r="B3" i="4"/>
  <c r="C3" i="4"/>
  <c r="D3" i="4"/>
  <c r="B4" i="4"/>
  <c r="C4" i="4"/>
  <c r="D4" i="4"/>
  <c r="B5" i="4"/>
  <c r="C5" i="4"/>
  <c r="D5" i="4"/>
  <c r="B6" i="4"/>
  <c r="C6" i="4"/>
  <c r="D6" i="4"/>
  <c r="B7" i="4"/>
  <c r="C7" i="4"/>
  <c r="D7" i="4"/>
  <c r="B8" i="4"/>
  <c r="C8" i="4"/>
  <c r="D8" i="4"/>
  <c r="B9" i="4"/>
  <c r="C9" i="4"/>
  <c r="D9" i="4"/>
  <c r="B10" i="4"/>
  <c r="C10" i="4"/>
  <c r="D10" i="4"/>
  <c r="B11" i="4"/>
  <c r="C11" i="4"/>
  <c r="D11" i="4"/>
  <c r="B12" i="4"/>
  <c r="C12" i="4"/>
  <c r="D12" i="4"/>
  <c r="B13" i="4"/>
  <c r="C13" i="4"/>
  <c r="D13" i="4"/>
  <c r="B14" i="4"/>
  <c r="C14" i="4"/>
  <c r="D14" i="4"/>
  <c r="B15" i="4"/>
  <c r="C15" i="4"/>
  <c r="D15" i="4"/>
  <c r="B16" i="4"/>
  <c r="C16" i="4"/>
  <c r="D16" i="4"/>
  <c r="B17" i="4"/>
  <c r="C17" i="4"/>
  <c r="D17" i="4"/>
  <c r="B18" i="4"/>
  <c r="C18" i="4"/>
  <c r="D18" i="4"/>
  <c r="B19" i="4"/>
  <c r="C19" i="4"/>
  <c r="D19" i="4"/>
  <c r="B20" i="4"/>
  <c r="C20" i="4"/>
  <c r="D20" i="4"/>
  <c r="B21" i="4"/>
  <c r="C21" i="4"/>
  <c r="D21" i="4"/>
  <c r="B22" i="4"/>
  <c r="C22" i="4"/>
  <c r="D22" i="4"/>
  <c r="B23" i="4"/>
  <c r="C23" i="4"/>
  <c r="D23" i="4"/>
  <c r="B24" i="4"/>
  <c r="C24" i="4"/>
  <c r="D24" i="4"/>
  <c r="B25" i="4"/>
  <c r="C25" i="4"/>
  <c r="D25" i="4"/>
  <c r="B26" i="4"/>
  <c r="C26" i="4"/>
  <c r="D26" i="4"/>
  <c r="B27" i="4"/>
  <c r="C27" i="4"/>
  <c r="D27" i="4"/>
  <c r="B28" i="4"/>
  <c r="C28" i="4"/>
  <c r="D28" i="4"/>
  <c r="B29" i="4"/>
  <c r="C29" i="4"/>
  <c r="D29" i="4"/>
  <c r="B30" i="4"/>
  <c r="C30" i="4"/>
  <c r="D30" i="4"/>
  <c r="B31" i="4"/>
  <c r="C31" i="4"/>
  <c r="D31" i="4"/>
  <c r="B32" i="4"/>
  <c r="C32" i="4"/>
  <c r="D32" i="4"/>
  <c r="B33" i="4"/>
  <c r="C33" i="4"/>
  <c r="D33" i="4"/>
  <c r="B34" i="4"/>
  <c r="C34" i="4"/>
  <c r="D34" i="4"/>
  <c r="B35" i="4"/>
  <c r="C35" i="4"/>
  <c r="D35" i="4"/>
  <c r="B36" i="4"/>
  <c r="C36" i="4"/>
  <c r="D36" i="4"/>
  <c r="B37" i="4"/>
  <c r="C37" i="4"/>
  <c r="D37" i="4"/>
  <c r="B38" i="4"/>
  <c r="C38" i="4"/>
  <c r="D38" i="4"/>
  <c r="B39" i="4"/>
  <c r="C39" i="4"/>
  <c r="D39" i="4"/>
  <c r="B40" i="4"/>
  <c r="C40" i="4"/>
  <c r="D40" i="4"/>
  <c r="B41" i="4"/>
  <c r="C41" i="4"/>
  <c r="D41" i="4"/>
  <c r="B42" i="4"/>
  <c r="C42" i="4"/>
  <c r="D42" i="4"/>
  <c r="B43" i="4"/>
  <c r="C43" i="4"/>
  <c r="D43" i="4"/>
  <c r="B44" i="4"/>
  <c r="C44" i="4"/>
  <c r="D44" i="4"/>
  <c r="B45" i="4"/>
  <c r="C45" i="4"/>
  <c r="D45" i="4"/>
  <c r="B46" i="4"/>
  <c r="C46" i="4"/>
  <c r="D46" i="4"/>
  <c r="B47" i="4"/>
  <c r="C47" i="4"/>
  <c r="D47" i="4"/>
  <c r="B48" i="4"/>
  <c r="C48" i="4"/>
  <c r="D48" i="4"/>
  <c r="B49" i="4"/>
  <c r="C49" i="4"/>
  <c r="D49" i="4"/>
  <c r="B50" i="4"/>
  <c r="C50" i="4"/>
  <c r="D50" i="4"/>
  <c r="B51" i="4"/>
  <c r="C51" i="4"/>
  <c r="D51" i="4"/>
  <c r="B52" i="4"/>
  <c r="C52" i="4"/>
  <c r="D52" i="4"/>
  <c r="B53" i="4"/>
  <c r="C53" i="4"/>
  <c r="D53" i="4"/>
  <c r="B54" i="4"/>
  <c r="C54" i="4"/>
  <c r="D54" i="4"/>
  <c r="B55" i="4"/>
  <c r="C55" i="4"/>
  <c r="D55" i="4"/>
  <c r="B56" i="4"/>
  <c r="C56" i="4"/>
  <c r="D56" i="4"/>
  <c r="B57" i="4"/>
  <c r="C57" i="4"/>
  <c r="D57" i="4"/>
  <c r="B58" i="4"/>
  <c r="C58" i="4"/>
  <c r="D58" i="4"/>
  <c r="B59" i="4"/>
  <c r="C59" i="4"/>
  <c r="D59" i="4"/>
  <c r="B60" i="4"/>
  <c r="C60" i="4"/>
  <c r="D60" i="4"/>
  <c r="B61" i="4"/>
  <c r="C61" i="4"/>
  <c r="D61" i="4"/>
  <c r="B62" i="4"/>
  <c r="C62" i="4"/>
  <c r="D62" i="4"/>
  <c r="B63" i="4"/>
  <c r="C63" i="4"/>
  <c r="D63" i="4"/>
  <c r="B64" i="4"/>
  <c r="C64" i="4"/>
  <c r="D64" i="4"/>
  <c r="B65" i="4"/>
  <c r="C65" i="4"/>
  <c r="D65" i="4"/>
  <c r="B66" i="4"/>
  <c r="C66" i="4"/>
  <c r="D66" i="4"/>
  <c r="B67" i="4"/>
  <c r="C67" i="4"/>
  <c r="D67" i="4"/>
  <c r="B68" i="4"/>
  <c r="C68" i="4"/>
  <c r="D68" i="4"/>
  <c r="B69" i="4"/>
  <c r="C69" i="4"/>
  <c r="D69" i="4"/>
  <c r="B70" i="4"/>
  <c r="C70" i="4"/>
  <c r="D70" i="4"/>
  <c r="B71" i="4"/>
  <c r="C71" i="4"/>
  <c r="D71" i="4"/>
  <c r="B72" i="4"/>
  <c r="C72" i="4"/>
  <c r="D72" i="4"/>
  <c r="B73" i="4"/>
  <c r="C73" i="4"/>
  <c r="D73" i="4"/>
  <c r="B74" i="4"/>
  <c r="C74" i="4"/>
  <c r="D74" i="4"/>
  <c r="B75" i="4"/>
  <c r="C75" i="4"/>
  <c r="D75" i="4"/>
  <c r="B76" i="4"/>
  <c r="C76" i="4"/>
  <c r="D76" i="4"/>
  <c r="B77" i="4"/>
  <c r="C77" i="4"/>
  <c r="D77" i="4"/>
  <c r="B78" i="4"/>
  <c r="C78" i="4"/>
  <c r="D78" i="4"/>
  <c r="B79" i="4"/>
  <c r="C79" i="4"/>
  <c r="D79" i="4"/>
  <c r="B80" i="4"/>
  <c r="C80" i="4"/>
  <c r="D80" i="4"/>
  <c r="B81" i="4"/>
  <c r="C81" i="4"/>
  <c r="D81" i="4"/>
  <c r="B82" i="4"/>
  <c r="C82" i="4"/>
  <c r="D82" i="4"/>
  <c r="B83" i="4"/>
  <c r="C83" i="4"/>
  <c r="D83" i="4"/>
  <c r="B84" i="4"/>
  <c r="C84" i="4"/>
  <c r="D84" i="4"/>
  <c r="B85" i="4"/>
  <c r="C85" i="4"/>
  <c r="D85" i="4"/>
  <c r="B86" i="4"/>
  <c r="C86" i="4"/>
  <c r="D86" i="4"/>
  <c r="B87" i="4"/>
  <c r="C87" i="4"/>
  <c r="D87" i="4"/>
  <c r="B88" i="4"/>
  <c r="C88" i="4"/>
  <c r="D88" i="4"/>
  <c r="B89" i="4"/>
  <c r="C89" i="4"/>
  <c r="D89" i="4"/>
  <c r="B90" i="4"/>
  <c r="C90" i="4"/>
  <c r="D90" i="4"/>
  <c r="B91" i="4"/>
  <c r="C91" i="4"/>
  <c r="D91" i="4"/>
  <c r="B92" i="4"/>
  <c r="C92" i="4"/>
  <c r="D92" i="4"/>
  <c r="B93" i="4"/>
  <c r="C93" i="4"/>
  <c r="D93" i="4"/>
  <c r="B94" i="4"/>
  <c r="C94" i="4"/>
  <c r="D94" i="4"/>
  <c r="B95" i="4"/>
  <c r="C95" i="4"/>
  <c r="D95" i="4"/>
  <c r="B96" i="4"/>
  <c r="C96" i="4"/>
  <c r="D96" i="4"/>
  <c r="B97" i="4"/>
  <c r="C97" i="4"/>
  <c r="D97" i="4"/>
  <c r="B98" i="4"/>
  <c r="C98" i="4"/>
  <c r="D98" i="4"/>
  <c r="B99" i="4"/>
  <c r="C99" i="4"/>
  <c r="D99" i="4"/>
  <c r="B100" i="4"/>
  <c r="C100" i="4"/>
  <c r="D100" i="4"/>
  <c r="B101" i="4"/>
  <c r="C101" i="4"/>
  <c r="D101" i="4"/>
  <c r="B102" i="4"/>
  <c r="C102" i="4"/>
  <c r="D102" i="4"/>
  <c r="B103" i="4"/>
  <c r="C103" i="4"/>
  <c r="D103" i="4"/>
  <c r="B104" i="4"/>
  <c r="C104" i="4"/>
  <c r="D104" i="4"/>
  <c r="B105" i="4"/>
  <c r="C105" i="4"/>
  <c r="D105" i="4"/>
  <c r="B106" i="4"/>
  <c r="C106" i="4"/>
  <c r="D106" i="4"/>
  <c r="B107" i="4"/>
  <c r="C107" i="4"/>
  <c r="D107" i="4"/>
  <c r="B108" i="4"/>
  <c r="C108" i="4"/>
  <c r="D108" i="4"/>
  <c r="B109" i="4"/>
  <c r="C109" i="4"/>
  <c r="D109" i="4"/>
  <c r="B110" i="4"/>
  <c r="C110" i="4"/>
  <c r="D110" i="4"/>
  <c r="B111" i="4"/>
  <c r="C111" i="4"/>
  <c r="D111" i="4"/>
  <c r="B112" i="4"/>
  <c r="C112" i="4"/>
  <c r="D112" i="4"/>
  <c r="B113" i="4"/>
  <c r="C113" i="4"/>
  <c r="D113" i="4"/>
  <c r="B114" i="4"/>
  <c r="C114" i="4"/>
  <c r="D114" i="4"/>
  <c r="B115" i="4"/>
  <c r="C115" i="4"/>
  <c r="D115" i="4"/>
  <c r="B116" i="4"/>
  <c r="C116" i="4"/>
  <c r="D116" i="4"/>
  <c r="B117" i="4"/>
  <c r="C117" i="4"/>
  <c r="D117" i="4"/>
  <c r="B118" i="4"/>
  <c r="C118" i="4"/>
  <c r="D118" i="4"/>
  <c r="B119" i="4"/>
  <c r="C119" i="4"/>
  <c r="D119" i="4"/>
  <c r="B120" i="4"/>
  <c r="C120" i="4"/>
  <c r="D120" i="4"/>
  <c r="B121" i="4"/>
  <c r="C121" i="4"/>
  <c r="D121" i="4"/>
  <c r="B122" i="4"/>
  <c r="C122" i="4"/>
  <c r="D122" i="4"/>
  <c r="B123" i="4"/>
  <c r="C123" i="4"/>
  <c r="D123" i="4"/>
  <c r="B124" i="4"/>
  <c r="C124" i="4"/>
  <c r="D124" i="4"/>
  <c r="B125" i="4"/>
  <c r="C125" i="4"/>
  <c r="D125" i="4"/>
  <c r="B126" i="4"/>
  <c r="C126" i="4"/>
  <c r="D126" i="4"/>
  <c r="B127" i="4"/>
  <c r="C127" i="4"/>
  <c r="D127" i="4"/>
  <c r="B128" i="4"/>
  <c r="C128" i="4"/>
  <c r="D128" i="4"/>
  <c r="B129" i="4"/>
  <c r="C129" i="4"/>
  <c r="D129" i="4"/>
  <c r="B130" i="4"/>
  <c r="C130" i="4"/>
  <c r="D130" i="4"/>
  <c r="B131" i="4"/>
  <c r="C131" i="4"/>
  <c r="D131" i="4"/>
  <c r="B132" i="4"/>
  <c r="C132" i="4"/>
  <c r="D132" i="4"/>
  <c r="B133" i="4"/>
  <c r="C133" i="4"/>
  <c r="D133" i="4"/>
  <c r="B134" i="4"/>
  <c r="C134" i="4"/>
  <c r="D134" i="4"/>
  <c r="B135" i="4"/>
  <c r="C135" i="4"/>
  <c r="D135" i="4"/>
  <c r="B136" i="4"/>
  <c r="C136" i="4"/>
  <c r="D136" i="4"/>
  <c r="B137" i="4"/>
  <c r="C137" i="4"/>
  <c r="D137" i="4"/>
  <c r="B138" i="4"/>
  <c r="C138" i="4"/>
  <c r="D138" i="4"/>
  <c r="B139" i="4"/>
  <c r="C139" i="4"/>
  <c r="D139" i="4"/>
  <c r="B140" i="4"/>
  <c r="C140" i="4"/>
  <c r="D140" i="4"/>
  <c r="B141" i="4"/>
  <c r="C141" i="4"/>
  <c r="D141" i="4"/>
  <c r="B142" i="4"/>
  <c r="C142" i="4"/>
  <c r="D142" i="4"/>
  <c r="B143" i="4"/>
  <c r="C143" i="4"/>
  <c r="D143" i="4"/>
  <c r="B144" i="4"/>
  <c r="C144" i="4"/>
  <c r="D144" i="4"/>
  <c r="B145" i="4"/>
  <c r="C145" i="4"/>
  <c r="D145" i="4"/>
  <c r="B146" i="4"/>
  <c r="C146" i="4"/>
  <c r="D146" i="4"/>
  <c r="B147" i="4"/>
  <c r="C147" i="4"/>
  <c r="D147" i="4"/>
  <c r="B148" i="4"/>
  <c r="C148" i="4"/>
  <c r="D148" i="4"/>
  <c r="B149" i="4"/>
  <c r="C149" i="4"/>
  <c r="D149" i="4"/>
  <c r="B150" i="4"/>
  <c r="C150" i="4"/>
  <c r="D150" i="4"/>
  <c r="B151" i="4"/>
  <c r="C151" i="4"/>
  <c r="D151" i="4"/>
  <c r="B152" i="4"/>
  <c r="C152" i="4"/>
  <c r="D152" i="4"/>
  <c r="B153" i="4"/>
  <c r="C153" i="4"/>
  <c r="D153" i="4"/>
  <c r="B154" i="4"/>
  <c r="C154" i="4"/>
  <c r="D154" i="4"/>
  <c r="B155" i="4"/>
  <c r="C155" i="4"/>
  <c r="D155" i="4"/>
  <c r="B156" i="4"/>
  <c r="C156" i="4"/>
  <c r="D156" i="4"/>
  <c r="B157" i="4"/>
  <c r="C157" i="4"/>
  <c r="D157" i="4"/>
  <c r="B158" i="4"/>
  <c r="C158" i="4"/>
  <c r="D158" i="4"/>
  <c r="B159" i="4"/>
  <c r="C159" i="4"/>
  <c r="D159" i="4"/>
  <c r="B160" i="4"/>
  <c r="C160" i="4"/>
  <c r="D160" i="4"/>
  <c r="B161" i="4"/>
  <c r="C161" i="4"/>
  <c r="D161" i="4"/>
  <c r="B162" i="4"/>
  <c r="C162" i="4"/>
  <c r="D162" i="4"/>
  <c r="B163" i="4"/>
  <c r="C163" i="4"/>
  <c r="D163" i="4"/>
  <c r="B164" i="4"/>
  <c r="C164" i="4"/>
  <c r="D164" i="4"/>
  <c r="B165" i="4"/>
  <c r="C165" i="4"/>
  <c r="D165" i="4"/>
  <c r="B166" i="4"/>
  <c r="C166" i="4"/>
  <c r="D166" i="4"/>
  <c r="B167" i="4"/>
  <c r="C167" i="4"/>
  <c r="D167" i="4"/>
  <c r="B168" i="4"/>
  <c r="C168" i="4"/>
  <c r="D168" i="4"/>
  <c r="B169" i="4"/>
  <c r="C169" i="4"/>
  <c r="D169" i="4"/>
  <c r="B170" i="4"/>
  <c r="C170" i="4"/>
  <c r="D170" i="4"/>
  <c r="B171" i="4"/>
  <c r="C171" i="4"/>
  <c r="D171" i="4"/>
  <c r="B172" i="4"/>
  <c r="C172" i="4"/>
  <c r="D172" i="4"/>
  <c r="B173" i="4"/>
  <c r="C173" i="4"/>
  <c r="D173" i="4"/>
  <c r="B174" i="4"/>
  <c r="C174" i="4"/>
  <c r="D174" i="4"/>
  <c r="B175" i="4"/>
  <c r="C175" i="4"/>
  <c r="D175" i="4"/>
  <c r="B176" i="4"/>
  <c r="C176" i="4"/>
  <c r="D176" i="4"/>
  <c r="B177" i="4"/>
  <c r="C177" i="4"/>
  <c r="D177" i="4"/>
  <c r="B178" i="4"/>
  <c r="C178" i="4"/>
  <c r="D178" i="4"/>
  <c r="B179" i="4"/>
  <c r="C179" i="4"/>
  <c r="D179" i="4"/>
  <c r="B180" i="4"/>
  <c r="C180" i="4"/>
  <c r="D180" i="4"/>
  <c r="B181" i="4"/>
  <c r="C181" i="4"/>
  <c r="D181" i="4"/>
  <c r="B182" i="4"/>
  <c r="C182" i="4"/>
  <c r="D182" i="4"/>
  <c r="B183" i="4"/>
  <c r="C183" i="4"/>
  <c r="D183" i="4"/>
  <c r="B184" i="4"/>
  <c r="C184" i="4"/>
  <c r="D184" i="4"/>
  <c r="B185" i="4"/>
  <c r="C185" i="4"/>
  <c r="D185" i="4"/>
  <c r="B186" i="4"/>
  <c r="C186" i="4"/>
  <c r="D186" i="4"/>
  <c r="B187" i="4"/>
  <c r="C187" i="4"/>
  <c r="D187" i="4"/>
  <c r="B188" i="4"/>
  <c r="C188" i="4"/>
  <c r="D188" i="4"/>
  <c r="B189" i="4"/>
  <c r="C189" i="4"/>
  <c r="D189" i="4"/>
  <c r="B190" i="4"/>
  <c r="C190" i="4"/>
  <c r="D190" i="4"/>
  <c r="B191" i="4"/>
  <c r="C191" i="4"/>
  <c r="D191" i="4"/>
  <c r="B192" i="4"/>
  <c r="C192" i="4"/>
  <c r="D192" i="4"/>
  <c r="B193" i="4"/>
  <c r="C193" i="4"/>
  <c r="D193" i="4"/>
  <c r="B194" i="4"/>
  <c r="C194" i="4"/>
  <c r="D194" i="4"/>
  <c r="B195" i="4"/>
  <c r="C195" i="4"/>
  <c r="D195" i="4"/>
  <c r="B196" i="4"/>
  <c r="C196" i="4"/>
  <c r="D196" i="4"/>
  <c r="B197" i="4"/>
  <c r="C197" i="4"/>
  <c r="D197" i="4"/>
  <c r="B198" i="4"/>
  <c r="C198" i="4"/>
  <c r="D198" i="4"/>
  <c r="B199" i="4"/>
  <c r="C199" i="4"/>
  <c r="D199" i="4"/>
  <c r="B200" i="4"/>
  <c r="C200" i="4"/>
  <c r="D200" i="4"/>
  <c r="B201" i="4"/>
  <c r="C201" i="4"/>
  <c r="D201" i="4"/>
  <c r="B202" i="4"/>
  <c r="C202" i="4"/>
  <c r="D202" i="4"/>
  <c r="B203" i="4"/>
  <c r="C203" i="4"/>
  <c r="D203" i="4"/>
  <c r="B204" i="4"/>
  <c r="C204" i="4"/>
  <c r="D204" i="4"/>
  <c r="B205" i="4"/>
  <c r="C205" i="4"/>
  <c r="D205" i="4"/>
  <c r="B206" i="4"/>
  <c r="C206" i="4"/>
  <c r="D206" i="4"/>
  <c r="B207" i="4"/>
  <c r="C207" i="4"/>
  <c r="D207" i="4"/>
  <c r="B208" i="4"/>
  <c r="C208" i="4"/>
  <c r="D208" i="4"/>
  <c r="B209" i="4"/>
  <c r="C209" i="4"/>
  <c r="D209" i="4"/>
  <c r="B210" i="4"/>
  <c r="C210" i="4"/>
  <c r="D210" i="4"/>
  <c r="B211" i="4"/>
  <c r="C211" i="4"/>
  <c r="D211" i="4"/>
  <c r="B212" i="4"/>
  <c r="C212" i="4"/>
  <c r="D212" i="4"/>
  <c r="B213" i="4"/>
  <c r="C213" i="4"/>
  <c r="D213" i="4"/>
  <c r="B214" i="4"/>
  <c r="C214" i="4"/>
  <c r="D214" i="4"/>
  <c r="B215" i="4"/>
  <c r="C215" i="4"/>
  <c r="D215" i="4"/>
  <c r="B216" i="4"/>
  <c r="C216" i="4"/>
  <c r="D216" i="4"/>
  <c r="B217" i="4"/>
  <c r="C217" i="4"/>
  <c r="D217" i="4"/>
  <c r="B218" i="4"/>
  <c r="C218" i="4"/>
  <c r="D218" i="4"/>
  <c r="B219" i="4"/>
  <c r="C219" i="4"/>
  <c r="D219" i="4"/>
  <c r="B220" i="4"/>
  <c r="C220" i="4"/>
  <c r="D220" i="4"/>
  <c r="B221" i="4"/>
  <c r="C221" i="4"/>
  <c r="D221" i="4"/>
  <c r="B222" i="4"/>
  <c r="C222" i="4"/>
  <c r="D222" i="4"/>
  <c r="B223" i="4"/>
  <c r="C223" i="4"/>
  <c r="D223" i="4"/>
  <c r="B224" i="4"/>
  <c r="C224" i="4"/>
  <c r="D224" i="4"/>
  <c r="B225" i="4"/>
  <c r="C225" i="4"/>
  <c r="D225" i="4"/>
  <c r="B226" i="4"/>
  <c r="C226" i="4"/>
  <c r="D226" i="4"/>
  <c r="B227" i="4"/>
  <c r="C227" i="4"/>
  <c r="D227" i="4"/>
  <c r="B228" i="4"/>
  <c r="C228" i="4"/>
  <c r="D228" i="4"/>
  <c r="B229" i="4"/>
  <c r="C229" i="4"/>
  <c r="D229" i="4"/>
  <c r="B230" i="4"/>
  <c r="C230" i="4"/>
  <c r="D230" i="4"/>
  <c r="B231" i="4"/>
  <c r="C231" i="4"/>
  <c r="D231" i="4"/>
  <c r="B232" i="4"/>
  <c r="C232" i="4"/>
  <c r="D232" i="4"/>
  <c r="B233" i="4"/>
  <c r="C233" i="4"/>
  <c r="D233" i="4"/>
  <c r="B234" i="4"/>
  <c r="C234" i="4"/>
  <c r="D234" i="4"/>
  <c r="B235" i="4"/>
  <c r="C235" i="4"/>
  <c r="D235" i="4"/>
  <c r="B236" i="4"/>
  <c r="C236" i="4"/>
  <c r="D236" i="4"/>
  <c r="B237" i="4"/>
  <c r="C237" i="4"/>
  <c r="D237" i="4"/>
  <c r="B238" i="4"/>
  <c r="C238" i="4"/>
  <c r="D238" i="4"/>
  <c r="B239" i="4"/>
  <c r="C239" i="4"/>
  <c r="D239" i="4"/>
  <c r="B240" i="4"/>
  <c r="C240" i="4"/>
  <c r="D240" i="4"/>
  <c r="B241" i="4"/>
  <c r="C241" i="4"/>
  <c r="D241" i="4"/>
  <c r="B242" i="4"/>
  <c r="C242" i="4"/>
  <c r="D242" i="4"/>
  <c r="B243" i="4"/>
  <c r="C243" i="4"/>
  <c r="D243" i="4"/>
  <c r="B244" i="4"/>
  <c r="C244" i="4"/>
  <c r="D244" i="4"/>
  <c r="B245" i="4"/>
  <c r="C245" i="4"/>
  <c r="D245" i="4"/>
  <c r="B246" i="4"/>
  <c r="C246" i="4"/>
  <c r="D246" i="4"/>
  <c r="B247" i="4"/>
  <c r="C247" i="4"/>
  <c r="D247" i="4"/>
  <c r="B248" i="4"/>
  <c r="C248" i="4"/>
  <c r="D248" i="4"/>
  <c r="B249" i="4"/>
  <c r="C249" i="4"/>
  <c r="D249" i="4"/>
  <c r="B250" i="4"/>
  <c r="C250" i="4"/>
  <c r="D250" i="4"/>
  <c r="B251" i="4"/>
  <c r="C251" i="4"/>
  <c r="D251" i="4"/>
  <c r="B252" i="4"/>
  <c r="C252" i="4"/>
  <c r="D252" i="4"/>
  <c r="B253" i="4"/>
  <c r="C253" i="4"/>
  <c r="D253" i="4"/>
  <c r="B254" i="4"/>
  <c r="C254" i="4"/>
  <c r="D254" i="4"/>
  <c r="B255" i="4"/>
  <c r="C255" i="4"/>
  <c r="D255" i="4"/>
  <c r="B256" i="4"/>
  <c r="C256" i="4"/>
  <c r="D256" i="4"/>
  <c r="B257" i="4"/>
  <c r="C257" i="4"/>
  <c r="D257" i="4"/>
  <c r="B258" i="4"/>
  <c r="C258" i="4"/>
  <c r="D258" i="4"/>
  <c r="B259" i="4"/>
  <c r="C259" i="4"/>
  <c r="D259" i="4"/>
  <c r="B260" i="4"/>
  <c r="C260" i="4"/>
  <c r="D260" i="4"/>
  <c r="B261" i="4"/>
  <c r="C261" i="4"/>
  <c r="D261" i="4"/>
  <c r="B262" i="4"/>
  <c r="C262" i="4"/>
  <c r="D262" i="4"/>
  <c r="B263" i="4"/>
  <c r="C263" i="4"/>
  <c r="D263" i="4"/>
  <c r="B264" i="4"/>
  <c r="C264" i="4"/>
  <c r="D264" i="4"/>
  <c r="B265" i="4"/>
  <c r="C265" i="4"/>
  <c r="D265" i="4"/>
  <c r="B266" i="4"/>
  <c r="C266" i="4"/>
  <c r="D266" i="4"/>
  <c r="B267" i="4"/>
  <c r="C267" i="4"/>
  <c r="D267" i="4"/>
  <c r="B268" i="4"/>
  <c r="C268" i="4"/>
  <c r="D268" i="4"/>
  <c r="B269" i="4"/>
  <c r="C269" i="4"/>
  <c r="D269" i="4"/>
  <c r="B270" i="4"/>
  <c r="C270" i="4"/>
  <c r="D270" i="4"/>
  <c r="B271" i="4"/>
  <c r="C271" i="4"/>
  <c r="D271" i="4"/>
  <c r="B272" i="4"/>
  <c r="C272" i="4"/>
  <c r="D272" i="4"/>
  <c r="B273" i="4"/>
  <c r="C273" i="4"/>
  <c r="D273" i="4"/>
  <c r="B274" i="4"/>
  <c r="C274" i="4"/>
  <c r="D274" i="4"/>
  <c r="B275" i="4"/>
  <c r="C275" i="4"/>
  <c r="D275" i="4"/>
  <c r="B276" i="4"/>
  <c r="C276" i="4"/>
  <c r="D276" i="4"/>
  <c r="B277" i="4"/>
  <c r="C277" i="4"/>
  <c r="D277" i="4"/>
  <c r="B278" i="4"/>
  <c r="C278" i="4"/>
  <c r="D278" i="4"/>
  <c r="B279" i="4"/>
  <c r="C279" i="4"/>
  <c r="D279" i="4"/>
  <c r="B280" i="4"/>
  <c r="C280" i="4"/>
  <c r="D280" i="4"/>
  <c r="B281" i="4"/>
  <c r="C281" i="4"/>
  <c r="D281" i="4"/>
  <c r="B282" i="4"/>
  <c r="C282" i="4"/>
  <c r="D282" i="4"/>
  <c r="B283" i="4"/>
  <c r="C283" i="4"/>
  <c r="D283" i="4"/>
  <c r="B284" i="4"/>
  <c r="C284" i="4"/>
  <c r="D284" i="4"/>
  <c r="B285" i="4"/>
  <c r="C285" i="4"/>
  <c r="D285" i="4"/>
  <c r="B286" i="4"/>
  <c r="C286" i="4"/>
  <c r="D286" i="4"/>
  <c r="B287" i="4"/>
  <c r="C287" i="4"/>
  <c r="D287" i="4"/>
  <c r="B288" i="4"/>
  <c r="C288" i="4"/>
  <c r="D288" i="4"/>
  <c r="B289" i="4"/>
  <c r="C289" i="4"/>
  <c r="D289" i="4"/>
  <c r="B290" i="4"/>
  <c r="C290" i="4"/>
  <c r="D290" i="4"/>
  <c r="B291" i="4"/>
  <c r="C291" i="4"/>
  <c r="D291" i="4"/>
  <c r="B292" i="4"/>
  <c r="C292" i="4"/>
  <c r="D292" i="4"/>
  <c r="B293" i="4"/>
  <c r="C293" i="4"/>
  <c r="D293" i="4"/>
  <c r="B294" i="4"/>
  <c r="C294" i="4"/>
  <c r="D294" i="4"/>
  <c r="B295" i="4"/>
  <c r="C295" i="4"/>
  <c r="D295" i="4"/>
  <c r="B296" i="4"/>
  <c r="C296" i="4"/>
  <c r="D296" i="4"/>
  <c r="B297" i="4"/>
  <c r="C297" i="4"/>
  <c r="D297" i="4"/>
  <c r="B298" i="4"/>
  <c r="C298" i="4"/>
  <c r="D298" i="4"/>
  <c r="B299" i="4"/>
  <c r="C299" i="4"/>
  <c r="D299" i="4"/>
  <c r="B300" i="4"/>
  <c r="C300" i="4"/>
  <c r="D300" i="4"/>
  <c r="B301" i="4"/>
  <c r="C301" i="4"/>
  <c r="D301" i="4"/>
  <c r="B302" i="4"/>
  <c r="C302" i="4"/>
  <c r="D302" i="4"/>
  <c r="B303" i="4"/>
  <c r="C303" i="4"/>
  <c r="D303" i="4"/>
  <c r="B304" i="4"/>
  <c r="C304" i="4"/>
  <c r="D304" i="4"/>
  <c r="B305" i="4"/>
  <c r="C305" i="4"/>
  <c r="D305" i="4"/>
  <c r="B306" i="4"/>
  <c r="C306" i="4"/>
  <c r="D306" i="4"/>
  <c r="B307" i="4"/>
  <c r="C307" i="4"/>
  <c r="D307" i="4"/>
  <c r="B308" i="4"/>
  <c r="C308" i="4"/>
  <c r="D308" i="4"/>
  <c r="B309" i="4"/>
  <c r="C309" i="4"/>
  <c r="D309" i="4"/>
  <c r="B310" i="4"/>
  <c r="C310" i="4"/>
  <c r="D310" i="4"/>
  <c r="B311" i="4"/>
  <c r="C311" i="4"/>
  <c r="D311" i="4"/>
  <c r="B312" i="4"/>
  <c r="C312" i="4"/>
  <c r="D312" i="4"/>
  <c r="B313" i="4"/>
  <c r="C313" i="4"/>
  <c r="D313" i="4"/>
  <c r="B314" i="4"/>
  <c r="C314" i="4"/>
  <c r="D314" i="4"/>
  <c r="B315" i="4"/>
  <c r="C315" i="4"/>
  <c r="D315" i="4"/>
  <c r="B316" i="4"/>
  <c r="C316" i="4"/>
  <c r="D316" i="4"/>
  <c r="B317" i="4"/>
  <c r="C317" i="4"/>
  <c r="D317" i="4"/>
  <c r="B318" i="4"/>
  <c r="C318" i="4"/>
  <c r="D318" i="4"/>
  <c r="B319" i="4"/>
  <c r="C319" i="4"/>
  <c r="D319" i="4"/>
  <c r="B320" i="4"/>
  <c r="C320" i="4"/>
  <c r="D320" i="4"/>
  <c r="B321" i="4"/>
  <c r="C321" i="4"/>
  <c r="D321" i="4"/>
  <c r="B322" i="4"/>
  <c r="C322" i="4"/>
  <c r="D322" i="4"/>
  <c r="B323" i="4"/>
  <c r="C323" i="4"/>
  <c r="D323" i="4"/>
  <c r="B324" i="4"/>
  <c r="C324" i="4"/>
  <c r="D324" i="4"/>
  <c r="B325" i="4"/>
  <c r="C325" i="4"/>
  <c r="D325" i="4"/>
  <c r="B326" i="4"/>
  <c r="C326" i="4"/>
  <c r="D326" i="4"/>
  <c r="B327" i="4"/>
  <c r="C327" i="4"/>
  <c r="D327" i="4"/>
  <c r="B328" i="4"/>
  <c r="C328" i="4"/>
  <c r="D328" i="4"/>
  <c r="B329" i="4"/>
  <c r="C329" i="4"/>
  <c r="D329" i="4"/>
  <c r="B330" i="4"/>
  <c r="C330" i="4"/>
  <c r="D330" i="4"/>
  <c r="B331" i="4"/>
  <c r="C331" i="4"/>
  <c r="D331" i="4"/>
  <c r="B332" i="4"/>
  <c r="C332" i="4"/>
  <c r="D332" i="4"/>
  <c r="B333" i="4"/>
  <c r="C333" i="4"/>
  <c r="D333" i="4"/>
  <c r="B334" i="4"/>
  <c r="C334" i="4"/>
  <c r="D334" i="4"/>
  <c r="B335" i="4"/>
  <c r="C335" i="4"/>
  <c r="D335" i="4"/>
  <c r="B336" i="4"/>
  <c r="C336" i="4"/>
  <c r="D336" i="4"/>
  <c r="B337" i="4"/>
  <c r="C337" i="4"/>
  <c r="D337" i="4"/>
  <c r="B338" i="4"/>
  <c r="C338" i="4"/>
  <c r="D338" i="4"/>
  <c r="B339" i="4"/>
  <c r="C339" i="4"/>
  <c r="D339" i="4"/>
  <c r="B340" i="4"/>
  <c r="C340" i="4"/>
  <c r="D340" i="4"/>
  <c r="B341" i="4"/>
  <c r="C341" i="4"/>
  <c r="D341" i="4"/>
  <c r="B342" i="4"/>
  <c r="C342" i="4"/>
  <c r="D342" i="4"/>
  <c r="B343" i="4"/>
  <c r="C343" i="4"/>
  <c r="D343" i="4"/>
  <c r="B344" i="4"/>
  <c r="C344" i="4"/>
  <c r="D344" i="4"/>
  <c r="B345" i="4"/>
  <c r="C345" i="4"/>
  <c r="D345" i="4"/>
  <c r="B346" i="4"/>
  <c r="C346" i="4"/>
  <c r="D346" i="4"/>
  <c r="B347" i="4"/>
  <c r="C347" i="4"/>
  <c r="D347" i="4"/>
  <c r="B348" i="4"/>
  <c r="C348" i="4"/>
  <c r="D348" i="4"/>
  <c r="B349" i="4"/>
  <c r="C349" i="4"/>
  <c r="D349" i="4"/>
  <c r="B350" i="4"/>
  <c r="C350" i="4"/>
  <c r="D350" i="4"/>
  <c r="B351" i="4"/>
  <c r="C351" i="4"/>
  <c r="D351" i="4"/>
  <c r="B352" i="4"/>
  <c r="C352" i="4"/>
  <c r="D352" i="4"/>
  <c r="B353" i="4"/>
  <c r="C353" i="4"/>
  <c r="D353" i="4"/>
  <c r="B354" i="4"/>
  <c r="C354" i="4"/>
  <c r="D354" i="4"/>
  <c r="B355" i="4"/>
  <c r="C355" i="4"/>
  <c r="D355" i="4"/>
  <c r="B356" i="4"/>
  <c r="C356" i="4"/>
  <c r="D356" i="4"/>
  <c r="B357" i="4"/>
  <c r="C357" i="4"/>
  <c r="D357" i="4"/>
  <c r="B358" i="4"/>
  <c r="C358" i="4"/>
  <c r="D358" i="4"/>
  <c r="B359" i="4"/>
  <c r="C359" i="4"/>
  <c r="D359" i="4"/>
  <c r="B360" i="4"/>
  <c r="C360" i="4"/>
  <c r="D360" i="4"/>
  <c r="B361" i="4"/>
  <c r="C361" i="4"/>
  <c r="D361" i="4"/>
  <c r="B362" i="4"/>
  <c r="C362" i="4"/>
  <c r="D362" i="4"/>
  <c r="B363" i="4"/>
  <c r="C363" i="4"/>
  <c r="D363" i="4"/>
  <c r="B364" i="4"/>
  <c r="C364" i="4"/>
  <c r="D364" i="4"/>
  <c r="B365" i="4"/>
  <c r="C365" i="4"/>
  <c r="D365" i="4"/>
  <c r="B366" i="4"/>
  <c r="C366" i="4"/>
  <c r="D366" i="4"/>
  <c r="B367" i="4"/>
  <c r="C367" i="4"/>
  <c r="D367" i="4"/>
  <c r="B368" i="4"/>
  <c r="C368" i="4"/>
  <c r="D368" i="4"/>
  <c r="B369" i="4"/>
  <c r="C369" i="4"/>
  <c r="D369" i="4"/>
  <c r="B370" i="4"/>
  <c r="C370" i="4"/>
  <c r="D370" i="4"/>
  <c r="B371" i="4"/>
  <c r="C371" i="4"/>
  <c r="D371" i="4"/>
  <c r="B372" i="4"/>
  <c r="C372" i="4"/>
  <c r="D372" i="4"/>
  <c r="B373" i="4"/>
  <c r="C373" i="4"/>
  <c r="D373" i="4"/>
  <c r="B374" i="4"/>
  <c r="C374" i="4"/>
  <c r="D374" i="4"/>
  <c r="B375" i="4"/>
  <c r="C375" i="4"/>
  <c r="D375" i="4"/>
  <c r="B376" i="4"/>
  <c r="C376" i="4"/>
  <c r="D376" i="4"/>
  <c r="B377" i="4"/>
  <c r="C377" i="4"/>
  <c r="D377" i="4"/>
  <c r="B378" i="4"/>
  <c r="C378" i="4"/>
  <c r="D378" i="4"/>
  <c r="B379" i="4"/>
  <c r="C379" i="4"/>
  <c r="D379" i="4"/>
  <c r="B380" i="4"/>
  <c r="C380" i="4"/>
  <c r="D380" i="4"/>
  <c r="B381" i="4"/>
  <c r="C381" i="4"/>
  <c r="D381" i="4"/>
  <c r="B382" i="4"/>
  <c r="C382" i="4"/>
  <c r="D382" i="4"/>
  <c r="B383" i="4"/>
  <c r="C383" i="4"/>
  <c r="D383" i="4"/>
  <c r="B384" i="4"/>
  <c r="C384" i="4"/>
  <c r="D384" i="4"/>
  <c r="B385" i="4"/>
  <c r="C385" i="4"/>
  <c r="D385" i="4"/>
  <c r="B386" i="4"/>
  <c r="C386" i="4"/>
  <c r="D386" i="4"/>
  <c r="B387" i="4"/>
  <c r="C387" i="4"/>
  <c r="D387" i="4"/>
  <c r="B388" i="4"/>
  <c r="C388" i="4"/>
  <c r="D388" i="4"/>
  <c r="B389" i="4"/>
  <c r="C389" i="4"/>
  <c r="D389" i="4"/>
  <c r="B390" i="4"/>
  <c r="C390" i="4"/>
  <c r="D390" i="4"/>
  <c r="B391" i="4"/>
  <c r="C391" i="4"/>
  <c r="D391" i="4"/>
  <c r="B392" i="4"/>
  <c r="C392" i="4"/>
  <c r="D392" i="4"/>
  <c r="B393" i="4"/>
  <c r="C393" i="4"/>
  <c r="D393" i="4"/>
  <c r="B394" i="4"/>
  <c r="C394" i="4"/>
  <c r="D394" i="4"/>
  <c r="B395" i="4"/>
  <c r="C395" i="4"/>
  <c r="D395" i="4"/>
  <c r="B396" i="4"/>
  <c r="C396" i="4"/>
  <c r="D396" i="4"/>
  <c r="B397" i="4"/>
  <c r="C397" i="4"/>
  <c r="D397" i="4"/>
  <c r="B398" i="4"/>
  <c r="C398" i="4"/>
  <c r="D398" i="4"/>
  <c r="B399" i="4"/>
  <c r="C399" i="4"/>
  <c r="D399" i="4"/>
  <c r="B400" i="4"/>
  <c r="C400" i="4"/>
  <c r="D400" i="4"/>
  <c r="B401" i="4"/>
  <c r="C401" i="4"/>
  <c r="D401" i="4"/>
  <c r="B402" i="4"/>
  <c r="C402" i="4"/>
  <c r="D402" i="4"/>
  <c r="B403" i="4"/>
  <c r="C403" i="4"/>
  <c r="D403" i="4"/>
  <c r="B404" i="4"/>
  <c r="C404" i="4"/>
  <c r="D404" i="4"/>
  <c r="B405" i="4"/>
  <c r="C405" i="4"/>
  <c r="D405" i="4"/>
  <c r="B406" i="4"/>
  <c r="C406" i="4"/>
  <c r="D406" i="4"/>
  <c r="B407" i="4"/>
  <c r="C407" i="4"/>
  <c r="D407" i="4"/>
  <c r="B408" i="4"/>
  <c r="C408" i="4"/>
  <c r="D408" i="4"/>
  <c r="B409" i="4"/>
  <c r="C409" i="4"/>
  <c r="D409" i="4"/>
  <c r="B410" i="4"/>
  <c r="C410" i="4"/>
  <c r="D410" i="4"/>
  <c r="B411" i="4"/>
  <c r="C411" i="4"/>
  <c r="D411" i="4"/>
  <c r="B412" i="4"/>
  <c r="C412" i="4"/>
  <c r="D412" i="4"/>
  <c r="B413" i="4"/>
  <c r="C413" i="4"/>
  <c r="D413" i="4"/>
  <c r="B414" i="4"/>
  <c r="C414" i="4"/>
  <c r="D414" i="4"/>
  <c r="B415" i="4"/>
  <c r="C415" i="4"/>
  <c r="D415" i="4"/>
  <c r="B416" i="4"/>
  <c r="C416" i="4"/>
  <c r="D416" i="4"/>
  <c r="B417" i="4"/>
  <c r="C417" i="4"/>
  <c r="D417" i="4"/>
  <c r="B418" i="4"/>
  <c r="C418" i="4"/>
  <c r="D418" i="4"/>
  <c r="B419" i="4"/>
  <c r="C419" i="4"/>
  <c r="D419" i="4"/>
  <c r="B420" i="4"/>
  <c r="C420" i="4"/>
  <c r="D420" i="4"/>
  <c r="B421" i="4"/>
  <c r="C421" i="4"/>
  <c r="D421" i="4"/>
  <c r="B422" i="4"/>
  <c r="C422" i="4"/>
  <c r="D422" i="4"/>
  <c r="B423" i="4"/>
  <c r="C423" i="4"/>
  <c r="D423" i="4"/>
  <c r="B424" i="4"/>
  <c r="C424" i="4"/>
  <c r="D424" i="4"/>
  <c r="B425" i="4"/>
  <c r="C425" i="4"/>
  <c r="D425" i="4"/>
  <c r="B426" i="4"/>
  <c r="C426" i="4"/>
  <c r="D426" i="4"/>
  <c r="B427" i="4"/>
  <c r="C427" i="4"/>
  <c r="D427" i="4"/>
  <c r="B428" i="4"/>
  <c r="C428" i="4"/>
  <c r="D428" i="4"/>
  <c r="B429" i="4"/>
  <c r="C429" i="4"/>
  <c r="D429" i="4"/>
  <c r="B430" i="4"/>
  <c r="C430" i="4"/>
  <c r="D430" i="4"/>
  <c r="B431" i="4"/>
  <c r="C431" i="4"/>
  <c r="D431" i="4"/>
  <c r="B432" i="4"/>
  <c r="C432" i="4"/>
  <c r="D432" i="4"/>
  <c r="B433" i="4"/>
  <c r="C433" i="4"/>
  <c r="D433" i="4"/>
  <c r="B434" i="4"/>
  <c r="C434" i="4"/>
  <c r="D434" i="4"/>
  <c r="B435" i="4"/>
  <c r="C435" i="4"/>
  <c r="D435" i="4"/>
  <c r="B436" i="4"/>
  <c r="C436" i="4"/>
  <c r="D436" i="4"/>
  <c r="B437" i="4"/>
  <c r="C437" i="4"/>
  <c r="D437" i="4"/>
  <c r="B438" i="4"/>
  <c r="C438" i="4"/>
  <c r="D438" i="4"/>
  <c r="B439" i="4"/>
  <c r="C439" i="4"/>
  <c r="D439" i="4"/>
  <c r="B440" i="4"/>
  <c r="C440" i="4"/>
  <c r="D440" i="4"/>
  <c r="B441" i="4"/>
  <c r="C441" i="4"/>
  <c r="D441" i="4"/>
  <c r="B442" i="4"/>
  <c r="C442" i="4"/>
  <c r="D442" i="4"/>
  <c r="B443" i="4"/>
  <c r="C443" i="4"/>
  <c r="D443" i="4"/>
  <c r="B444" i="4"/>
  <c r="C444" i="4"/>
  <c r="D444" i="4"/>
  <c r="B445" i="4"/>
  <c r="C445" i="4"/>
  <c r="D445" i="4"/>
  <c r="B446" i="4"/>
  <c r="C446" i="4"/>
  <c r="D446" i="4"/>
  <c r="B447" i="4"/>
  <c r="C447" i="4"/>
  <c r="D447" i="4"/>
  <c r="B448" i="4"/>
  <c r="C448" i="4"/>
  <c r="D448" i="4"/>
  <c r="B449" i="4"/>
  <c r="C449" i="4"/>
  <c r="D449" i="4"/>
  <c r="B450" i="4"/>
  <c r="C450" i="4"/>
  <c r="D450" i="4"/>
  <c r="B451" i="4"/>
  <c r="C451" i="4"/>
  <c r="D451" i="4"/>
  <c r="B452" i="4"/>
  <c r="C452" i="4"/>
  <c r="D452" i="4"/>
  <c r="B453" i="4"/>
  <c r="C453" i="4"/>
  <c r="D453" i="4"/>
  <c r="B454" i="4"/>
  <c r="C454" i="4"/>
  <c r="D454" i="4"/>
  <c r="B455" i="4"/>
  <c r="C455" i="4"/>
  <c r="D455" i="4"/>
  <c r="B456" i="4"/>
  <c r="C456" i="4"/>
  <c r="D456" i="4"/>
  <c r="B457" i="4"/>
  <c r="C457" i="4"/>
  <c r="D457" i="4"/>
  <c r="B458" i="4"/>
  <c r="C458" i="4"/>
  <c r="D458" i="4"/>
  <c r="B459" i="4"/>
  <c r="C459" i="4"/>
  <c r="D459" i="4"/>
  <c r="B460" i="4"/>
  <c r="C460" i="4"/>
  <c r="D460" i="4"/>
  <c r="B461" i="4"/>
  <c r="C461" i="4"/>
  <c r="D461" i="4"/>
  <c r="B462" i="4"/>
  <c r="C462" i="4"/>
  <c r="D462" i="4"/>
  <c r="B463" i="4"/>
  <c r="C463" i="4"/>
  <c r="D463" i="4"/>
  <c r="B464" i="4"/>
  <c r="C464" i="4"/>
  <c r="D464" i="4"/>
  <c r="B465" i="4"/>
  <c r="C465" i="4"/>
  <c r="D465" i="4"/>
  <c r="B466" i="4"/>
  <c r="C466" i="4"/>
  <c r="D466" i="4"/>
  <c r="B467" i="4"/>
  <c r="C467" i="4"/>
  <c r="D467" i="4"/>
  <c r="B468" i="4"/>
  <c r="C468" i="4"/>
  <c r="D468" i="4"/>
  <c r="B469" i="4"/>
  <c r="C469" i="4"/>
  <c r="D469" i="4"/>
  <c r="B470" i="4"/>
  <c r="C470" i="4"/>
  <c r="D470" i="4"/>
  <c r="B471" i="4"/>
  <c r="C471" i="4"/>
  <c r="D471" i="4"/>
  <c r="B472" i="4"/>
  <c r="C472" i="4"/>
  <c r="D472" i="4"/>
  <c r="B473" i="4"/>
  <c r="C473" i="4"/>
  <c r="D473" i="4"/>
  <c r="B474" i="4"/>
  <c r="C474" i="4"/>
  <c r="D474" i="4"/>
  <c r="B475" i="4"/>
  <c r="C475" i="4"/>
  <c r="D475" i="4"/>
  <c r="B476" i="4"/>
  <c r="C476" i="4"/>
  <c r="D476" i="4"/>
  <c r="B477" i="4"/>
  <c r="C477" i="4"/>
  <c r="D477" i="4"/>
  <c r="B478" i="4"/>
  <c r="C478" i="4"/>
  <c r="D478" i="4"/>
  <c r="B479" i="4"/>
  <c r="C479" i="4"/>
  <c r="D479" i="4"/>
  <c r="B480" i="4"/>
  <c r="C480" i="4"/>
  <c r="D480" i="4"/>
  <c r="B481" i="4"/>
  <c r="C481" i="4"/>
  <c r="D481" i="4"/>
  <c r="B482" i="4"/>
  <c r="C482" i="4"/>
  <c r="D482" i="4"/>
  <c r="B483" i="4"/>
  <c r="C483" i="4"/>
  <c r="D483" i="4"/>
  <c r="B484" i="4"/>
  <c r="C484" i="4"/>
  <c r="D484" i="4"/>
  <c r="B485" i="4"/>
  <c r="C485" i="4"/>
  <c r="D485" i="4"/>
  <c r="B486" i="4"/>
  <c r="C486" i="4"/>
  <c r="D486" i="4"/>
  <c r="B487" i="4"/>
  <c r="C487" i="4"/>
  <c r="D487" i="4"/>
  <c r="B488" i="4"/>
  <c r="C488" i="4"/>
  <c r="D488" i="4"/>
  <c r="B489" i="4"/>
  <c r="C489" i="4"/>
  <c r="D489" i="4"/>
  <c r="B490" i="4"/>
  <c r="C490" i="4"/>
  <c r="D490" i="4"/>
  <c r="B491" i="4"/>
  <c r="C491" i="4"/>
  <c r="D491" i="4"/>
  <c r="B492" i="4"/>
  <c r="C492" i="4"/>
  <c r="D492" i="4"/>
  <c r="B493" i="4"/>
  <c r="C493" i="4"/>
  <c r="D493" i="4"/>
  <c r="B494" i="4"/>
  <c r="C494" i="4"/>
  <c r="D494" i="4"/>
  <c r="B495" i="4"/>
  <c r="C495" i="4"/>
  <c r="D495" i="4"/>
  <c r="B496" i="4"/>
  <c r="C496" i="4"/>
  <c r="D496" i="4"/>
  <c r="B497" i="4"/>
  <c r="C497" i="4"/>
  <c r="D497" i="4"/>
  <c r="B498" i="4"/>
  <c r="C498" i="4"/>
  <c r="D498" i="4"/>
  <c r="B499" i="4"/>
  <c r="C499" i="4"/>
  <c r="D499" i="4"/>
  <c r="B500" i="4"/>
  <c r="C500" i="4"/>
  <c r="D500" i="4"/>
  <c r="B501" i="4"/>
  <c r="C501" i="4"/>
  <c r="D501" i="4"/>
  <c r="B502" i="4"/>
  <c r="C502" i="4"/>
  <c r="D502" i="4"/>
  <c r="B503" i="4"/>
  <c r="C503" i="4"/>
  <c r="D503" i="4"/>
  <c r="B504" i="4"/>
  <c r="C504" i="4"/>
  <c r="D504" i="4"/>
  <c r="B505" i="4"/>
  <c r="C505" i="4"/>
  <c r="D505" i="4"/>
  <c r="B506" i="4"/>
  <c r="C506" i="4"/>
  <c r="D506" i="4"/>
  <c r="B507" i="4"/>
  <c r="C507" i="4"/>
  <c r="D507" i="4"/>
  <c r="B508" i="4"/>
  <c r="C508" i="4"/>
  <c r="D508" i="4"/>
  <c r="B509" i="4"/>
  <c r="C509" i="4"/>
  <c r="D509" i="4"/>
  <c r="B510" i="4"/>
  <c r="C510" i="4"/>
  <c r="D510" i="4"/>
  <c r="B511" i="4"/>
  <c r="C511" i="4"/>
  <c r="D511" i="4"/>
  <c r="B512" i="4"/>
  <c r="C512" i="4"/>
  <c r="D512" i="4"/>
  <c r="B513" i="4"/>
  <c r="C513" i="4"/>
  <c r="D513" i="4"/>
  <c r="B514" i="4"/>
  <c r="C514" i="4"/>
  <c r="D514" i="4"/>
  <c r="B515" i="4"/>
  <c r="C515" i="4"/>
  <c r="D515" i="4"/>
  <c r="B516" i="4"/>
  <c r="C516" i="4"/>
  <c r="D516" i="4"/>
  <c r="B517" i="4"/>
  <c r="C517" i="4"/>
  <c r="D517" i="4"/>
  <c r="B518" i="4"/>
  <c r="C518" i="4"/>
  <c r="D518" i="4"/>
  <c r="B519" i="4"/>
  <c r="C519" i="4"/>
  <c r="D519" i="4"/>
  <c r="B520" i="4"/>
  <c r="C520" i="4"/>
  <c r="D520" i="4"/>
  <c r="B521" i="4"/>
  <c r="C521" i="4"/>
  <c r="D521" i="4"/>
  <c r="B522" i="4"/>
  <c r="C522" i="4"/>
  <c r="D522" i="4"/>
  <c r="B523" i="4"/>
  <c r="C523" i="4"/>
  <c r="D523" i="4"/>
  <c r="B524" i="4"/>
  <c r="C524" i="4"/>
  <c r="D524" i="4"/>
  <c r="B525" i="4"/>
  <c r="C525" i="4"/>
  <c r="D525" i="4"/>
  <c r="B526" i="4"/>
  <c r="C526" i="4"/>
  <c r="D526" i="4"/>
  <c r="B527" i="4"/>
  <c r="C527" i="4"/>
  <c r="D527" i="4"/>
  <c r="B528" i="4"/>
  <c r="C528" i="4"/>
  <c r="D528" i="4"/>
  <c r="B529" i="4"/>
  <c r="C529" i="4"/>
  <c r="D529" i="4"/>
  <c r="B530" i="4"/>
  <c r="C530" i="4"/>
  <c r="D530" i="4"/>
  <c r="B531" i="4"/>
  <c r="C531" i="4"/>
  <c r="D531" i="4"/>
  <c r="B532" i="4"/>
  <c r="C532" i="4"/>
  <c r="D532" i="4"/>
  <c r="B533" i="4"/>
  <c r="C533" i="4"/>
  <c r="D533" i="4"/>
  <c r="B534" i="4"/>
  <c r="C534" i="4"/>
  <c r="D534" i="4"/>
  <c r="B535" i="4"/>
  <c r="C535" i="4"/>
  <c r="D535" i="4"/>
  <c r="B536" i="4"/>
  <c r="C536" i="4"/>
  <c r="D536" i="4"/>
  <c r="B537" i="4"/>
  <c r="C537" i="4"/>
  <c r="D537" i="4"/>
  <c r="B538" i="4"/>
  <c r="C538" i="4"/>
  <c r="D538" i="4"/>
  <c r="B539" i="4"/>
  <c r="C539" i="4"/>
  <c r="D539" i="4"/>
  <c r="B540" i="4"/>
  <c r="C540" i="4"/>
  <c r="D540" i="4"/>
  <c r="B541" i="4"/>
  <c r="C541" i="4"/>
  <c r="D541" i="4"/>
  <c r="B542" i="4"/>
  <c r="C542" i="4"/>
  <c r="D542" i="4"/>
  <c r="B543" i="4"/>
  <c r="C543" i="4"/>
  <c r="D543" i="4"/>
  <c r="B544" i="4"/>
  <c r="C544" i="4"/>
  <c r="D544" i="4"/>
  <c r="B545" i="4"/>
  <c r="C545" i="4"/>
  <c r="D545" i="4"/>
  <c r="B546" i="4"/>
  <c r="C546" i="4"/>
  <c r="D546" i="4"/>
  <c r="B547" i="4"/>
  <c r="C547" i="4"/>
  <c r="D547" i="4"/>
  <c r="B548" i="4"/>
  <c r="C548" i="4"/>
  <c r="D548" i="4"/>
  <c r="B549" i="4"/>
  <c r="C549" i="4"/>
  <c r="D549" i="4"/>
  <c r="B550" i="4"/>
  <c r="C550" i="4"/>
  <c r="D550" i="4"/>
  <c r="B551" i="4"/>
  <c r="C551" i="4"/>
  <c r="D551" i="4"/>
  <c r="B552" i="4"/>
  <c r="C552" i="4"/>
  <c r="D552" i="4"/>
  <c r="B553" i="4"/>
  <c r="C553" i="4"/>
  <c r="D553" i="4"/>
  <c r="B554" i="4"/>
  <c r="C554" i="4"/>
  <c r="D554" i="4"/>
  <c r="B555" i="4"/>
  <c r="C555" i="4"/>
  <c r="D555" i="4"/>
  <c r="B556" i="4"/>
  <c r="C556" i="4"/>
  <c r="D556" i="4"/>
  <c r="B557" i="4"/>
  <c r="C557" i="4"/>
  <c r="D557" i="4"/>
  <c r="B558" i="4"/>
  <c r="C558" i="4"/>
  <c r="D558" i="4"/>
  <c r="B559" i="4"/>
  <c r="C559" i="4"/>
  <c r="D559" i="4"/>
  <c r="B560" i="4"/>
  <c r="C560" i="4"/>
  <c r="D560" i="4"/>
  <c r="B561" i="4"/>
  <c r="C561" i="4"/>
  <c r="D561" i="4"/>
  <c r="B562" i="4"/>
  <c r="C562" i="4"/>
  <c r="D562" i="4"/>
  <c r="B563" i="4"/>
  <c r="C563" i="4"/>
  <c r="D563" i="4"/>
  <c r="B564" i="4"/>
  <c r="C564" i="4"/>
  <c r="D564" i="4"/>
  <c r="B565" i="4"/>
  <c r="C565" i="4"/>
  <c r="D565" i="4"/>
  <c r="B566" i="4"/>
  <c r="C566" i="4"/>
  <c r="D566" i="4"/>
  <c r="B567" i="4"/>
  <c r="C567" i="4"/>
  <c r="D567" i="4"/>
  <c r="B568" i="4"/>
  <c r="C568" i="4"/>
  <c r="D568" i="4"/>
  <c r="B569" i="4"/>
  <c r="C569" i="4"/>
  <c r="D569" i="4"/>
  <c r="B570" i="4"/>
  <c r="C570" i="4"/>
  <c r="D570" i="4"/>
  <c r="B571" i="4"/>
  <c r="C571" i="4"/>
  <c r="D571" i="4"/>
  <c r="B572" i="4"/>
  <c r="C572" i="4"/>
  <c r="D572" i="4"/>
  <c r="B573" i="4"/>
  <c r="C573" i="4"/>
  <c r="D573" i="4"/>
  <c r="B574" i="4"/>
  <c r="C574" i="4"/>
  <c r="D574" i="4"/>
  <c r="B575" i="4"/>
  <c r="C575" i="4"/>
  <c r="D575" i="4"/>
  <c r="B576" i="4"/>
  <c r="C576" i="4"/>
  <c r="D576" i="4"/>
  <c r="B577" i="4"/>
  <c r="C577" i="4"/>
  <c r="D577" i="4"/>
  <c r="B578" i="4"/>
  <c r="C578" i="4"/>
  <c r="D578" i="4"/>
  <c r="B579" i="4"/>
  <c r="C579" i="4"/>
  <c r="D579" i="4"/>
  <c r="B580" i="4"/>
  <c r="C580" i="4"/>
  <c r="D580" i="4"/>
  <c r="B581" i="4"/>
  <c r="C581" i="4"/>
  <c r="D581" i="4"/>
  <c r="B582" i="4"/>
  <c r="C582" i="4"/>
  <c r="D582" i="4"/>
  <c r="B583" i="4"/>
  <c r="C583" i="4"/>
  <c r="D583" i="4"/>
  <c r="B584" i="4"/>
  <c r="C584" i="4"/>
  <c r="D584" i="4"/>
  <c r="B585" i="4"/>
  <c r="C585" i="4"/>
  <c r="D585" i="4"/>
  <c r="B586" i="4"/>
  <c r="C586" i="4"/>
  <c r="D586" i="4"/>
  <c r="B587" i="4"/>
  <c r="C587" i="4"/>
  <c r="D587" i="4"/>
  <c r="B588" i="4"/>
  <c r="C588" i="4"/>
  <c r="D588" i="4"/>
  <c r="B589" i="4"/>
  <c r="C589" i="4"/>
  <c r="D589" i="4"/>
  <c r="B590" i="4"/>
  <c r="C590" i="4"/>
  <c r="D590" i="4"/>
  <c r="B591" i="4"/>
  <c r="C591" i="4"/>
  <c r="D591" i="4"/>
  <c r="B592" i="4"/>
  <c r="C592" i="4"/>
  <c r="D592" i="4"/>
  <c r="B593" i="4"/>
  <c r="C593" i="4"/>
  <c r="D593" i="4"/>
  <c r="B594" i="4"/>
  <c r="C594" i="4"/>
  <c r="D594" i="4"/>
  <c r="B595" i="4"/>
  <c r="C595" i="4"/>
  <c r="D595" i="4"/>
  <c r="B596" i="4"/>
  <c r="C596" i="4"/>
  <c r="D596" i="4"/>
  <c r="B597" i="4"/>
  <c r="C597" i="4"/>
  <c r="D597" i="4"/>
  <c r="B598" i="4"/>
  <c r="C598" i="4"/>
  <c r="D598" i="4"/>
  <c r="B599" i="4"/>
  <c r="C599" i="4"/>
  <c r="D599" i="4"/>
  <c r="B600" i="4"/>
  <c r="C600" i="4"/>
  <c r="D600" i="4"/>
  <c r="B601" i="4"/>
  <c r="C601" i="4"/>
  <c r="D601" i="4"/>
  <c r="B602" i="4"/>
  <c r="C602" i="4"/>
  <c r="D602" i="4"/>
  <c r="B603" i="4"/>
  <c r="C603" i="4"/>
  <c r="D603" i="4"/>
  <c r="B604" i="4"/>
  <c r="C604" i="4"/>
  <c r="D604" i="4"/>
  <c r="B605" i="4"/>
  <c r="C605" i="4"/>
  <c r="D605" i="4"/>
  <c r="B606" i="4"/>
  <c r="C606" i="4"/>
  <c r="D606" i="4"/>
  <c r="B607" i="4"/>
  <c r="C607" i="4"/>
  <c r="D607" i="4"/>
  <c r="B608" i="4"/>
  <c r="C608" i="4"/>
  <c r="D608" i="4"/>
  <c r="B609" i="4"/>
  <c r="C609" i="4"/>
  <c r="D609" i="4"/>
  <c r="B610" i="4"/>
  <c r="C610" i="4"/>
  <c r="D610" i="4"/>
  <c r="B611" i="4"/>
  <c r="C611" i="4"/>
  <c r="D611" i="4"/>
  <c r="B612" i="4"/>
  <c r="C612" i="4"/>
  <c r="D612" i="4"/>
  <c r="B613" i="4"/>
  <c r="C613" i="4"/>
  <c r="D613" i="4"/>
  <c r="B614" i="4"/>
  <c r="C614" i="4"/>
  <c r="D614" i="4"/>
  <c r="B615" i="4"/>
  <c r="C615" i="4"/>
  <c r="D615" i="4"/>
  <c r="B616" i="4"/>
  <c r="C616" i="4"/>
  <c r="D616" i="4"/>
  <c r="B617" i="4"/>
  <c r="C617" i="4"/>
  <c r="D617" i="4"/>
  <c r="B618" i="4"/>
  <c r="C618" i="4"/>
  <c r="D618" i="4"/>
  <c r="B619" i="4"/>
  <c r="C619" i="4"/>
  <c r="D619" i="4"/>
  <c r="B620" i="4"/>
  <c r="C620" i="4"/>
  <c r="D620" i="4"/>
  <c r="B621" i="4"/>
  <c r="C621" i="4"/>
  <c r="D621" i="4"/>
  <c r="B622" i="4"/>
  <c r="C622" i="4"/>
  <c r="D622" i="4"/>
  <c r="B623" i="4"/>
  <c r="C623" i="4"/>
  <c r="D623" i="4"/>
  <c r="B624" i="4"/>
  <c r="C624" i="4"/>
  <c r="D624" i="4"/>
  <c r="B625" i="4"/>
  <c r="C625" i="4"/>
  <c r="D625" i="4"/>
  <c r="B626" i="4"/>
  <c r="C626" i="4"/>
  <c r="D626" i="4"/>
  <c r="B627" i="4"/>
  <c r="C627" i="4"/>
  <c r="D627" i="4"/>
  <c r="B628" i="4"/>
  <c r="C628" i="4"/>
  <c r="D628" i="4"/>
  <c r="B629" i="4"/>
  <c r="C629" i="4"/>
  <c r="D629" i="4"/>
  <c r="B630" i="4"/>
  <c r="C630" i="4"/>
  <c r="D630" i="4"/>
  <c r="B631" i="4"/>
  <c r="C631" i="4"/>
  <c r="D631" i="4"/>
  <c r="B632" i="4"/>
  <c r="C632" i="4"/>
  <c r="D632" i="4"/>
  <c r="B633" i="4"/>
  <c r="C633" i="4"/>
  <c r="D633" i="4"/>
  <c r="B634" i="4"/>
  <c r="C634" i="4"/>
  <c r="D634" i="4"/>
  <c r="B635" i="4"/>
  <c r="C635" i="4"/>
  <c r="D635" i="4"/>
  <c r="B636" i="4"/>
  <c r="C636" i="4"/>
  <c r="D636" i="4"/>
  <c r="B637" i="4"/>
  <c r="C637" i="4"/>
  <c r="D637" i="4"/>
  <c r="B638" i="4"/>
  <c r="C638" i="4"/>
  <c r="D638" i="4"/>
  <c r="B639" i="4"/>
  <c r="C639" i="4"/>
  <c r="D639" i="4"/>
  <c r="B640" i="4"/>
  <c r="C640" i="4"/>
  <c r="D640" i="4"/>
  <c r="B641" i="4"/>
  <c r="C641" i="4"/>
  <c r="D641" i="4"/>
  <c r="B642" i="4"/>
  <c r="C642" i="4"/>
  <c r="D642" i="4"/>
  <c r="B643" i="4"/>
  <c r="C643" i="4"/>
  <c r="D643" i="4"/>
  <c r="B644" i="4"/>
  <c r="C644" i="4"/>
  <c r="D644" i="4"/>
  <c r="B645" i="4"/>
  <c r="C645" i="4"/>
  <c r="D645" i="4"/>
  <c r="B646" i="4"/>
  <c r="C646" i="4"/>
  <c r="D646" i="4"/>
  <c r="B647" i="4"/>
  <c r="C647" i="4"/>
  <c r="D647" i="4"/>
  <c r="B648" i="4"/>
  <c r="C648" i="4"/>
  <c r="D648" i="4"/>
  <c r="B649" i="4"/>
  <c r="C649" i="4"/>
  <c r="D649" i="4"/>
  <c r="B650" i="4"/>
  <c r="C650" i="4"/>
  <c r="D650" i="4"/>
  <c r="B651" i="4"/>
  <c r="C651" i="4"/>
  <c r="D651" i="4"/>
  <c r="B652" i="4"/>
  <c r="C652" i="4"/>
  <c r="D652" i="4"/>
  <c r="B653" i="4"/>
  <c r="C653" i="4"/>
  <c r="D653" i="4"/>
  <c r="B654" i="4"/>
  <c r="C654" i="4"/>
  <c r="D654" i="4"/>
  <c r="B655" i="4"/>
  <c r="C655" i="4"/>
  <c r="D655" i="4"/>
  <c r="B656" i="4"/>
  <c r="C656" i="4"/>
  <c r="D656" i="4"/>
  <c r="B657" i="4"/>
  <c r="C657" i="4"/>
  <c r="D657" i="4"/>
  <c r="B658" i="4"/>
  <c r="C658" i="4"/>
  <c r="D658" i="4"/>
  <c r="B659" i="4"/>
  <c r="C659" i="4"/>
  <c r="D659" i="4"/>
  <c r="B660" i="4"/>
  <c r="C660" i="4"/>
  <c r="D660" i="4"/>
  <c r="B661" i="4"/>
  <c r="C661" i="4"/>
  <c r="D661" i="4"/>
  <c r="B662" i="4"/>
  <c r="C662" i="4"/>
  <c r="D662" i="4"/>
  <c r="B663" i="4"/>
  <c r="C663" i="4"/>
  <c r="D663" i="4"/>
  <c r="B664" i="4"/>
  <c r="C664" i="4"/>
  <c r="D664" i="4"/>
  <c r="B665" i="4"/>
  <c r="C665" i="4"/>
  <c r="D665" i="4"/>
  <c r="B666" i="4"/>
  <c r="C666" i="4"/>
  <c r="D666" i="4"/>
  <c r="B667" i="4"/>
  <c r="C667" i="4"/>
  <c r="D667" i="4"/>
  <c r="B668" i="4"/>
  <c r="C668" i="4"/>
  <c r="D668" i="4"/>
  <c r="B669" i="4"/>
  <c r="C669" i="4"/>
  <c r="D669" i="4"/>
  <c r="B670" i="4"/>
  <c r="C670" i="4"/>
  <c r="D670" i="4"/>
  <c r="B671" i="4"/>
  <c r="C671" i="4"/>
  <c r="D671" i="4"/>
  <c r="B672" i="4"/>
  <c r="C672" i="4"/>
  <c r="D672" i="4"/>
  <c r="B673" i="4"/>
  <c r="C673" i="4"/>
  <c r="D673" i="4"/>
  <c r="B674" i="4"/>
  <c r="C674" i="4"/>
  <c r="D674" i="4"/>
  <c r="B675" i="4"/>
  <c r="C675" i="4"/>
  <c r="D675" i="4"/>
  <c r="B676" i="4"/>
  <c r="C676" i="4"/>
  <c r="D676" i="4"/>
  <c r="B677" i="4"/>
  <c r="C677" i="4"/>
  <c r="D677" i="4"/>
  <c r="B678" i="4"/>
  <c r="C678" i="4"/>
  <c r="D678" i="4"/>
  <c r="B679" i="4"/>
  <c r="C679" i="4"/>
  <c r="D679" i="4"/>
  <c r="B680" i="4"/>
  <c r="C680" i="4"/>
  <c r="D680" i="4"/>
  <c r="B681" i="4"/>
  <c r="C681" i="4"/>
  <c r="D681" i="4"/>
  <c r="B682" i="4"/>
  <c r="C682" i="4"/>
  <c r="D682" i="4"/>
  <c r="B683" i="4"/>
  <c r="C683" i="4"/>
  <c r="D683" i="4"/>
  <c r="B684" i="4"/>
  <c r="C684" i="4"/>
  <c r="D684" i="4"/>
  <c r="B685" i="4"/>
  <c r="C685" i="4"/>
  <c r="D685" i="4"/>
  <c r="B686" i="4"/>
  <c r="C686" i="4"/>
  <c r="D686" i="4"/>
  <c r="B687" i="4"/>
  <c r="C687" i="4"/>
  <c r="D687" i="4"/>
  <c r="B688" i="4"/>
  <c r="C688" i="4"/>
  <c r="D688" i="4"/>
  <c r="B689" i="4"/>
  <c r="C689" i="4"/>
  <c r="D689" i="4"/>
  <c r="B690" i="4"/>
  <c r="C690" i="4"/>
  <c r="D690" i="4"/>
  <c r="B691" i="4"/>
  <c r="C691" i="4"/>
  <c r="D691" i="4"/>
  <c r="B692" i="4"/>
  <c r="C692" i="4"/>
  <c r="D692" i="4"/>
  <c r="B693" i="4"/>
  <c r="C693" i="4"/>
  <c r="D693" i="4"/>
  <c r="B694" i="4"/>
  <c r="C694" i="4"/>
  <c r="D694" i="4"/>
  <c r="B695" i="4"/>
  <c r="C695" i="4"/>
  <c r="D695" i="4"/>
  <c r="B696" i="4"/>
  <c r="C696" i="4"/>
  <c r="D696" i="4"/>
  <c r="B697" i="4"/>
  <c r="C697" i="4"/>
  <c r="D697" i="4"/>
  <c r="B698" i="4"/>
  <c r="C698" i="4"/>
  <c r="D698" i="4"/>
  <c r="B699" i="4"/>
  <c r="C699" i="4"/>
  <c r="D699" i="4"/>
  <c r="B700" i="4"/>
  <c r="C700" i="4"/>
  <c r="D700" i="4"/>
  <c r="B701" i="4"/>
  <c r="C701" i="4"/>
  <c r="D701" i="4"/>
  <c r="B702" i="4"/>
  <c r="C702" i="4"/>
  <c r="D702" i="4"/>
  <c r="B703" i="4"/>
  <c r="C703" i="4"/>
  <c r="D703" i="4"/>
  <c r="B704" i="4"/>
  <c r="C704" i="4"/>
  <c r="D704" i="4"/>
  <c r="B705" i="4"/>
  <c r="C705" i="4"/>
  <c r="D705" i="4"/>
  <c r="B706" i="4"/>
  <c r="C706" i="4"/>
  <c r="D706" i="4"/>
  <c r="B707" i="4"/>
  <c r="C707" i="4"/>
  <c r="D707" i="4"/>
  <c r="B708" i="4"/>
  <c r="C708" i="4"/>
  <c r="D708" i="4"/>
  <c r="B709" i="4"/>
  <c r="C709" i="4"/>
  <c r="D709" i="4"/>
  <c r="B710" i="4"/>
  <c r="C710" i="4"/>
  <c r="D710" i="4"/>
  <c r="B711" i="4"/>
  <c r="C711" i="4"/>
  <c r="D711" i="4"/>
  <c r="B712" i="4"/>
  <c r="C712" i="4"/>
  <c r="D712" i="4"/>
  <c r="B713" i="4"/>
  <c r="C713" i="4"/>
  <c r="D713" i="4"/>
  <c r="B714" i="4"/>
  <c r="C714" i="4"/>
  <c r="D714" i="4"/>
  <c r="B715" i="4"/>
  <c r="C715" i="4"/>
  <c r="D715" i="4"/>
  <c r="B716" i="4"/>
  <c r="C716" i="4"/>
  <c r="D716" i="4"/>
  <c r="B717" i="4"/>
  <c r="C717" i="4"/>
  <c r="D717" i="4"/>
  <c r="B718" i="4"/>
  <c r="C718" i="4"/>
  <c r="D718" i="4"/>
  <c r="B719" i="4"/>
  <c r="C719" i="4"/>
  <c r="D719" i="4"/>
  <c r="B720" i="4"/>
  <c r="C720" i="4"/>
  <c r="D720" i="4"/>
  <c r="B721" i="4"/>
  <c r="C721" i="4"/>
  <c r="D721" i="4"/>
  <c r="B722" i="4"/>
  <c r="C722" i="4"/>
  <c r="D722" i="4"/>
  <c r="B723" i="4"/>
  <c r="C723" i="4"/>
  <c r="D723" i="4"/>
  <c r="B724" i="4"/>
  <c r="C724" i="4"/>
  <c r="D724" i="4"/>
  <c r="B725" i="4"/>
  <c r="C725" i="4"/>
  <c r="D725" i="4"/>
  <c r="B726" i="4"/>
  <c r="C726" i="4"/>
  <c r="D726" i="4"/>
  <c r="B727" i="4"/>
  <c r="C727" i="4"/>
  <c r="D727" i="4"/>
  <c r="B728" i="4"/>
  <c r="C728" i="4"/>
  <c r="D728" i="4"/>
  <c r="B729" i="4"/>
  <c r="C729" i="4"/>
  <c r="D729" i="4"/>
  <c r="B730" i="4"/>
  <c r="C730" i="4"/>
  <c r="D730" i="4"/>
  <c r="B731" i="4"/>
  <c r="C731" i="4"/>
  <c r="D731" i="4"/>
  <c r="B732" i="4"/>
  <c r="C732" i="4"/>
  <c r="D732" i="4"/>
  <c r="B733" i="4"/>
  <c r="C733" i="4"/>
  <c r="D733" i="4"/>
  <c r="B734" i="4"/>
  <c r="C734" i="4"/>
  <c r="D734" i="4"/>
  <c r="B735" i="4"/>
  <c r="C735" i="4"/>
  <c r="D735" i="4"/>
  <c r="B736" i="4"/>
  <c r="C736" i="4"/>
  <c r="D736" i="4"/>
  <c r="B737" i="4"/>
  <c r="C737" i="4"/>
  <c r="D737" i="4"/>
  <c r="B738" i="4"/>
  <c r="C738" i="4"/>
  <c r="D738" i="4"/>
  <c r="B739" i="4"/>
  <c r="C739" i="4"/>
  <c r="D739" i="4"/>
  <c r="B740" i="4"/>
  <c r="C740" i="4"/>
  <c r="D740" i="4"/>
  <c r="B741" i="4"/>
  <c r="C741" i="4"/>
  <c r="D741" i="4"/>
  <c r="B742" i="4"/>
  <c r="C742" i="4"/>
  <c r="D742" i="4"/>
  <c r="B743" i="4"/>
  <c r="C743" i="4"/>
  <c r="D743" i="4"/>
  <c r="B744" i="4"/>
  <c r="C744" i="4"/>
  <c r="D744" i="4"/>
  <c r="B745" i="4"/>
  <c r="C745" i="4"/>
  <c r="D745" i="4"/>
  <c r="B746" i="4"/>
  <c r="C746" i="4"/>
  <c r="D746" i="4"/>
  <c r="B747" i="4"/>
  <c r="C747" i="4"/>
  <c r="D747" i="4"/>
  <c r="B748" i="4"/>
  <c r="C748" i="4"/>
  <c r="D748" i="4"/>
  <c r="B749" i="4"/>
  <c r="C749" i="4"/>
  <c r="D749" i="4"/>
  <c r="B750" i="4"/>
  <c r="C750" i="4"/>
  <c r="D750" i="4"/>
  <c r="B751" i="4"/>
  <c r="C751" i="4"/>
  <c r="D751" i="4"/>
  <c r="B752" i="4"/>
  <c r="C752" i="4"/>
  <c r="D752" i="4"/>
  <c r="B753" i="4"/>
  <c r="C753" i="4"/>
  <c r="D753" i="4"/>
  <c r="B754" i="4"/>
  <c r="C754" i="4"/>
  <c r="D754" i="4"/>
  <c r="B755" i="4"/>
  <c r="C755" i="4"/>
  <c r="D755" i="4"/>
  <c r="B756" i="4"/>
  <c r="C756" i="4"/>
  <c r="D756" i="4"/>
  <c r="B757" i="4"/>
  <c r="C757" i="4"/>
  <c r="D757" i="4"/>
  <c r="B758" i="4"/>
  <c r="C758" i="4"/>
  <c r="D758" i="4"/>
  <c r="B759" i="4"/>
  <c r="C759" i="4"/>
  <c r="D759" i="4"/>
  <c r="B760" i="4"/>
  <c r="C760" i="4"/>
  <c r="D760" i="4"/>
  <c r="B761" i="4"/>
  <c r="C761" i="4"/>
  <c r="D761" i="4"/>
  <c r="B762" i="4"/>
  <c r="C762" i="4"/>
  <c r="D762" i="4"/>
  <c r="B763" i="4"/>
  <c r="C763" i="4"/>
  <c r="D763" i="4"/>
  <c r="B764" i="4"/>
  <c r="C764" i="4"/>
  <c r="D764" i="4"/>
  <c r="B765" i="4"/>
  <c r="C765" i="4"/>
  <c r="D765" i="4"/>
  <c r="B766" i="4"/>
  <c r="C766" i="4"/>
  <c r="D766" i="4"/>
  <c r="B767" i="4"/>
  <c r="C767" i="4"/>
  <c r="D767" i="4"/>
  <c r="B768" i="4"/>
  <c r="C768" i="4"/>
  <c r="D768" i="4"/>
  <c r="B769" i="4"/>
  <c r="C769" i="4"/>
  <c r="D769" i="4"/>
  <c r="B770" i="4"/>
  <c r="C770" i="4"/>
  <c r="D770" i="4"/>
  <c r="B771" i="4"/>
  <c r="C771" i="4"/>
  <c r="D771" i="4"/>
  <c r="B772" i="4"/>
  <c r="C772" i="4"/>
  <c r="D772" i="4"/>
  <c r="B773" i="4"/>
  <c r="C773" i="4"/>
  <c r="D773" i="4"/>
  <c r="B774" i="4"/>
  <c r="C774" i="4"/>
  <c r="D774" i="4"/>
  <c r="B775" i="4"/>
  <c r="C775" i="4"/>
  <c r="D775" i="4"/>
  <c r="B776" i="4"/>
  <c r="C776" i="4"/>
  <c r="D776" i="4"/>
  <c r="B777" i="4"/>
  <c r="C777" i="4"/>
  <c r="D777" i="4"/>
  <c r="B778" i="4"/>
  <c r="C778" i="4"/>
  <c r="D778" i="4"/>
  <c r="B779" i="4"/>
  <c r="C779" i="4"/>
  <c r="D779" i="4"/>
  <c r="B780" i="4"/>
  <c r="C780" i="4"/>
  <c r="D780" i="4"/>
  <c r="B781" i="4"/>
  <c r="C781" i="4"/>
  <c r="D781" i="4"/>
  <c r="B782" i="4"/>
  <c r="C782" i="4"/>
  <c r="D782" i="4"/>
  <c r="B783" i="4"/>
  <c r="C783" i="4"/>
  <c r="D783" i="4"/>
  <c r="B784" i="4"/>
  <c r="C784" i="4"/>
  <c r="D784" i="4"/>
  <c r="B785" i="4"/>
  <c r="C785" i="4"/>
  <c r="D785" i="4"/>
  <c r="B786" i="4"/>
  <c r="C786" i="4"/>
  <c r="D786" i="4"/>
  <c r="B787" i="4"/>
  <c r="C787" i="4"/>
  <c r="D787" i="4"/>
  <c r="B788" i="4"/>
  <c r="C788" i="4"/>
  <c r="D788" i="4"/>
  <c r="B789" i="4"/>
  <c r="C789" i="4"/>
  <c r="D789" i="4"/>
  <c r="B790" i="4"/>
  <c r="C790" i="4"/>
  <c r="D790" i="4"/>
  <c r="B791" i="4"/>
  <c r="C791" i="4"/>
  <c r="D791" i="4"/>
  <c r="B792" i="4"/>
  <c r="C792" i="4"/>
  <c r="D792" i="4"/>
  <c r="B793" i="4"/>
  <c r="C793" i="4"/>
  <c r="D793" i="4"/>
  <c r="B794" i="4"/>
  <c r="C794" i="4"/>
  <c r="D794" i="4"/>
  <c r="B795" i="4"/>
  <c r="C795" i="4"/>
  <c r="D795" i="4"/>
  <c r="B796" i="4"/>
  <c r="C796" i="4"/>
  <c r="D796" i="4"/>
  <c r="B797" i="4"/>
  <c r="C797" i="4"/>
  <c r="D797" i="4"/>
  <c r="B798" i="4"/>
  <c r="C798" i="4"/>
  <c r="D798" i="4"/>
  <c r="B799" i="4"/>
  <c r="C799" i="4"/>
  <c r="D799" i="4"/>
  <c r="B800" i="4"/>
  <c r="C800" i="4"/>
  <c r="D800" i="4"/>
  <c r="B801" i="4"/>
  <c r="C801" i="4"/>
  <c r="D801" i="4"/>
  <c r="B802" i="4"/>
  <c r="C802" i="4"/>
  <c r="D802" i="4"/>
  <c r="B803" i="4"/>
  <c r="C803" i="4"/>
  <c r="D803" i="4"/>
  <c r="B804" i="4"/>
  <c r="C804" i="4"/>
  <c r="D804" i="4"/>
  <c r="B805" i="4"/>
  <c r="C805" i="4"/>
  <c r="D805" i="4"/>
  <c r="B806" i="4"/>
  <c r="C806" i="4"/>
  <c r="D806" i="4"/>
  <c r="B807" i="4"/>
  <c r="C807" i="4"/>
  <c r="D807" i="4"/>
  <c r="B808" i="4"/>
  <c r="C808" i="4"/>
  <c r="D808" i="4"/>
  <c r="B809" i="4"/>
  <c r="C809" i="4"/>
  <c r="D809" i="4"/>
  <c r="B810" i="4"/>
  <c r="C810" i="4"/>
  <c r="D810" i="4"/>
  <c r="B811" i="4"/>
  <c r="C811" i="4"/>
  <c r="D811" i="4"/>
  <c r="B812" i="4"/>
  <c r="C812" i="4"/>
  <c r="D812" i="4"/>
  <c r="B813" i="4"/>
  <c r="C813" i="4"/>
  <c r="D813" i="4"/>
  <c r="B814" i="4"/>
  <c r="C814" i="4"/>
  <c r="D814" i="4"/>
  <c r="B815" i="4"/>
  <c r="C815" i="4"/>
  <c r="D815" i="4"/>
  <c r="B816" i="4"/>
  <c r="C816" i="4"/>
  <c r="D816" i="4"/>
  <c r="B817" i="4"/>
  <c r="C817" i="4"/>
  <c r="D817" i="4"/>
  <c r="B818" i="4"/>
  <c r="C818" i="4"/>
  <c r="D818" i="4"/>
  <c r="B819" i="4"/>
  <c r="C819" i="4"/>
  <c r="D819" i="4"/>
  <c r="B820" i="4"/>
  <c r="C820" i="4"/>
  <c r="D820" i="4"/>
  <c r="B821" i="4"/>
  <c r="C821" i="4"/>
  <c r="D821" i="4"/>
  <c r="B822" i="4"/>
  <c r="C822" i="4"/>
  <c r="D822" i="4"/>
  <c r="B823" i="4"/>
  <c r="C823" i="4"/>
  <c r="D823" i="4"/>
  <c r="B824" i="4"/>
  <c r="C824" i="4"/>
  <c r="D824" i="4"/>
  <c r="B825" i="4"/>
  <c r="C825" i="4"/>
  <c r="D825" i="4"/>
  <c r="B826" i="4"/>
  <c r="C826" i="4"/>
  <c r="D826" i="4"/>
  <c r="B827" i="4"/>
  <c r="C827" i="4"/>
  <c r="D827" i="4"/>
  <c r="B828" i="4"/>
  <c r="C828" i="4"/>
  <c r="D828" i="4"/>
  <c r="B829" i="4"/>
  <c r="C829" i="4"/>
  <c r="D829" i="4"/>
  <c r="B830" i="4"/>
  <c r="C830" i="4"/>
  <c r="D830" i="4"/>
  <c r="B831" i="4"/>
  <c r="C831" i="4"/>
  <c r="D831" i="4"/>
  <c r="B832" i="4"/>
  <c r="C832" i="4"/>
  <c r="D832" i="4"/>
  <c r="B833" i="4"/>
  <c r="C833" i="4"/>
  <c r="D833" i="4"/>
  <c r="B834" i="4"/>
  <c r="C834" i="4"/>
  <c r="D834" i="4"/>
  <c r="B835" i="4"/>
  <c r="C835" i="4"/>
  <c r="D835" i="4"/>
  <c r="B836" i="4"/>
  <c r="C836" i="4"/>
  <c r="D836" i="4"/>
  <c r="B837" i="4"/>
  <c r="C837" i="4"/>
  <c r="D837" i="4"/>
  <c r="B838" i="4"/>
  <c r="C838" i="4"/>
  <c r="D838" i="4"/>
  <c r="B839" i="4"/>
  <c r="C839" i="4"/>
  <c r="D839" i="4"/>
  <c r="B840" i="4"/>
  <c r="C840" i="4"/>
  <c r="D840" i="4"/>
  <c r="B841" i="4"/>
  <c r="C841" i="4"/>
  <c r="D841" i="4"/>
  <c r="B842" i="4"/>
  <c r="C842" i="4"/>
  <c r="D842" i="4"/>
  <c r="B843" i="4"/>
  <c r="C843" i="4"/>
  <c r="D843" i="4"/>
  <c r="B844" i="4"/>
  <c r="C844" i="4"/>
  <c r="D844" i="4"/>
  <c r="B845" i="4"/>
  <c r="C845" i="4"/>
  <c r="D845" i="4"/>
  <c r="B846" i="4"/>
  <c r="C846" i="4"/>
  <c r="D846" i="4"/>
  <c r="B847" i="4"/>
  <c r="C847" i="4"/>
  <c r="D847" i="4"/>
  <c r="B848" i="4"/>
  <c r="C848" i="4"/>
  <c r="D848" i="4"/>
  <c r="B849" i="4"/>
  <c r="C849" i="4"/>
  <c r="D849" i="4"/>
  <c r="B850" i="4"/>
  <c r="C850" i="4"/>
  <c r="D850" i="4"/>
  <c r="B851" i="4"/>
  <c r="C851" i="4"/>
  <c r="D851" i="4"/>
  <c r="B852" i="4"/>
  <c r="C852" i="4"/>
  <c r="D852" i="4"/>
  <c r="B853" i="4"/>
  <c r="C853" i="4"/>
  <c r="D853" i="4"/>
  <c r="B854" i="4"/>
  <c r="C854" i="4"/>
  <c r="D854" i="4"/>
  <c r="B855" i="4"/>
  <c r="C855" i="4"/>
  <c r="D855" i="4"/>
  <c r="B856" i="4"/>
  <c r="C856" i="4"/>
  <c r="D856" i="4"/>
  <c r="B857" i="4"/>
  <c r="C857" i="4"/>
  <c r="D857" i="4"/>
  <c r="B858" i="4"/>
  <c r="C858" i="4"/>
  <c r="D858" i="4"/>
  <c r="B859" i="4"/>
  <c r="C859" i="4"/>
  <c r="D859" i="4"/>
  <c r="B860" i="4"/>
  <c r="C860" i="4"/>
  <c r="D860" i="4"/>
  <c r="B861" i="4"/>
  <c r="C861" i="4"/>
  <c r="D861" i="4"/>
  <c r="B862" i="4"/>
  <c r="C862" i="4"/>
  <c r="D862" i="4"/>
  <c r="B863" i="4"/>
  <c r="C863" i="4"/>
  <c r="D863" i="4"/>
  <c r="B864" i="4"/>
  <c r="C864" i="4"/>
  <c r="D864" i="4"/>
  <c r="B865" i="4"/>
  <c r="C865" i="4"/>
  <c r="D865" i="4"/>
  <c r="B866" i="4"/>
  <c r="C866" i="4"/>
  <c r="D866" i="4"/>
  <c r="B867" i="4"/>
  <c r="C867" i="4"/>
  <c r="D867" i="4"/>
  <c r="B868" i="4"/>
  <c r="C868" i="4"/>
  <c r="D868" i="4"/>
  <c r="B869" i="4"/>
  <c r="C869" i="4"/>
  <c r="D869" i="4"/>
  <c r="B870" i="4"/>
  <c r="C870" i="4"/>
  <c r="D870" i="4"/>
  <c r="B871" i="4"/>
  <c r="C871" i="4"/>
  <c r="D871" i="4"/>
  <c r="B872" i="4"/>
  <c r="C872" i="4"/>
  <c r="D872" i="4"/>
  <c r="B873" i="4"/>
  <c r="C873" i="4"/>
  <c r="D873" i="4"/>
  <c r="B874" i="4"/>
  <c r="C874" i="4"/>
  <c r="D874" i="4"/>
  <c r="B875" i="4"/>
  <c r="C875" i="4"/>
  <c r="D875" i="4"/>
  <c r="B876" i="4"/>
  <c r="C876" i="4"/>
  <c r="D876" i="4"/>
  <c r="B877" i="4"/>
  <c r="C877" i="4"/>
  <c r="D877" i="4"/>
  <c r="B878" i="4"/>
  <c r="C878" i="4"/>
  <c r="D878" i="4"/>
  <c r="B879" i="4"/>
  <c r="C879" i="4"/>
  <c r="D879" i="4"/>
  <c r="B880" i="4"/>
  <c r="C880" i="4"/>
  <c r="D880" i="4"/>
  <c r="B881" i="4"/>
  <c r="C881" i="4"/>
  <c r="D881" i="4"/>
  <c r="B882" i="4"/>
  <c r="C882" i="4"/>
  <c r="D882" i="4"/>
  <c r="B883" i="4"/>
  <c r="C883" i="4"/>
  <c r="D883" i="4"/>
  <c r="B884" i="4"/>
  <c r="C884" i="4"/>
  <c r="D884" i="4"/>
  <c r="B885" i="4"/>
  <c r="C885" i="4"/>
  <c r="D885" i="4"/>
  <c r="B886" i="4"/>
  <c r="C886" i="4"/>
  <c r="D886" i="4"/>
  <c r="B887" i="4"/>
  <c r="C887" i="4"/>
  <c r="D887" i="4"/>
  <c r="B888" i="4"/>
  <c r="C888" i="4"/>
  <c r="D888" i="4"/>
  <c r="B889" i="4"/>
  <c r="C889" i="4"/>
  <c r="D889" i="4"/>
  <c r="B890" i="4"/>
  <c r="C890" i="4"/>
  <c r="D890" i="4"/>
  <c r="B891" i="4"/>
  <c r="C891" i="4"/>
  <c r="D891" i="4"/>
  <c r="B892" i="4"/>
  <c r="C892" i="4"/>
  <c r="D892" i="4"/>
  <c r="B893" i="4"/>
  <c r="C893" i="4"/>
  <c r="D893" i="4"/>
  <c r="B894" i="4"/>
  <c r="C894" i="4"/>
  <c r="D894" i="4"/>
  <c r="B895" i="4"/>
  <c r="C895" i="4"/>
  <c r="D895" i="4"/>
  <c r="B896" i="4"/>
  <c r="C896" i="4"/>
  <c r="D896" i="4"/>
  <c r="B897" i="4"/>
  <c r="C897" i="4"/>
  <c r="D897" i="4"/>
  <c r="B898" i="4"/>
  <c r="C898" i="4"/>
  <c r="D898" i="4"/>
  <c r="B899" i="4"/>
  <c r="C899" i="4"/>
  <c r="D899" i="4"/>
  <c r="B900" i="4"/>
  <c r="C900" i="4"/>
  <c r="D900" i="4"/>
  <c r="B901" i="4"/>
  <c r="C901" i="4"/>
  <c r="D901" i="4"/>
  <c r="B902" i="4"/>
  <c r="C902" i="4"/>
  <c r="D902" i="4"/>
  <c r="B903" i="4"/>
  <c r="C903" i="4"/>
  <c r="D903" i="4"/>
  <c r="B904" i="4"/>
  <c r="C904" i="4"/>
  <c r="D904" i="4"/>
  <c r="B905" i="4"/>
  <c r="C905" i="4"/>
  <c r="D905" i="4"/>
  <c r="B906" i="4"/>
  <c r="C906" i="4"/>
  <c r="D906" i="4"/>
  <c r="B907" i="4"/>
  <c r="C907" i="4"/>
  <c r="D907" i="4"/>
  <c r="B908" i="4"/>
  <c r="C908" i="4"/>
  <c r="D908" i="4"/>
  <c r="B909" i="4"/>
  <c r="C909" i="4"/>
  <c r="D909" i="4"/>
  <c r="B910" i="4"/>
  <c r="C910" i="4"/>
  <c r="D910" i="4"/>
  <c r="B911" i="4"/>
  <c r="C911" i="4"/>
  <c r="D911" i="4"/>
  <c r="B912" i="4"/>
  <c r="C912" i="4"/>
  <c r="D912" i="4"/>
  <c r="B913" i="4"/>
  <c r="C913" i="4"/>
  <c r="D913" i="4"/>
  <c r="B914" i="4"/>
  <c r="C914" i="4"/>
  <c r="D914" i="4"/>
  <c r="B915" i="4"/>
  <c r="C915" i="4"/>
  <c r="D915" i="4"/>
  <c r="B916" i="4"/>
  <c r="C916" i="4"/>
  <c r="D916" i="4"/>
  <c r="B917" i="4"/>
  <c r="C917" i="4"/>
  <c r="D917" i="4"/>
  <c r="B918" i="4"/>
  <c r="C918" i="4"/>
  <c r="D918" i="4"/>
  <c r="B919" i="4"/>
  <c r="C919" i="4"/>
  <c r="D919" i="4"/>
  <c r="B920" i="4"/>
  <c r="C920" i="4"/>
  <c r="D920" i="4"/>
  <c r="B921" i="4"/>
  <c r="C921" i="4"/>
  <c r="D921" i="4"/>
  <c r="B922" i="4"/>
  <c r="C922" i="4"/>
  <c r="D922" i="4"/>
  <c r="B923" i="4"/>
  <c r="C923" i="4"/>
  <c r="D923" i="4"/>
  <c r="B924" i="4"/>
  <c r="C924" i="4"/>
  <c r="D924" i="4"/>
  <c r="B925" i="4"/>
  <c r="C925" i="4"/>
  <c r="D925" i="4"/>
  <c r="B926" i="4"/>
  <c r="C926" i="4"/>
  <c r="D926" i="4"/>
  <c r="B927" i="4"/>
  <c r="C927" i="4"/>
  <c r="D927" i="4"/>
  <c r="B928" i="4"/>
  <c r="C928" i="4"/>
  <c r="D928" i="4"/>
  <c r="B929" i="4"/>
  <c r="C929" i="4"/>
  <c r="D929" i="4"/>
  <c r="B930" i="4"/>
  <c r="C930" i="4"/>
  <c r="D930" i="4"/>
  <c r="B931" i="4"/>
  <c r="C931" i="4"/>
  <c r="D931" i="4"/>
  <c r="B932" i="4"/>
  <c r="C932" i="4"/>
  <c r="D932" i="4"/>
  <c r="B933" i="4"/>
  <c r="C933" i="4"/>
  <c r="D933" i="4"/>
  <c r="B934" i="4"/>
  <c r="C934" i="4"/>
  <c r="D934" i="4"/>
  <c r="B935" i="4"/>
  <c r="C935" i="4"/>
  <c r="D935" i="4"/>
  <c r="B936" i="4"/>
  <c r="C936" i="4"/>
  <c r="D936" i="4"/>
  <c r="B937" i="4"/>
  <c r="C937" i="4"/>
  <c r="D937" i="4"/>
  <c r="B938" i="4"/>
  <c r="C938" i="4"/>
  <c r="D938" i="4"/>
  <c r="B939" i="4"/>
  <c r="C939" i="4"/>
  <c r="D939" i="4"/>
  <c r="B940" i="4"/>
  <c r="C940" i="4"/>
  <c r="D940" i="4"/>
  <c r="B941" i="4"/>
  <c r="C941" i="4"/>
  <c r="D941" i="4"/>
  <c r="B942" i="4"/>
  <c r="C942" i="4"/>
  <c r="D942" i="4"/>
  <c r="B943" i="4"/>
  <c r="C943" i="4"/>
  <c r="D943" i="4"/>
  <c r="B944" i="4"/>
  <c r="C944" i="4"/>
  <c r="D944" i="4"/>
  <c r="B945" i="4"/>
  <c r="C945" i="4"/>
  <c r="D945" i="4"/>
  <c r="F1986" i="24" l="1"/>
  <c r="F2016" i="24" s="1"/>
  <c r="E113" i="21"/>
  <c r="F113" i="21" s="1"/>
  <c r="F53" i="21"/>
  <c r="E575" i="21"/>
  <c r="F575" i="21" s="1"/>
  <c r="E69" i="21"/>
  <c r="F69" i="21" s="1"/>
  <c r="E54" i="21"/>
  <c r="F54" i="21" s="1"/>
  <c r="E256" i="21"/>
  <c r="F256" i="21" s="1"/>
  <c r="E67" i="21"/>
  <c r="F67" i="21" s="1"/>
  <c r="F45" i="21"/>
  <c r="E65" i="21"/>
  <c r="F65" i="21" s="1"/>
  <c r="E215" i="21"/>
  <c r="F215" i="21" s="1"/>
  <c r="F43" i="21"/>
  <c r="E303" i="21"/>
  <c r="F303" i="21" s="1"/>
  <c r="E50" i="21"/>
  <c r="F50" i="21" s="1"/>
  <c r="F68" i="21"/>
  <c r="F42" i="21"/>
  <c r="E267" i="21"/>
  <c r="F267" i="21" s="1"/>
  <c r="E23" i="21"/>
  <c r="F23" i="21" s="1"/>
  <c r="E52" i="21"/>
  <c r="F52" i="21" s="1"/>
  <c r="F41" i="21"/>
  <c r="E24" i="21"/>
  <c r="F24" i="21" s="1"/>
  <c r="E61" i="21"/>
  <c r="F61" i="21" s="1"/>
  <c r="E60" i="21"/>
  <c r="F60" i="21" s="1"/>
  <c r="F308" i="21"/>
  <c r="E59" i="21"/>
  <c r="F59" i="21" s="1"/>
  <c r="F298" i="21"/>
  <c r="F291" i="21"/>
  <c r="F1092" i="21"/>
  <c r="F293" i="21"/>
  <c r="F264" i="21"/>
  <c r="F569" i="21"/>
  <c r="F295" i="21"/>
  <c r="F508" i="21"/>
  <c r="F297" i="21"/>
  <c r="F299" i="21"/>
  <c r="F306" i="21"/>
  <c r="F573" i="21"/>
  <c r="F255" i="21"/>
  <c r="F361" i="21"/>
  <c r="F1907" i="21"/>
  <c r="F1856" i="21"/>
  <c r="F1760" i="21"/>
  <c r="F1701" i="21"/>
  <c r="F1670" i="21"/>
  <c r="F1600" i="21"/>
  <c r="F300" i="21"/>
  <c r="F280" i="21"/>
  <c r="F305" i="21"/>
  <c r="F279" i="21"/>
  <c r="F312" i="21"/>
  <c r="F128" i="21"/>
  <c r="F292" i="21"/>
  <c r="F294" i="21"/>
  <c r="F689" i="24"/>
  <c r="F697" i="24"/>
  <c r="F649" i="24"/>
  <c r="F521" i="24"/>
  <c r="F599" i="24" s="1"/>
  <c r="F2001" i="24" s="1"/>
  <c r="F132" i="21"/>
  <c r="F1093" i="21"/>
  <c r="F124" i="21"/>
  <c r="F133" i="21"/>
  <c r="F1089" i="21"/>
  <c r="F567" i="21"/>
  <c r="F1580" i="21"/>
  <c r="F1566" i="21"/>
  <c r="F1550" i="21"/>
  <c r="F1536" i="21"/>
  <c r="F1518" i="21"/>
  <c r="F1039" i="21"/>
  <c r="F656" i="21"/>
  <c r="F340" i="21"/>
  <c r="F381" i="21"/>
  <c r="F313" i="21"/>
  <c r="F353" i="21"/>
  <c r="F985" i="21"/>
  <c r="F971" i="21"/>
  <c r="F955" i="21"/>
  <c r="F939" i="21"/>
  <c r="F925" i="21"/>
  <c r="F910" i="21"/>
  <c r="F880" i="21"/>
  <c r="F866" i="21"/>
  <c r="F673" i="21"/>
  <c r="F196" i="21"/>
  <c r="F1122" i="21"/>
  <c r="F1220" i="21"/>
  <c r="F1192" i="21"/>
  <c r="F1166" i="21"/>
  <c r="F1104" i="21"/>
  <c r="F816" i="21"/>
  <c r="F705" i="21"/>
  <c r="F1240" i="21"/>
  <c r="F1136" i="21"/>
  <c r="F1581" i="21"/>
  <c r="F1552" i="21"/>
  <c r="F1519" i="21"/>
  <c r="F1076" i="21"/>
  <c r="F1054" i="21"/>
  <c r="F1041" i="21"/>
  <c r="F1027" i="21"/>
  <c r="F1981" i="21"/>
  <c r="F1968" i="21"/>
  <c r="F1949" i="21"/>
  <c r="F1929" i="21"/>
  <c r="F1901" i="21"/>
  <c r="F1864" i="21"/>
  <c r="F1849" i="21"/>
  <c r="F1799" i="21"/>
  <c r="F1784" i="21"/>
  <c r="F1768" i="21"/>
  <c r="F1754" i="21"/>
  <c r="F1739" i="21"/>
  <c r="F1724" i="21"/>
  <c r="F1709" i="21"/>
  <c r="F1679" i="21"/>
  <c r="F1663" i="21"/>
  <c r="F1647" i="21"/>
  <c r="F1630" i="21"/>
  <c r="F1614" i="21"/>
  <c r="F1594" i="21"/>
  <c r="F530" i="21"/>
  <c r="F1914" i="21"/>
  <c r="F1863" i="21"/>
  <c r="F1831" i="21"/>
  <c r="F1752" i="21"/>
  <c r="F1723" i="21"/>
  <c r="F1629" i="21"/>
  <c r="F753" i="21"/>
  <c r="F480" i="21"/>
  <c r="F419" i="21"/>
  <c r="F290" i="21"/>
  <c r="F227" i="21"/>
  <c r="F374" i="21"/>
  <c r="F1980" i="21"/>
  <c r="F1948" i="21"/>
  <c r="F1848" i="21"/>
  <c r="F1814" i="21"/>
  <c r="F1693" i="21"/>
  <c r="F1662" i="21"/>
  <c r="F807" i="21"/>
  <c r="F778" i="21"/>
  <c r="F726" i="21"/>
  <c r="F695" i="21"/>
  <c r="F556" i="21"/>
  <c r="F467" i="21"/>
  <c r="F437" i="21"/>
  <c r="F406" i="21"/>
  <c r="F339" i="21"/>
  <c r="F208" i="21"/>
  <c r="F304" i="21"/>
  <c r="F568" i="21"/>
  <c r="F555" i="21"/>
  <c r="F635" i="21"/>
  <c r="F602" i="21"/>
  <c r="F239" i="21"/>
  <c r="F174" i="21"/>
  <c r="F586" i="21"/>
  <c r="F360" i="21"/>
  <c r="F283" i="21"/>
  <c r="F520" i="21"/>
  <c r="F680" i="21"/>
  <c r="F1476" i="21"/>
  <c r="F221" i="21"/>
  <c r="F1274" i="21"/>
  <c r="F1219" i="21"/>
  <c r="F1178" i="21"/>
  <c r="F1103" i="21"/>
  <c r="F801" i="21"/>
  <c r="F773" i="21"/>
  <c r="F747" i="21"/>
  <c r="F720" i="21"/>
  <c r="F649" i="21"/>
  <c r="F580" i="21"/>
  <c r="F1501" i="21"/>
  <c r="F1474" i="21"/>
  <c r="F1445" i="21"/>
  <c r="F1429" i="21"/>
  <c r="F1411" i="21"/>
  <c r="F1272" i="21"/>
  <c r="F1238" i="21"/>
  <c r="F1203" i="21"/>
  <c r="F1177" i="21"/>
  <c r="F1146" i="21"/>
  <c r="F800" i="21"/>
  <c r="F772" i="21"/>
  <c r="F746" i="21"/>
  <c r="F719" i="21"/>
  <c r="F689" i="21"/>
  <c r="F379" i="21"/>
  <c r="F346" i="21"/>
  <c r="F249" i="21"/>
  <c r="F169" i="21"/>
  <c r="F318" i="21"/>
  <c r="F1446" i="21"/>
  <c r="F1430" i="21"/>
  <c r="F1332" i="21"/>
  <c r="F1255" i="21"/>
  <c r="F1205" i="21"/>
  <c r="F1121" i="21"/>
  <c r="F815" i="21"/>
  <c r="F786" i="21"/>
  <c r="F760" i="21"/>
  <c r="F734" i="21"/>
  <c r="F704" i="21"/>
  <c r="F1824" i="21"/>
  <c r="F688" i="21"/>
  <c r="F507" i="21"/>
  <c r="F248" i="21"/>
  <c r="F214" i="21"/>
  <c r="F166" i="21"/>
  <c r="F534" i="21"/>
  <c r="F141" i="21"/>
  <c r="F1302" i="21"/>
  <c r="F262" i="21"/>
  <c r="F1460" i="21"/>
  <c r="F1397" i="21"/>
  <c r="F1318" i="21"/>
  <c r="F1239" i="21"/>
  <c r="F628" i="21"/>
  <c r="F612" i="21"/>
  <c r="F560" i="21"/>
  <c r="F544" i="21"/>
  <c r="F487" i="21"/>
  <c r="F275" i="21"/>
  <c r="F247" i="21"/>
  <c r="F1000" i="21"/>
  <c r="F986" i="21"/>
  <c r="F972" i="21"/>
  <c r="F897" i="21"/>
  <c r="F881" i="21"/>
  <c r="F867" i="21"/>
  <c r="F848" i="21"/>
  <c r="F829" i="21"/>
  <c r="F660" i="21"/>
  <c r="F645" i="21"/>
  <c r="F572" i="21"/>
  <c r="F524" i="21"/>
  <c r="F1508" i="21"/>
  <c r="F957" i="21"/>
  <c r="F358" i="21"/>
  <c r="F1554" i="21"/>
  <c r="F898" i="21"/>
  <c r="F868" i="21"/>
  <c r="F830" i="21"/>
  <c r="F331" i="21"/>
  <c r="F212" i="21"/>
  <c r="F140" i="21"/>
  <c r="F1970" i="21"/>
  <c r="F1932" i="21"/>
  <c r="F1903" i="21"/>
  <c r="F1867" i="21"/>
  <c r="F1835" i="21"/>
  <c r="F1770" i="21"/>
  <c r="F1742" i="21"/>
  <c r="F1712" i="21"/>
  <c r="F1681" i="21"/>
  <c r="F1650" i="21"/>
  <c r="F1582" i="21"/>
  <c r="F1568" i="21"/>
  <c r="F1553" i="21"/>
  <c r="F1539" i="21"/>
  <c r="F1520" i="21"/>
  <c r="F1077" i="21"/>
  <c r="F1056" i="21"/>
  <c r="F1028" i="21"/>
  <c r="F139" i="21"/>
  <c r="F373" i="21"/>
  <c r="F418" i="21"/>
  <c r="F1931" i="21"/>
  <c r="F1769" i="21"/>
  <c r="F1616" i="21"/>
  <c r="F1094" i="21"/>
  <c r="F545" i="21"/>
  <c r="F479" i="21"/>
  <c r="F436" i="21"/>
  <c r="F1259" i="21"/>
  <c r="F531" i="21"/>
  <c r="F448" i="21"/>
  <c r="F173" i="21"/>
  <c r="F153" i="21"/>
  <c r="F1490" i="21"/>
  <c r="F1464" i="21"/>
  <c r="F1433" i="21"/>
  <c r="F1400" i="21"/>
  <c r="F1335" i="21"/>
  <c r="F1321" i="21"/>
  <c r="F1304" i="21"/>
  <c r="F1276" i="21"/>
  <c r="F1258" i="21"/>
  <c r="F1241" i="21"/>
  <c r="F1221" i="21"/>
  <c r="F1193" i="21"/>
  <c r="F1180" i="21"/>
  <c r="F1167" i="21"/>
  <c r="F1151" i="21"/>
  <c r="F1123" i="21"/>
  <c r="F775" i="21"/>
  <c r="F750" i="21"/>
  <c r="F252" i="21"/>
  <c r="F238" i="21"/>
  <c r="F466" i="21"/>
  <c r="F450" i="21"/>
  <c r="F405" i="21"/>
  <c r="F1489" i="21"/>
  <c r="F1414" i="21"/>
  <c r="F1382" i="21"/>
  <c r="F237" i="21"/>
  <c r="F506" i="21"/>
  <c r="F391" i="21"/>
  <c r="F1502" i="21"/>
  <c r="F328" i="21"/>
  <c r="F1002" i="21"/>
  <c r="F974" i="21"/>
  <c r="F942" i="21"/>
  <c r="F883" i="21"/>
  <c r="F850" i="21"/>
  <c r="F676" i="21"/>
  <c r="F613" i="21"/>
  <c r="F345" i="21"/>
  <c r="F332" i="21"/>
  <c r="F550" i="21"/>
  <c r="F574" i="21"/>
  <c r="F605" i="21"/>
  <c r="F87" i="24"/>
  <c r="F265" i="21"/>
  <c r="F1408" i="21"/>
  <c r="F1215" i="21"/>
  <c r="F1116" i="21"/>
  <c r="F769" i="21"/>
  <c r="F716" i="21"/>
  <c r="F397" i="21"/>
  <c r="F1084" i="21"/>
  <c r="F1248" i="21"/>
  <c r="F781" i="21"/>
  <c r="F260" i="21"/>
  <c r="F1976" i="21"/>
  <c r="F1964" i="21"/>
  <c r="F1944" i="21"/>
  <c r="F1924" i="21"/>
  <c r="F1892" i="21"/>
  <c r="F1878" i="21"/>
  <c r="F1859" i="21"/>
  <c r="F1844" i="21"/>
  <c r="F1810" i="21"/>
  <c r="F1794" i="21"/>
  <c r="F1778" i="21"/>
  <c r="F1763" i="21"/>
  <c r="F1749" i="21"/>
  <c r="F1733" i="21"/>
  <c r="F1719" i="21"/>
  <c r="F1705" i="21"/>
  <c r="F1689" i="21"/>
  <c r="F1674" i="21"/>
  <c r="F1658" i="21"/>
  <c r="F1642" i="21"/>
  <c r="F1625" i="21"/>
  <c r="F1609" i="21"/>
  <c r="F1589" i="21"/>
  <c r="F1575" i="21"/>
  <c r="F1561" i="21"/>
  <c r="F1546" i="21"/>
  <c r="F1530" i="21"/>
  <c r="F1068" i="21"/>
  <c r="F1048" i="21"/>
  <c r="F1020" i="21"/>
  <c r="F994" i="21"/>
  <c r="F932" i="21"/>
  <c r="F874" i="21"/>
  <c r="F836" i="21"/>
  <c r="F666" i="21"/>
  <c r="F498" i="21"/>
  <c r="F336" i="21"/>
  <c r="F284" i="21"/>
  <c r="F218" i="21"/>
  <c r="F205" i="21"/>
  <c r="F325" i="21"/>
  <c r="F1510" i="21"/>
  <c r="F148" i="21"/>
  <c r="F1456" i="21"/>
  <c r="F1391" i="21"/>
  <c r="F1250" i="21"/>
  <c r="F1130" i="21"/>
  <c r="F810" i="21"/>
  <c r="F743" i="21"/>
  <c r="F698" i="21"/>
  <c r="F1455" i="21"/>
  <c r="F1114" i="21"/>
  <c r="F809" i="21"/>
  <c r="F728" i="21"/>
  <c r="F321" i="21"/>
  <c r="F229" i="21"/>
  <c r="F179" i="21"/>
  <c r="F1963" i="21"/>
  <c r="F1923" i="21"/>
  <c r="F1909" i="21"/>
  <c r="F1877" i="21"/>
  <c r="F1858" i="21"/>
  <c r="F1827" i="21"/>
  <c r="F1793" i="21"/>
  <c r="F1762" i="21"/>
  <c r="F1703" i="21"/>
  <c r="F1673" i="21"/>
  <c r="F1641" i="21"/>
  <c r="F1574" i="21"/>
  <c r="F1545" i="21"/>
  <c r="F1006" i="21"/>
  <c r="F977" i="21"/>
  <c r="F947" i="21"/>
  <c r="F918" i="21"/>
  <c r="F887" i="21"/>
  <c r="F854" i="21"/>
  <c r="F202" i="21"/>
  <c r="F188" i="21"/>
  <c r="F285" i="21"/>
  <c r="F496" i="21"/>
  <c r="F232" i="21"/>
  <c r="F165" i="21"/>
  <c r="F1484" i="21"/>
  <c r="F1328" i="21"/>
  <c r="F1186" i="21"/>
  <c r="F409" i="21"/>
  <c r="F1424" i="21"/>
  <c r="F1185" i="21"/>
  <c r="F823" i="21"/>
  <c r="F1957" i="21"/>
  <c r="F1890" i="21"/>
  <c r="F1857" i="21"/>
  <c r="F1826" i="21"/>
  <c r="F1792" i="21"/>
  <c r="F1731" i="21"/>
  <c r="F1702" i="21"/>
  <c r="F1601" i="21"/>
  <c r="F1586" i="21"/>
  <c r="F1573" i="21"/>
  <c r="F1558" i="21"/>
  <c r="F1544" i="21"/>
  <c r="F1082" i="21"/>
  <c r="F1060" i="21"/>
  <c r="F1046" i="21"/>
  <c r="F1032" i="21"/>
  <c r="F473" i="21"/>
  <c r="F443" i="21"/>
  <c r="F1496" i="21"/>
  <c r="F1425" i="21"/>
  <c r="F782" i="21"/>
  <c r="F1282" i="21"/>
  <c r="F697" i="21"/>
  <c r="F1482" i="21"/>
  <c r="F1453" i="21"/>
  <c r="F1420" i="21"/>
  <c r="F1388" i="21"/>
  <c r="F1343" i="21"/>
  <c r="F1326" i="21"/>
  <c r="F1311" i="21"/>
  <c r="F1295" i="21"/>
  <c r="F1265" i="21"/>
  <c r="F1247" i="21"/>
  <c r="F1227" i="21"/>
  <c r="F1197" i="21"/>
  <c r="F1184" i="21"/>
  <c r="F1171" i="21"/>
  <c r="F1141" i="21"/>
  <c r="F1128" i="21"/>
  <c r="F1113" i="21"/>
  <c r="F808" i="21"/>
  <c r="F793" i="21"/>
  <c r="F767" i="21"/>
  <c r="F696" i="21"/>
  <c r="F684" i="21"/>
  <c r="F395" i="21"/>
  <c r="F228" i="21"/>
  <c r="F486" i="21"/>
  <c r="F824" i="21"/>
  <c r="F231" i="21"/>
  <c r="F412" i="21"/>
  <c r="F1200" i="21"/>
  <c r="F1390" i="21"/>
  <c r="F1129" i="21"/>
  <c r="F1481" i="21"/>
  <c r="F1436" i="21"/>
  <c r="F1404" i="21"/>
  <c r="F637" i="21"/>
  <c r="F604" i="21"/>
  <c r="F536" i="21"/>
  <c r="F257" i="21"/>
  <c r="F194" i="21"/>
  <c r="F177" i="21"/>
  <c r="F1098" i="21"/>
  <c r="F1509" i="21"/>
  <c r="F1470" i="21"/>
  <c r="F1346" i="21"/>
  <c r="F1268" i="21"/>
  <c r="F756" i="21"/>
  <c r="F351" i="21"/>
  <c r="F1483" i="21"/>
  <c r="F1213" i="21"/>
  <c r="F755" i="21"/>
  <c r="F1010" i="21"/>
  <c r="F996" i="21"/>
  <c r="F980" i="21"/>
  <c r="F966" i="21"/>
  <c r="F952" i="21"/>
  <c r="F935" i="21"/>
  <c r="F921" i="21"/>
  <c r="F905" i="21"/>
  <c r="F892" i="21"/>
  <c r="F876" i="21"/>
  <c r="F857" i="21"/>
  <c r="F843" i="21"/>
  <c r="F636" i="21"/>
  <c r="F622" i="21"/>
  <c r="F603" i="21"/>
  <c r="F587" i="21"/>
  <c r="F338" i="21"/>
  <c r="F176" i="21"/>
  <c r="F1441" i="21"/>
  <c r="F1313" i="21"/>
  <c r="F1229" i="21"/>
  <c r="F1173" i="21"/>
  <c r="F729" i="21"/>
  <c r="F1312" i="21"/>
  <c r="F1157" i="21"/>
  <c r="F1590" i="21"/>
  <c r="F1562" i="21"/>
  <c r="F1532" i="21"/>
  <c r="F1069" i="21"/>
  <c r="F979" i="21"/>
  <c r="F965" i="21"/>
  <c r="F951" i="21"/>
  <c r="F934" i="21"/>
  <c r="F920" i="21"/>
  <c r="F891" i="21"/>
  <c r="F856" i="21"/>
  <c r="F652" i="21"/>
  <c r="F499" i="21"/>
  <c r="F288" i="21"/>
  <c r="F206" i="21"/>
  <c r="F269" i="21"/>
  <c r="F350" i="21"/>
  <c r="F175" i="21"/>
  <c r="F488" i="21"/>
  <c r="F683" i="24"/>
  <c r="F612" i="24"/>
  <c r="F270" i="21"/>
  <c r="F1494" i="21"/>
  <c r="F1478" i="21"/>
  <c r="F1468" i="21"/>
  <c r="F1448" i="21"/>
  <c r="F1437" i="21"/>
  <c r="F1415" i="21"/>
  <c r="F1405" i="21"/>
  <c r="F989" i="21"/>
  <c r="F958" i="21"/>
  <c r="F928" i="21"/>
  <c r="F899" i="21"/>
  <c r="F855" i="21"/>
  <c r="F233" i="21"/>
  <c r="F199" i="21"/>
  <c r="F189" i="21"/>
  <c r="F93" i="24"/>
  <c r="F261" i="21"/>
  <c r="F1504" i="21"/>
  <c r="F1078" i="21"/>
  <c r="F1034" i="21"/>
  <c r="F352" i="21"/>
  <c r="F251" i="21"/>
  <c r="F241" i="21"/>
  <c r="F129" i="21"/>
  <c r="F380" i="21"/>
  <c r="F372" i="21"/>
  <c r="F207" i="21"/>
  <c r="F35" i="24"/>
  <c r="F813" i="21"/>
  <c r="F795" i="21"/>
  <c r="F759" i="21"/>
  <c r="F742" i="21"/>
  <c r="F732" i="21"/>
  <c r="F703" i="21"/>
  <c r="F474" i="21"/>
  <c r="F464" i="21"/>
  <c r="F453" i="21"/>
  <c r="F435" i="21"/>
  <c r="F422" i="21"/>
  <c r="F413" i="21"/>
  <c r="F404" i="21"/>
  <c r="F396" i="21"/>
  <c r="F149" i="21"/>
  <c r="F326" i="21"/>
  <c r="F307" i="21"/>
  <c r="F172" i="21"/>
  <c r="F822" i="21"/>
  <c r="F225" i="21"/>
  <c r="F1569" i="21"/>
  <c r="F1559" i="21"/>
  <c r="F588" i="21"/>
  <c r="F343" i="21"/>
  <c r="F335" i="21"/>
  <c r="F316" i="21"/>
  <c r="F821" i="21"/>
  <c r="F1974" i="21"/>
  <c r="F1952" i="21"/>
  <c r="F1941" i="21"/>
  <c r="F1885" i="21"/>
  <c r="F1872" i="21"/>
  <c r="F1852" i="21"/>
  <c r="F1841" i="21"/>
  <c r="F1817" i="21"/>
  <c r="F1806" i="21"/>
  <c r="F1786" i="21"/>
  <c r="F1775" i="21"/>
  <c r="F1746" i="21"/>
  <c r="F1726" i="21"/>
  <c r="F1717" i="21"/>
  <c r="F1696" i="21"/>
  <c r="F1686" i="21"/>
  <c r="F1634" i="21"/>
  <c r="F1622" i="21"/>
  <c r="F1596" i="21"/>
  <c r="F579" i="21"/>
  <c r="F19" i="24"/>
  <c r="F14" i="24"/>
  <c r="F490" i="21"/>
  <c r="F99" i="24"/>
  <c r="F89" i="24"/>
  <c r="F1491" i="21"/>
  <c r="F884" i="21"/>
  <c r="F751" i="21"/>
  <c r="F724" i="21"/>
  <c r="F78" i="24"/>
  <c r="F15" i="24"/>
  <c r="F224" i="21"/>
  <c r="F1342" i="21"/>
  <c r="F1307" i="21"/>
  <c r="F1244" i="21"/>
  <c r="F1210" i="21"/>
  <c r="F1183" i="21"/>
  <c r="F1155" i="21"/>
  <c r="F1127" i="21"/>
  <c r="F518" i="21"/>
  <c r="F296" i="21"/>
  <c r="F209" i="21"/>
  <c r="F100" i="24"/>
  <c r="F546" i="21"/>
  <c r="F317" i="21"/>
  <c r="F1386" i="21"/>
  <c r="F1324" i="21"/>
  <c r="F1209" i="21"/>
  <c r="F1182" i="21"/>
  <c r="F1169" i="21"/>
  <c r="F819" i="21"/>
  <c r="F805" i="21"/>
  <c r="F791" i="21"/>
  <c r="F777" i="21"/>
  <c r="F765" i="21"/>
  <c r="F752" i="21"/>
  <c r="F739" i="21"/>
  <c r="F725" i="21"/>
  <c r="F712" i="21"/>
  <c r="F694" i="21"/>
  <c r="F532" i="21"/>
  <c r="F517" i="21"/>
  <c r="F263" i="21"/>
  <c r="F492" i="21"/>
  <c r="F510" i="21"/>
  <c r="F1083" i="21"/>
  <c r="F235" i="21"/>
  <c r="F1505" i="21"/>
  <c r="F1434" i="21"/>
  <c r="F818" i="21"/>
  <c r="F804" i="21"/>
  <c r="F790" i="21"/>
  <c r="F776" i="21"/>
  <c r="F764" i="21"/>
  <c r="F737" i="21"/>
  <c r="F707" i="21"/>
  <c r="F511" i="21"/>
  <c r="F540" i="21"/>
  <c r="F1572" i="21"/>
  <c r="F633" i="21"/>
  <c r="F597" i="21"/>
  <c r="F463" i="21"/>
  <c r="F447" i="21"/>
  <c r="F434" i="21"/>
  <c r="F403" i="21"/>
  <c r="F382" i="21"/>
  <c r="F371" i="21"/>
  <c r="F138" i="21"/>
  <c r="F123" i="21"/>
  <c r="F489" i="21"/>
  <c r="F1887" i="21"/>
  <c r="F1870" i="21"/>
  <c r="F1773" i="21"/>
  <c r="F1653" i="21"/>
  <c r="F1570" i="21"/>
  <c r="F679" i="21"/>
  <c r="F446" i="21"/>
  <c r="F415" i="21"/>
  <c r="F370" i="21"/>
  <c r="F152" i="21"/>
  <c r="F122" i="21"/>
  <c r="F1938" i="21"/>
  <c r="F1868" i="21"/>
  <c r="F1803" i="21"/>
  <c r="F1772" i="21"/>
  <c r="F1743" i="21"/>
  <c r="F1543" i="21"/>
  <c r="F1018" i="21"/>
  <c r="F1004" i="21"/>
  <c r="F992" i="21"/>
  <c r="F961" i="21"/>
  <c r="F944" i="21"/>
  <c r="F930" i="21"/>
  <c r="F917" i="21"/>
  <c r="F901" i="21"/>
  <c r="F885" i="21"/>
  <c r="F871" i="21"/>
  <c r="F853" i="21"/>
  <c r="F834" i="21"/>
  <c r="F1081" i="21"/>
  <c r="F1059" i="21"/>
  <c r="F1045" i="21"/>
  <c r="F1031" i="21"/>
  <c r="F1003" i="21"/>
  <c r="F990" i="21"/>
  <c r="F975" i="21"/>
  <c r="F959" i="21"/>
  <c r="F943" i="21"/>
  <c r="F929" i="21"/>
  <c r="F915" i="21"/>
  <c r="F870" i="21"/>
  <c r="F833" i="21"/>
  <c r="F663" i="21"/>
  <c r="F615" i="21"/>
  <c r="F223" i="21"/>
  <c r="F1058" i="21"/>
  <c r="F662" i="21"/>
  <c r="F647" i="21"/>
  <c r="F547" i="21"/>
  <c r="F184" i="21"/>
  <c r="F533" i="21"/>
  <c r="F505" i="21"/>
  <c r="F276" i="21"/>
  <c r="F183" i="21"/>
  <c r="F1095" i="21"/>
  <c r="F198" i="21"/>
  <c r="F10" i="24"/>
  <c r="F108" i="24"/>
  <c r="F102" i="24"/>
  <c r="F86" i="24"/>
  <c r="F75" i="24"/>
  <c r="F29" i="24"/>
  <c r="F18" i="24"/>
  <c r="F1190" i="21"/>
  <c r="F1119" i="21"/>
  <c r="F1102" i="21"/>
  <c r="F1012" i="21"/>
  <c r="F984" i="21"/>
  <c r="F627" i="21"/>
  <c r="F566" i="21"/>
  <c r="F501" i="21"/>
  <c r="F485" i="21"/>
  <c r="F424" i="21"/>
  <c r="F324" i="21"/>
  <c r="F797" i="21"/>
  <c r="F770" i="21"/>
  <c r="F744" i="21"/>
  <c r="F717" i="21"/>
  <c r="F624" i="21"/>
  <c r="F377" i="21"/>
  <c r="F364" i="21"/>
  <c r="F271" i="21"/>
  <c r="F243" i="21"/>
  <c r="F230" i="21"/>
  <c r="F204" i="21"/>
  <c r="F812" i="21"/>
  <c r="F784" i="21"/>
  <c r="F771" i="21"/>
  <c r="F758" i="21"/>
  <c r="F217" i="21"/>
  <c r="F687" i="21"/>
  <c r="F592" i="21"/>
  <c r="F472" i="21"/>
  <c r="F456" i="21"/>
  <c r="F442" i="21"/>
  <c r="F410" i="21"/>
  <c r="F398" i="21"/>
  <c r="F378" i="21"/>
  <c r="F365" i="21"/>
  <c r="F639" i="21"/>
  <c r="F1779" i="21"/>
  <c r="F1535" i="21"/>
  <c r="F970" i="21"/>
  <c r="F954" i="21"/>
  <c r="F937" i="21"/>
  <c r="F924" i="21"/>
  <c r="F908" i="21"/>
  <c r="F895" i="21"/>
  <c r="F865" i="21"/>
  <c r="F827" i="21"/>
  <c r="F322" i="21"/>
  <c r="F1052" i="21"/>
  <c r="F1025" i="21"/>
  <c r="F997" i="21"/>
  <c r="F969" i="21"/>
  <c r="F936" i="21"/>
  <c r="F907" i="21"/>
  <c r="F877" i="21"/>
  <c r="F844" i="21"/>
  <c r="F669" i="21"/>
  <c r="F655" i="21"/>
  <c r="F130" i="21"/>
  <c r="F1051" i="21"/>
  <c r="F1037" i="21"/>
  <c r="F1024" i="21"/>
  <c r="F668" i="21"/>
  <c r="F500" i="21"/>
  <c r="F309" i="21"/>
  <c r="F1088" i="21"/>
  <c r="F337" i="21"/>
  <c r="F21" i="24"/>
  <c r="F107" i="24"/>
  <c r="F94" i="24"/>
  <c r="F88" i="24"/>
  <c r="F77" i="24"/>
  <c r="F1100" i="21"/>
  <c r="F106" i="24"/>
  <c r="F90" i="24"/>
  <c r="F73" i="24"/>
  <c r="F33" i="24"/>
  <c r="F27" i="24"/>
  <c r="F16" i="24"/>
  <c r="F26" i="24"/>
  <c r="F9" i="24"/>
  <c r="F97" i="24"/>
  <c r="F76" i="24"/>
  <c r="F74" i="24"/>
  <c r="F28" i="24"/>
  <c r="F11" i="24"/>
  <c r="F17" i="24"/>
  <c r="F1564" i="21"/>
  <c r="F1512" i="21"/>
  <c r="F1459" i="21"/>
  <c r="F1164" i="21"/>
  <c r="F85" i="24"/>
  <c r="F34" i="24"/>
  <c r="F590" i="21"/>
  <c r="F583" i="21"/>
  <c r="F565" i="21"/>
  <c r="F558" i="21"/>
  <c r="F521" i="21"/>
  <c r="F514" i="21"/>
  <c r="F495" i="21"/>
  <c r="F483" i="21"/>
  <c r="F162" i="21"/>
  <c r="F151" i="21"/>
  <c r="F1894" i="21"/>
  <c r="F1838" i="21"/>
  <c r="F1830" i="21"/>
  <c r="F1804" i="21"/>
  <c r="F1758" i="21"/>
  <c r="F1744" i="21"/>
  <c r="F1737" i="21"/>
  <c r="F1729" i="21"/>
  <c r="F1714" i="21"/>
  <c r="F1707" i="21"/>
  <c r="F1700" i="21"/>
  <c r="F1684" i="21"/>
  <c r="F1669" i="21"/>
  <c r="F1637" i="21"/>
  <c r="F1620" i="21"/>
  <c r="F1599" i="21"/>
  <c r="F1584" i="21"/>
  <c r="F1577" i="21"/>
  <c r="F1556" i="21"/>
  <c r="F1500" i="21"/>
  <c r="F1480" i="21"/>
  <c r="F1473" i="21"/>
  <c r="F1458" i="21"/>
  <c r="F1443" i="21"/>
  <c r="F1428" i="21"/>
  <c r="F1418" i="21"/>
  <c r="F1410" i="21"/>
  <c r="F1340" i="21"/>
  <c r="F1316" i="21"/>
  <c r="F1306" i="21"/>
  <c r="F1292" i="21"/>
  <c r="F1285" i="21"/>
  <c r="F1278" i="21"/>
  <c r="F1260" i="21"/>
  <c r="F1252" i="21"/>
  <c r="F1243" i="21"/>
  <c r="F1224" i="21"/>
  <c r="F1188" i="21"/>
  <c r="F1161" i="21"/>
  <c r="F1132" i="21"/>
  <c r="F1126" i="21"/>
  <c r="F1111" i="21"/>
  <c r="F1071" i="21"/>
  <c r="F31" i="24"/>
  <c r="F548" i="21"/>
  <c r="F589" i="21"/>
  <c r="F482" i="21"/>
  <c r="F452" i="21"/>
  <c r="F178" i="21"/>
  <c r="F159" i="21"/>
  <c r="F143" i="21"/>
  <c r="F83" i="24"/>
  <c r="F1904" i="21"/>
  <c r="F1886" i="21"/>
  <c r="F1465" i="21"/>
  <c r="F1450" i="21"/>
  <c r="F1442" i="21"/>
  <c r="F1329" i="21"/>
  <c r="F1322" i="21"/>
  <c r="F1299" i="21"/>
  <c r="F1291" i="21"/>
  <c r="F1231" i="21"/>
  <c r="F1223" i="21"/>
  <c r="F1194" i="21"/>
  <c r="F1174" i="21"/>
  <c r="F1138" i="21"/>
  <c r="F1117" i="21"/>
  <c r="F55" i="21"/>
  <c r="F40" i="21"/>
  <c r="F222" i="21"/>
  <c r="F80" i="24"/>
  <c r="F1971" i="21"/>
  <c r="F1912" i="21"/>
  <c r="F1811" i="21"/>
  <c r="F1750" i="21"/>
  <c r="F1713" i="21"/>
  <c r="F1699" i="21"/>
  <c r="F1683" i="21"/>
  <c r="F1651" i="21"/>
  <c r="F1618" i="21"/>
  <c r="F1522" i="21"/>
  <c r="F1485" i="21"/>
  <c r="F1427" i="21"/>
  <c r="F1392" i="21"/>
  <c r="F1168" i="21"/>
  <c r="F693" i="21"/>
  <c r="F616" i="21"/>
  <c r="F595" i="21"/>
  <c r="F581" i="21"/>
  <c r="F564" i="21"/>
  <c r="F557" i="21"/>
  <c r="F551" i="21"/>
  <c r="F528" i="21"/>
  <c r="F509" i="21"/>
  <c r="F494" i="21"/>
  <c r="F475" i="21"/>
  <c r="F459" i="21"/>
  <c r="F445" i="21"/>
  <c r="F432" i="21"/>
  <c r="F421" i="21"/>
  <c r="F414" i="21"/>
  <c r="F401" i="21"/>
  <c r="F349" i="21"/>
  <c r="F320" i="21"/>
  <c r="F310" i="21"/>
  <c r="F272" i="21"/>
  <c r="F250" i="21"/>
  <c r="F236" i="21"/>
  <c r="F216" i="21"/>
  <c r="F195" i="21"/>
  <c r="F187" i="21"/>
  <c r="F150" i="21"/>
  <c r="F1603" i="24"/>
  <c r="F2010" i="24" s="1"/>
  <c r="F1207" i="21"/>
  <c r="F1050" i="21"/>
  <c r="F1036" i="21"/>
  <c r="F1009" i="21"/>
  <c r="F995" i="21"/>
  <c r="F987" i="21"/>
  <c r="F927" i="21"/>
  <c r="F672" i="21"/>
  <c r="F512" i="21"/>
  <c r="F1022" i="21"/>
  <c r="F392" i="21"/>
  <c r="F1345" i="21"/>
  <c r="F1296" i="21"/>
  <c r="F1198" i="21"/>
  <c r="F1042" i="21"/>
  <c r="F1014" i="21"/>
  <c r="F978" i="21"/>
  <c r="F963" i="21"/>
  <c r="F956" i="21"/>
  <c r="F948" i="21"/>
  <c r="F940" i="21"/>
  <c r="F926" i="21"/>
  <c r="F919" i="21"/>
  <c r="F911" i="21"/>
  <c r="F903" i="21"/>
  <c r="F890" i="21"/>
  <c r="F803" i="21"/>
  <c r="F796" i="21"/>
  <c r="F678" i="21"/>
  <c r="F630" i="21"/>
  <c r="F131" i="21"/>
  <c r="F30" i="24"/>
  <c r="F13" i="24"/>
  <c r="F327" i="21"/>
  <c r="F1732" i="21"/>
  <c r="F1608" i="21"/>
  <c r="F1432" i="21"/>
  <c r="F1399" i="21"/>
  <c r="F1320" i="21"/>
  <c r="F289" i="21"/>
  <c r="F240" i="21"/>
  <c r="F156" i="21"/>
  <c r="F1099" i="21"/>
  <c r="F513" i="21"/>
  <c r="F1013" i="21"/>
  <c r="F999" i="21"/>
  <c r="F735" i="21"/>
  <c r="F690" i="21"/>
  <c r="F629" i="21"/>
  <c r="F1655" i="21"/>
  <c r="F1525" i="21"/>
  <c r="F976" i="21"/>
  <c r="F661" i="21"/>
  <c r="F562" i="21"/>
  <c r="F186" i="21"/>
  <c r="F109" i="24"/>
  <c r="F82" i="24"/>
  <c r="F1593" i="21"/>
  <c r="F682" i="21"/>
  <c r="F675" i="21"/>
  <c r="F610" i="21"/>
  <c r="F591" i="21"/>
  <c r="F559" i="21"/>
  <c r="F543" i="21"/>
  <c r="F522" i="21"/>
  <c r="F504" i="21"/>
  <c r="F484" i="21"/>
  <c r="F470" i="21"/>
  <c r="F454" i="21"/>
  <c r="F441" i="21"/>
  <c r="F423" i="21"/>
  <c r="F362" i="21"/>
  <c r="F330" i="21"/>
  <c r="F274" i="21"/>
  <c r="F197" i="21"/>
  <c r="F180" i="21"/>
  <c r="F163" i="21"/>
  <c r="F146" i="21"/>
  <c r="F49" i="21"/>
  <c r="F105" i="24"/>
  <c r="F72" i="24"/>
  <c r="F1979" i="21"/>
  <c r="F1972" i="21"/>
  <c r="F1954" i="21"/>
  <c r="F1946" i="21"/>
  <c r="F1939" i="21"/>
  <c r="F1927" i="21"/>
  <c r="F1880" i="21"/>
  <c r="F1862" i="21"/>
  <c r="F1854" i="21"/>
  <c r="F1846" i="21"/>
  <c r="F1812" i="21"/>
  <c r="F1790" i="21"/>
  <c r="F1780" i="21"/>
  <c r="F1766" i="21"/>
  <c r="F1751" i="21"/>
  <c r="F1691" i="21"/>
  <c r="F1676" i="21"/>
  <c r="F1661" i="21"/>
  <c r="F1645" i="21"/>
  <c r="F1612" i="21"/>
  <c r="F1563" i="21"/>
  <c r="F1548" i="21"/>
  <c r="F1541" i="21"/>
  <c r="F1533" i="21"/>
  <c r="F1523" i="21"/>
  <c r="F1507" i="21"/>
  <c r="F1466" i="21"/>
  <c r="F1451" i="21"/>
  <c r="F1435" i="21"/>
  <c r="F1403" i="21"/>
  <c r="F1395" i="21"/>
  <c r="F1330" i="21"/>
  <c r="F1300" i="21"/>
  <c r="F1232" i="21"/>
  <c r="F1217" i="21"/>
  <c r="F1201" i="21"/>
  <c r="F1118" i="21"/>
  <c r="F1097" i="21"/>
  <c r="F1090" i="21"/>
  <c r="F650" i="21"/>
  <c r="F632" i="21"/>
  <c r="F618" i="21"/>
  <c r="F596" i="21"/>
  <c r="F552" i="21"/>
  <c r="F529" i="21"/>
  <c r="F476" i="21"/>
  <c r="F461" i="21"/>
  <c r="F402" i="21"/>
  <c r="F369" i="21"/>
  <c r="F311" i="21"/>
  <c r="F273" i="21"/>
  <c r="F144" i="21"/>
  <c r="F62" i="21"/>
  <c r="F1934" i="24"/>
  <c r="F2014" i="24" s="1"/>
  <c r="F287" i="21"/>
  <c r="F1030" i="21"/>
  <c r="F71" i="24"/>
  <c r="F1922" i="21"/>
  <c r="F1918" i="21"/>
  <c r="F1913" i="21"/>
  <c r="F1908" i="21"/>
  <c r="F1592" i="21"/>
  <c r="F1488" i="21"/>
  <c r="F1477" i="21"/>
  <c r="F1471" i="21"/>
  <c r="F1467" i="21"/>
  <c r="F1463" i="21"/>
  <c r="F1457" i="21"/>
  <c r="F1452" i="21"/>
  <c r="F1447" i="21"/>
  <c r="F1289" i="21"/>
  <c r="F1279" i="21"/>
  <c r="F1269" i="21"/>
  <c r="F1256" i="21"/>
  <c r="F1216" i="21"/>
  <c r="F860" i="24"/>
  <c r="F2004" i="24" s="1"/>
  <c r="F619" i="21"/>
  <c r="F606" i="21"/>
  <c r="F593" i="21"/>
  <c r="F584" i="21"/>
  <c r="F570" i="21"/>
  <c r="F561" i="21"/>
  <c r="F553" i="21"/>
  <c r="F537" i="21"/>
  <c r="F525" i="21"/>
  <c r="F515" i="21"/>
  <c r="F502" i="21"/>
  <c r="F491" i="21"/>
  <c r="F477" i="21"/>
  <c r="F468" i="21"/>
  <c r="F457" i="21"/>
  <c r="F438" i="21"/>
  <c r="F425" i="21"/>
  <c r="F416" i="21"/>
  <c r="F407" i="21"/>
  <c r="F399" i="21"/>
  <c r="F576" i="21"/>
  <c r="F1926" i="21"/>
  <c r="F1730" i="21"/>
  <c r="F1725" i="21"/>
  <c r="F1720" i="21"/>
  <c r="F1715" i="21"/>
  <c r="F1659" i="21"/>
  <c r="F1165" i="21"/>
  <c r="F1158" i="21"/>
  <c r="F1154" i="21"/>
  <c r="F1148" i="21"/>
  <c r="F1143" i="21"/>
  <c r="F1139" i="21"/>
  <c r="F1135" i="21"/>
  <c r="F922" i="21"/>
  <c r="F882" i="21"/>
  <c r="F748" i="21"/>
  <c r="F110" i="24"/>
  <c r="F1920" i="21"/>
  <c r="F1915" i="21"/>
  <c r="F1910" i="21"/>
  <c r="F1906" i="21"/>
  <c r="F1833" i="21"/>
  <c r="F1828" i="21"/>
  <c r="F1815" i="21"/>
  <c r="F390" i="21"/>
  <c r="F376" i="21"/>
  <c r="F368" i="21"/>
  <c r="F355" i="21"/>
  <c r="F342" i="21"/>
  <c r="F334" i="21"/>
  <c r="F315" i="21"/>
  <c r="F302" i="21"/>
  <c r="F282" i="21"/>
  <c r="F246" i="21"/>
  <c r="F226" i="21"/>
  <c r="F211" i="21"/>
  <c r="F201" i="21"/>
  <c r="F193" i="21"/>
  <c r="F170" i="21"/>
  <c r="F64" i="21"/>
  <c r="F58" i="21"/>
  <c r="F47" i="21"/>
  <c r="F101" i="24"/>
  <c r="F1871" i="21"/>
  <c r="F1866" i="21"/>
  <c r="F1764" i="21"/>
  <c r="F1639" i="21"/>
  <c r="F1021" i="21"/>
  <c r="F667" i="21"/>
  <c r="F137" i="21"/>
  <c r="F1802" i="21"/>
  <c r="F1797" i="21"/>
  <c r="F181" i="21"/>
  <c r="F171" i="21"/>
  <c r="F157" i="21"/>
  <c r="F160" i="21"/>
  <c r="F1953" i="21"/>
  <c r="F1595" i="21"/>
  <c r="F1495" i="21"/>
  <c r="F1412" i="21"/>
  <c r="F1288" i="21"/>
  <c r="F1283" i="21"/>
  <c r="F654" i="21"/>
  <c r="F1591" i="21"/>
  <c r="F96" i="24"/>
  <c r="F111" i="24"/>
  <c r="F1900" i="21"/>
  <c r="F1891" i="21"/>
  <c r="F1881" i="21"/>
  <c r="F1787" i="21"/>
  <c r="F1782" i="21"/>
  <c r="F1043" i="21"/>
  <c r="F1038" i="21"/>
  <c r="F869" i="21"/>
  <c r="F95" i="24"/>
  <c r="F347" i="21"/>
  <c r="F104" i="24"/>
  <c r="F79" i="24"/>
  <c r="F20" i="24"/>
  <c r="F1492" i="21"/>
  <c r="F1921" i="21"/>
  <c r="F1916" i="21"/>
  <c r="F1026" i="21"/>
  <c r="F1819" i="24"/>
  <c r="F2011" i="24" s="1"/>
  <c r="F427" i="24"/>
  <c r="F2000" i="24" s="1"/>
  <c r="F1761" i="21"/>
  <c r="F1756" i="21"/>
  <c r="F1748" i="21"/>
  <c r="F1738" i="21"/>
  <c r="F1942" i="21"/>
  <c r="F1879" i="21"/>
  <c r="F1861" i="21"/>
  <c r="F1850" i="21"/>
  <c r="F1801" i="21"/>
  <c r="F1795" i="21"/>
  <c r="F1966" i="21"/>
  <c r="F1882" i="21"/>
  <c r="F1978" i="21"/>
  <c r="F1973" i="21"/>
  <c r="F1969" i="21"/>
  <c r="F1965" i="21"/>
  <c r="F1211" i="21"/>
  <c r="F1016" i="21"/>
  <c r="F1007" i="21"/>
  <c r="F798" i="21"/>
  <c r="F789" i="21"/>
  <c r="F779" i="21"/>
  <c r="F1755" i="21"/>
  <c r="F1694" i="21"/>
  <c r="F1628" i="21"/>
  <c r="F1617" i="21"/>
  <c r="F1583" i="21"/>
  <c r="F1487" i="21"/>
  <c r="F1331" i="21"/>
  <c r="F763" i="21"/>
  <c r="F754" i="21"/>
  <c r="F745" i="21"/>
  <c r="F741" i="21"/>
  <c r="F736" i="21"/>
  <c r="F731" i="21"/>
  <c r="F727" i="21"/>
  <c r="F723" i="21"/>
  <c r="F718" i="21"/>
  <c r="F714" i="21"/>
  <c r="F706" i="21"/>
  <c r="F147" i="21"/>
  <c r="F1234" i="24"/>
  <c r="F2007" i="24" s="1"/>
  <c r="F1106" i="24"/>
  <c r="F2006" i="24" s="1"/>
  <c r="F1062" i="24"/>
  <c r="F2005" i="24" s="1"/>
  <c r="F542" i="21"/>
  <c r="F1514" i="24"/>
  <c r="F2009" i="24" s="1"/>
  <c r="F81" i="24"/>
  <c r="F1842" i="21"/>
  <c r="F1721" i="21"/>
  <c r="F1383" i="21"/>
  <c r="F1349" i="21"/>
  <c r="F1301" i="21"/>
  <c r="F1298" i="21"/>
  <c r="F900" i="21"/>
  <c r="F788" i="21"/>
  <c r="F783" i="21"/>
  <c r="F1377" i="24"/>
  <c r="F2008" i="24" s="1"/>
  <c r="F839" i="24"/>
  <c r="F2003" i="24" s="1"/>
  <c r="F384" i="24"/>
  <c r="F1999" i="24" s="1"/>
  <c r="F1837" i="21"/>
  <c r="F914" i="21"/>
  <c r="F851" i="21"/>
  <c r="F847" i="21"/>
  <c r="F286" i="21"/>
  <c r="F356" i="21"/>
  <c r="F577" i="21"/>
  <c r="F1085" i="21"/>
  <c r="F1736" i="21"/>
  <c r="F1657" i="21"/>
  <c r="F1585" i="21"/>
  <c r="F1576" i="21"/>
  <c r="F1486" i="21"/>
  <c r="F1416" i="21"/>
  <c r="F1315" i="21"/>
  <c r="F1156" i="21"/>
  <c r="F1145" i="21"/>
  <c r="F1137" i="21"/>
  <c r="F38" i="24"/>
  <c r="F1776" i="21"/>
  <c r="F1493" i="21"/>
  <c r="F1407" i="21"/>
  <c r="F1080" i="21"/>
  <c r="F1073" i="21"/>
  <c r="F1896" i="24"/>
  <c r="F2013" i="24" s="1"/>
  <c r="F1874" i="24"/>
  <c r="F2012" i="24" s="1"/>
  <c r="F92" i="24"/>
  <c r="F203" i="21"/>
  <c r="F348" i="21"/>
  <c r="F1825" i="21"/>
  <c r="F1816" i="21"/>
  <c r="F1805" i="21"/>
  <c r="F1680" i="21"/>
  <c r="F1675" i="21"/>
  <c r="F1624" i="21"/>
  <c r="F1547" i="21"/>
  <c r="F1538" i="21"/>
  <c r="F1290" i="21"/>
  <c r="F1281" i="21"/>
  <c r="F1271" i="21"/>
  <c r="F1199" i="21"/>
  <c r="F1195" i="21"/>
  <c r="F1191" i="21"/>
  <c r="F1144" i="21"/>
  <c r="F1087" i="21"/>
  <c r="F1053" i="21"/>
  <c r="F1044" i="21"/>
  <c r="F846" i="21"/>
  <c r="F832" i="21"/>
  <c r="F651" i="21"/>
  <c r="F638" i="21"/>
  <c r="F103" i="24"/>
  <c r="F549" i="21"/>
  <c r="F36" i="24"/>
  <c r="F1984" i="21"/>
  <c r="F1671" i="21"/>
  <c r="F1665" i="21"/>
  <c r="F1017" i="21"/>
  <c r="F1708" i="21"/>
  <c r="F646" i="21"/>
  <c r="F1035" i="21"/>
  <c r="F878" i="21"/>
  <c r="F1175" i="21"/>
  <c r="F998" i="21"/>
  <c r="F817" i="21"/>
  <c r="F1975" i="21"/>
  <c r="F1956" i="21"/>
  <c r="F1950" i="21"/>
  <c r="F1928" i="21"/>
  <c r="F1902" i="21"/>
  <c r="F1893" i="21"/>
  <c r="F1845" i="21"/>
  <c r="F1840" i="21"/>
  <c r="F1823" i="21"/>
  <c r="F1807" i="21"/>
  <c r="F1791" i="21"/>
  <c r="F1785" i="21"/>
  <c r="F1767" i="21"/>
  <c r="F1745" i="21"/>
  <c r="F1649" i="21"/>
  <c r="F1643" i="21"/>
  <c r="F1179" i="21"/>
  <c r="F1124" i="21"/>
  <c r="F1001" i="21"/>
  <c r="F820" i="21"/>
  <c r="F768" i="21"/>
  <c r="F1668" i="21"/>
  <c r="F1638" i="21"/>
  <c r="F1633" i="21"/>
  <c r="F1613" i="21"/>
  <c r="F1242" i="21"/>
  <c r="F1982" i="21"/>
  <c r="F1967" i="21"/>
  <c r="F1945" i="21"/>
  <c r="F1940" i="21"/>
  <c r="F1919" i="21"/>
  <c r="F1888" i="21"/>
  <c r="F1883" i="21"/>
  <c r="F1853" i="21"/>
  <c r="F1834" i="21"/>
  <c r="F1829" i="21"/>
  <c r="F1798" i="21"/>
  <c r="F1774" i="21"/>
  <c r="F1757" i="21"/>
  <c r="F1740" i="21"/>
  <c r="F1690" i="21"/>
  <c r="F1685" i="21"/>
  <c r="F1529" i="21"/>
  <c r="F1275" i="21"/>
  <c r="F1140" i="21"/>
  <c r="F962" i="21"/>
  <c r="F904" i="21"/>
  <c r="F1387" i="21"/>
  <c r="F1348" i="21"/>
  <c r="F1327" i="21"/>
  <c r="F1303" i="21"/>
  <c r="F1286" i="21"/>
  <c r="F1264" i="21"/>
  <c r="F1251" i="21"/>
  <c r="F1228" i="21"/>
  <c r="F1206" i="21"/>
  <c r="F1170" i="21"/>
  <c r="F1153" i="21"/>
  <c r="F1131" i="21"/>
  <c r="F1072" i="21"/>
  <c r="F1029" i="21"/>
  <c r="F993" i="21"/>
  <c r="F953" i="21"/>
  <c r="F913" i="21"/>
  <c r="F896" i="21"/>
  <c r="F872" i="21"/>
  <c r="F837" i="21"/>
  <c r="F811" i="21"/>
  <c r="F774" i="21"/>
  <c r="F740" i="21"/>
  <c r="F730" i="21"/>
  <c r="F722" i="21"/>
  <c r="F713" i="21"/>
  <c r="F699" i="21"/>
  <c r="F691" i="21"/>
  <c r="F683" i="21"/>
  <c r="F657" i="21"/>
  <c r="F1727" i="21"/>
  <c r="F1711" i="21"/>
  <c r="F1706" i="21"/>
  <c r="F1688" i="21"/>
  <c r="F1664" i="21"/>
  <c r="F1646" i="21"/>
  <c r="F1626" i="21"/>
  <c r="F1621" i="21"/>
  <c r="F1598" i="21"/>
  <c r="F1567" i="21"/>
  <c r="F1549" i="21"/>
  <c r="F1524" i="21"/>
  <c r="F1497" i="21"/>
  <c r="F1479" i="21"/>
  <c r="F1440" i="21"/>
  <c r="F1419" i="21"/>
  <c r="F1401" i="21"/>
  <c r="F1396" i="21"/>
  <c r="F1334" i="21"/>
  <c r="F1317" i="21"/>
  <c r="F1293" i="21"/>
  <c r="F1277" i="21"/>
  <c r="F1218" i="21"/>
  <c r="F1196" i="21"/>
  <c r="F1181" i="21"/>
  <c r="F1159" i="21"/>
  <c r="F1142" i="21"/>
  <c r="F1067" i="21"/>
  <c r="F1057" i="21"/>
  <c r="F1019" i="21"/>
  <c r="F981" i="21"/>
  <c r="F941" i="21"/>
  <c r="F902" i="21"/>
  <c r="F858" i="21"/>
  <c r="F849" i="21"/>
  <c r="F828" i="21"/>
  <c r="F802" i="21"/>
  <c r="F785" i="21"/>
  <c r="F766" i="21"/>
  <c r="F648" i="21"/>
  <c r="F631" i="21"/>
  <c r="F127" i="21"/>
  <c r="F56" i="21"/>
  <c r="F46" i="21"/>
  <c r="F1718" i="21"/>
  <c r="F1695" i="21"/>
  <c r="F1678" i="21"/>
  <c r="F1654" i="21"/>
  <c r="F1635" i="21"/>
  <c r="F1610" i="21"/>
  <c r="F1588" i="21"/>
  <c r="F1578" i="21"/>
  <c r="F1557" i="21"/>
  <c r="F1540" i="21"/>
  <c r="F1506" i="21"/>
  <c r="F1469" i="21"/>
  <c r="F1409" i="21"/>
  <c r="F1384" i="21"/>
  <c r="F1325" i="21"/>
  <c r="F1305" i="21"/>
  <c r="F1284" i="21"/>
  <c r="F1267" i="21"/>
  <c r="F1254" i="21"/>
  <c r="F1225" i="21"/>
  <c r="F1208" i="21"/>
  <c r="F1187" i="21"/>
  <c r="F1172" i="21"/>
  <c r="F1149" i="21"/>
  <c r="F1133" i="21"/>
  <c r="F1112" i="21"/>
  <c r="F1096" i="21"/>
  <c r="F1047" i="21"/>
  <c r="F1015" i="21"/>
  <c r="F1011" i="21"/>
  <c r="F973" i="21"/>
  <c r="F931" i="21"/>
  <c r="F893" i="21"/>
  <c r="F875" i="21"/>
  <c r="F835" i="21"/>
  <c r="F792" i="21"/>
  <c r="F762" i="21"/>
  <c r="F757" i="21"/>
  <c r="F715" i="21"/>
  <c r="F685" i="21"/>
  <c r="F664" i="21"/>
  <c r="F621" i="21"/>
  <c r="F609" i="21"/>
  <c r="F594" i="21"/>
  <c r="F585" i="21"/>
  <c r="F571" i="21"/>
  <c r="F563" i="21"/>
  <c r="F554" i="21"/>
  <c r="F539" i="21"/>
  <c r="F526" i="21"/>
  <c r="F516" i="21"/>
  <c r="F503" i="21"/>
  <c r="F493" i="21"/>
  <c r="F478" i="21"/>
  <c r="F469" i="21"/>
  <c r="F458" i="21"/>
  <c r="F439" i="21"/>
  <c r="F431" i="21"/>
  <c r="F417" i="21"/>
  <c r="F408" i="21"/>
  <c r="F400" i="21"/>
  <c r="F389" i="21"/>
  <c r="F375" i="21"/>
  <c r="F366" i="21"/>
  <c r="F354" i="21"/>
  <c r="F341" i="21"/>
  <c r="F333" i="21"/>
  <c r="F314" i="21"/>
  <c r="F301" i="21"/>
  <c r="F277" i="21"/>
  <c r="F254" i="21"/>
  <c r="F244" i="21"/>
  <c r="F234" i="21"/>
  <c r="F219" i="21"/>
  <c r="F210" i="21"/>
  <c r="F200" i="21"/>
  <c r="F192" i="21"/>
  <c r="F136" i="21"/>
  <c r="F126" i="21"/>
  <c r="F37" i="24"/>
  <c r="F12" i="24"/>
  <c r="F268" i="21"/>
  <c r="F259" i="21"/>
  <c r="F541" i="21"/>
  <c r="F91" i="24"/>
  <c r="F266" i="21"/>
  <c r="F258" i="21"/>
  <c r="F32" i="24"/>
  <c r="F642" i="21"/>
  <c r="F641" i="21"/>
  <c r="F1959" i="24"/>
  <c r="F2015" i="24" s="1"/>
  <c r="F1498" i="21"/>
  <c r="F701" i="21"/>
  <c r="F640" i="21"/>
  <c r="F1339" i="21"/>
  <c r="F1353" i="21"/>
  <c r="F1352" i="21"/>
  <c r="F1351" i="21"/>
  <c r="F607" i="21"/>
  <c r="F281" i="21"/>
  <c r="F1511" i="21"/>
  <c r="F185" i="21"/>
  <c r="F115" i="24"/>
  <c r="F114" i="24"/>
  <c r="F113" i="24"/>
  <c r="F1986" i="21" l="1"/>
  <c r="F2018" i="21" s="1"/>
  <c r="F1959" i="21"/>
  <c r="F2017" i="21" s="1"/>
  <c r="F1934" i="21"/>
  <c r="F2016" i="21" s="1"/>
  <c r="F1896" i="21"/>
  <c r="F2015" i="21" s="1"/>
  <c r="F1874" i="21"/>
  <c r="F2014" i="21" s="1"/>
  <c r="F1819" i="21"/>
  <c r="F2013" i="21" s="1"/>
  <c r="F1603" i="21"/>
  <c r="F2012" i="21" s="1"/>
  <c r="F1514" i="21"/>
  <c r="F2011" i="21" s="1"/>
  <c r="F1377" i="21"/>
  <c r="F2010" i="21" s="1"/>
  <c r="F1234" i="21"/>
  <c r="F2009" i="21" s="1"/>
  <c r="F1106" i="21"/>
  <c r="F2008" i="21" s="1"/>
  <c r="F1062" i="21"/>
  <c r="F2007" i="21" s="1"/>
  <c r="F860" i="21"/>
  <c r="F2006" i="21" s="1"/>
  <c r="F839" i="21"/>
  <c r="F2005" i="21" s="1"/>
  <c r="F708" i="21"/>
  <c r="F2004" i="21" s="1"/>
  <c r="F599" i="21"/>
  <c r="F2003" i="21" s="1"/>
  <c r="F427" i="21"/>
  <c r="F2002" i="21" s="1"/>
  <c r="F384" i="21"/>
  <c r="F2001" i="21" s="1"/>
  <c r="F708" i="24"/>
  <c r="F2002" i="24" s="1"/>
  <c r="F117" i="21"/>
  <c r="F2000" i="21" s="1"/>
  <c r="F117" i="24"/>
  <c r="F1998" i="24" s="1"/>
  <c r="F2021" i="21" l="1"/>
  <c r="F2022" i="21" s="1"/>
  <c r="F2023" i="21" s="1"/>
  <c r="F2019" i="24"/>
  <c r="F11" i="31" s="1"/>
  <c r="F12" i="31" s="1"/>
  <c r="F2020" i="24" l="1"/>
  <c r="G11" i="31" l="1"/>
  <c r="G12" i="31" s="1"/>
  <c r="F2021" i="24"/>
  <c r="H11" i="31" s="1"/>
  <c r="H12" i="31" s="1"/>
</calcChain>
</file>

<file path=xl/sharedStrings.xml><?xml version="1.0" encoding="utf-8"?>
<sst xmlns="http://schemas.openxmlformats.org/spreadsheetml/2006/main" count="12191" uniqueCount="4415">
  <si>
    <t>N° Prix</t>
  </si>
  <si>
    <t>Qté</t>
  </si>
  <si>
    <t>PU</t>
  </si>
  <si>
    <t>MT</t>
  </si>
  <si>
    <t>1.1.1</t>
  </si>
  <si>
    <t>1.1.2</t>
  </si>
  <si>
    <t>1.2</t>
  </si>
  <si>
    <t>1.3.1.1</t>
  </si>
  <si>
    <t>1.3.1.2</t>
  </si>
  <si>
    <t>1.3.1.3</t>
  </si>
  <si>
    <t>1.3.1.4</t>
  </si>
  <si>
    <t>1.3.1.5</t>
  </si>
  <si>
    <t>1.3.1.6</t>
  </si>
  <si>
    <t>1.3.1.7</t>
  </si>
  <si>
    <t>1.3.1.8</t>
  </si>
  <si>
    <t>1.3.2.1</t>
  </si>
  <si>
    <t>1.3.2.2</t>
  </si>
  <si>
    <t>1.3.2.3</t>
  </si>
  <si>
    <t>1.3.2.4</t>
  </si>
  <si>
    <t>1.3.3.1</t>
  </si>
  <si>
    <t>1.3.3.2</t>
  </si>
  <si>
    <t>1.3.3.3</t>
  </si>
  <si>
    <t>1.3.3.4</t>
  </si>
  <si>
    <t>1.3.4</t>
  </si>
  <si>
    <t>1.3.5</t>
  </si>
  <si>
    <t>1.3.6</t>
  </si>
  <si>
    <t>1.3.7</t>
  </si>
  <si>
    <t>1.3.8</t>
  </si>
  <si>
    <t>1.3.9</t>
  </si>
  <si>
    <t>1.3.10</t>
  </si>
  <si>
    <t>1.3.11</t>
  </si>
  <si>
    <t>1.4.1</t>
  </si>
  <si>
    <t>1.4.2</t>
  </si>
  <si>
    <t>1.4.3</t>
  </si>
  <si>
    <t>1.5</t>
  </si>
  <si>
    <t>1.6</t>
  </si>
  <si>
    <t>1.7.1</t>
  </si>
  <si>
    <t>1.7.2</t>
  </si>
  <si>
    <t>1.7.3</t>
  </si>
  <si>
    <t>2.1.1</t>
  </si>
  <si>
    <t>2.1.2</t>
  </si>
  <si>
    <t>2.1.3</t>
  </si>
  <si>
    <t>2.1.4</t>
  </si>
  <si>
    <t>2.1.5</t>
  </si>
  <si>
    <t>2.2.1</t>
  </si>
  <si>
    <t>2.2.2</t>
  </si>
  <si>
    <t>2.2.3</t>
  </si>
  <si>
    <t>2.2.4</t>
  </si>
  <si>
    <t>2.2.5</t>
  </si>
  <si>
    <t>2.2.6</t>
  </si>
  <si>
    <t>2.2.7</t>
  </si>
  <si>
    <t>2.2.8</t>
  </si>
  <si>
    <t>2.3.1</t>
  </si>
  <si>
    <t>2.3.2</t>
  </si>
  <si>
    <t>2.3.3</t>
  </si>
  <si>
    <t>2.3.4</t>
  </si>
  <si>
    <t>2.3.5</t>
  </si>
  <si>
    <t>2.4.1</t>
  </si>
  <si>
    <t>2.4.2</t>
  </si>
  <si>
    <t>2.4.3</t>
  </si>
  <si>
    <t>2.4.4</t>
  </si>
  <si>
    <t>2.4.5</t>
  </si>
  <si>
    <t>2.4.6</t>
  </si>
  <si>
    <t>2.4.7</t>
  </si>
  <si>
    <t>2.5.1</t>
  </si>
  <si>
    <t>2.5.2</t>
  </si>
  <si>
    <t>2.5.3</t>
  </si>
  <si>
    <t>2.5.4</t>
  </si>
  <si>
    <t>2.5.5</t>
  </si>
  <si>
    <t>2.6.1</t>
  </si>
  <si>
    <t>2.6.2</t>
  </si>
  <si>
    <t>2.6.3</t>
  </si>
  <si>
    <t>2.6.4</t>
  </si>
  <si>
    <t>3.1.1</t>
  </si>
  <si>
    <t>3.1.2</t>
  </si>
  <si>
    <t>3.1.3</t>
  </si>
  <si>
    <t>3.4</t>
  </si>
  <si>
    <t>3.1.5</t>
  </si>
  <si>
    <t>3.1.6</t>
  </si>
  <si>
    <t>3.7</t>
  </si>
  <si>
    <t>3.8</t>
  </si>
  <si>
    <t>3.2.1</t>
  </si>
  <si>
    <t>3.2.2</t>
  </si>
  <si>
    <t>3.2.3</t>
  </si>
  <si>
    <t>3.3.1</t>
  </si>
  <si>
    <t>3.3.2</t>
  </si>
  <si>
    <t>3.3.3</t>
  </si>
  <si>
    <t>3.4.1</t>
  </si>
  <si>
    <t>3.4.2</t>
  </si>
  <si>
    <t>3.4.3</t>
  </si>
  <si>
    <t>3.5.1</t>
  </si>
  <si>
    <t>3.5.2</t>
  </si>
  <si>
    <t>4.1.1</t>
  </si>
  <si>
    <t>4.1.2</t>
  </si>
  <si>
    <t>4.1.3</t>
  </si>
  <si>
    <t>4.1.4</t>
  </si>
  <si>
    <t>4.1.5</t>
  </si>
  <si>
    <t>4.1.6</t>
  </si>
  <si>
    <t>4.1.7</t>
  </si>
  <si>
    <t>4.1.8</t>
  </si>
  <si>
    <t>4.1.9</t>
  </si>
  <si>
    <t>4.1.10</t>
  </si>
  <si>
    <t>4.1.11</t>
  </si>
  <si>
    <t>4.1.12</t>
  </si>
  <si>
    <t>4.1.13</t>
  </si>
  <si>
    <t>4.1.14</t>
  </si>
  <si>
    <t>4.2.1</t>
  </si>
  <si>
    <t>4.2.2</t>
  </si>
  <si>
    <t>4.2.3</t>
  </si>
  <si>
    <t>4.2.4</t>
  </si>
  <si>
    <t>4.2.5</t>
  </si>
  <si>
    <t>4.2.6.1</t>
  </si>
  <si>
    <t>4.2.6.2</t>
  </si>
  <si>
    <t>4.2.6.3</t>
  </si>
  <si>
    <t>4.2.7.1</t>
  </si>
  <si>
    <t>4.2.7.2</t>
  </si>
  <si>
    <t>4.2.7.3</t>
  </si>
  <si>
    <t>5.1.1</t>
  </si>
  <si>
    <t>5.1.2</t>
  </si>
  <si>
    <t>5.1.3</t>
  </si>
  <si>
    <t>5.1.4</t>
  </si>
  <si>
    <t>5.1.5</t>
  </si>
  <si>
    <t>5.1.6</t>
  </si>
  <si>
    <t>5.1.7</t>
  </si>
  <si>
    <t>5.1.8</t>
  </si>
  <si>
    <t>5.1.9.1</t>
  </si>
  <si>
    <t>5.1.9.2</t>
  </si>
  <si>
    <t>5.1.9.3</t>
  </si>
  <si>
    <t>5.1.9.4</t>
  </si>
  <si>
    <t>5.1.9.5</t>
  </si>
  <si>
    <t>5.1.9.6</t>
  </si>
  <si>
    <t>5.1.9.7</t>
  </si>
  <si>
    <t>5.1.9.8</t>
  </si>
  <si>
    <t>5.1.9.9</t>
  </si>
  <si>
    <t>5.1.9.10</t>
  </si>
  <si>
    <t>5.1.10.1</t>
  </si>
  <si>
    <t>5.1.10.2</t>
  </si>
  <si>
    <t>5.1.10.3</t>
  </si>
  <si>
    <t>5.1.11.1</t>
  </si>
  <si>
    <t>5.1.11.2</t>
  </si>
  <si>
    <t>5.1.11.3</t>
  </si>
  <si>
    <t>5.1.12</t>
  </si>
  <si>
    <t>5.1.13.1</t>
  </si>
  <si>
    <t>5.1.13.2</t>
  </si>
  <si>
    <t>5.2.1.1</t>
  </si>
  <si>
    <t>5.2.1.2</t>
  </si>
  <si>
    <t>5.2.1.3</t>
  </si>
  <si>
    <t>5.2.1.4</t>
  </si>
  <si>
    <t>5.2.1.5</t>
  </si>
  <si>
    <t>5.2.1.6</t>
  </si>
  <si>
    <t>5.2.1.7</t>
  </si>
  <si>
    <t>5.2.1.8</t>
  </si>
  <si>
    <t>5.2.1.9</t>
  </si>
  <si>
    <t>5.2.1.10</t>
  </si>
  <si>
    <t>5.2.1.11</t>
  </si>
  <si>
    <t>5.2.1.12</t>
  </si>
  <si>
    <t>5.2.1.13</t>
  </si>
  <si>
    <t>5.2.2.1</t>
  </si>
  <si>
    <t>5.2.2.2</t>
  </si>
  <si>
    <t>5.2.2.3</t>
  </si>
  <si>
    <t>5.2.2.4</t>
  </si>
  <si>
    <t>5.2.2.5</t>
  </si>
  <si>
    <t>5.2.2.6</t>
  </si>
  <si>
    <t>5.2.2.7</t>
  </si>
  <si>
    <t>5.2.2.8</t>
  </si>
  <si>
    <t>5.2.2.9</t>
  </si>
  <si>
    <t>5.2.2.10</t>
  </si>
  <si>
    <t>5.2.3.1</t>
  </si>
  <si>
    <t>5.2.3.2</t>
  </si>
  <si>
    <t>5.2.4.1</t>
  </si>
  <si>
    <t>5.2.4.2</t>
  </si>
  <si>
    <t>5.2.4.3</t>
  </si>
  <si>
    <t>5.2.4.4</t>
  </si>
  <si>
    <t>5.2.4.5</t>
  </si>
  <si>
    <t>5.2.4.6</t>
  </si>
  <si>
    <t>5.2.4.7</t>
  </si>
  <si>
    <t>5.2.4.8</t>
  </si>
  <si>
    <t>5.2.4.9</t>
  </si>
  <si>
    <t>5.2.4.10</t>
  </si>
  <si>
    <t>5.2.4.11</t>
  </si>
  <si>
    <t>5.2.4.12</t>
  </si>
  <si>
    <t>5.2.4.13</t>
  </si>
  <si>
    <t>5.2.4.14</t>
  </si>
  <si>
    <t>5.2.4.15</t>
  </si>
  <si>
    <t>5.2.4.16</t>
  </si>
  <si>
    <t>5.2.4.17</t>
  </si>
  <si>
    <t>5.3.1</t>
  </si>
  <si>
    <t>5.3.2</t>
  </si>
  <si>
    <t>5.3.3</t>
  </si>
  <si>
    <t>5.3.4</t>
  </si>
  <si>
    <t>5.3.5</t>
  </si>
  <si>
    <t>5.3.6</t>
  </si>
  <si>
    <t>5.3.7</t>
  </si>
  <si>
    <t>5.3.8</t>
  </si>
  <si>
    <t>5.3.9</t>
  </si>
  <si>
    <t>5.3.10</t>
  </si>
  <si>
    <t>5.3.11</t>
  </si>
  <si>
    <t>5.3.12</t>
  </si>
  <si>
    <t>5.3.13</t>
  </si>
  <si>
    <t>5.3.14</t>
  </si>
  <si>
    <t>5.3.15</t>
  </si>
  <si>
    <t>5.3.16</t>
  </si>
  <si>
    <t>5.3.17</t>
  </si>
  <si>
    <t>6.1</t>
  </si>
  <si>
    <t>6.2</t>
  </si>
  <si>
    <t>6.3</t>
  </si>
  <si>
    <t>6.4</t>
  </si>
  <si>
    <t>6.5.1</t>
  </si>
  <si>
    <t>6.5.2</t>
  </si>
  <si>
    <t>6.5.3</t>
  </si>
  <si>
    <t>6.6.1</t>
  </si>
  <si>
    <t>6.6.2</t>
  </si>
  <si>
    <t>6.6.3</t>
  </si>
  <si>
    <t>6.7.1</t>
  </si>
  <si>
    <t>6.7.2</t>
  </si>
  <si>
    <t>6.7.3</t>
  </si>
  <si>
    <t>6.8.1</t>
  </si>
  <si>
    <t>6.8.2</t>
  </si>
  <si>
    <t>6.8.3</t>
  </si>
  <si>
    <t>6.9.1</t>
  </si>
  <si>
    <t>6.9.2</t>
  </si>
  <si>
    <t>6.9.3</t>
  </si>
  <si>
    <t>6.10.1</t>
  </si>
  <si>
    <t>6.10.2</t>
  </si>
  <si>
    <t>6.10.3</t>
  </si>
  <si>
    <t>6.11</t>
  </si>
  <si>
    <t>6.12.1</t>
  </si>
  <si>
    <t>6.12.2</t>
  </si>
  <si>
    <t>6.13</t>
  </si>
  <si>
    <t>6.14</t>
  </si>
  <si>
    <t>6.15</t>
  </si>
  <si>
    <t>6.16</t>
  </si>
  <si>
    <t>6.17.1</t>
  </si>
  <si>
    <t>6.17.2</t>
  </si>
  <si>
    <t>6.17.3</t>
  </si>
  <si>
    <t>6.17.4</t>
  </si>
  <si>
    <t>6.17.5</t>
  </si>
  <si>
    <t>7.1.1</t>
  </si>
  <si>
    <t>7.1.2</t>
  </si>
  <si>
    <t>7.1.3</t>
  </si>
  <si>
    <t>7.1.4</t>
  </si>
  <si>
    <t>7.1.5</t>
  </si>
  <si>
    <t>7.1.6</t>
  </si>
  <si>
    <t>7.1.7</t>
  </si>
  <si>
    <t>7.2.1</t>
  </si>
  <si>
    <t>7.2.2</t>
  </si>
  <si>
    <t>7.2.3</t>
  </si>
  <si>
    <t>8.1</t>
  </si>
  <si>
    <t>8.2.1</t>
  </si>
  <si>
    <t>8.2.2</t>
  </si>
  <si>
    <t>8.2.3</t>
  </si>
  <si>
    <t>8.2.4</t>
  </si>
  <si>
    <t>8.2.5</t>
  </si>
  <si>
    <t>8.2.6</t>
  </si>
  <si>
    <t>8.2.7</t>
  </si>
  <si>
    <t>8.3.1</t>
  </si>
  <si>
    <t>8.3.2</t>
  </si>
  <si>
    <t>8.3.3</t>
  </si>
  <si>
    <t>8.3.4</t>
  </si>
  <si>
    <t>8.3.5</t>
  </si>
  <si>
    <t>8.3.6</t>
  </si>
  <si>
    <t>8.3.7</t>
  </si>
  <si>
    <t>8.3.8</t>
  </si>
  <si>
    <t>8.3.9</t>
  </si>
  <si>
    <t>8.3.10</t>
  </si>
  <si>
    <t>8.3.11</t>
  </si>
  <si>
    <t>8.4.1</t>
  </si>
  <si>
    <t>8.4.2</t>
  </si>
  <si>
    <t>8.4.3</t>
  </si>
  <si>
    <t>8.4.4</t>
  </si>
  <si>
    <t>8.4.5</t>
  </si>
  <si>
    <t>8.4.6</t>
  </si>
  <si>
    <t>8.4.7</t>
  </si>
  <si>
    <t>8.4.8</t>
  </si>
  <si>
    <t>8.4.9</t>
  </si>
  <si>
    <t>8.4.10</t>
  </si>
  <si>
    <t>8.4.11</t>
  </si>
  <si>
    <t>8.5.1</t>
  </si>
  <si>
    <t>8.5.2</t>
  </si>
  <si>
    <t>8.5.3</t>
  </si>
  <si>
    <t>8.5.4</t>
  </si>
  <si>
    <t>8.5.5</t>
  </si>
  <si>
    <t>8.5.6</t>
  </si>
  <si>
    <t>8.5.7</t>
  </si>
  <si>
    <t>8.5.8</t>
  </si>
  <si>
    <t>8.5.9</t>
  </si>
  <si>
    <t>8.5.10</t>
  </si>
  <si>
    <t>8.5.11</t>
  </si>
  <si>
    <t>8.6.1</t>
  </si>
  <si>
    <t>8.6.2</t>
  </si>
  <si>
    <t>8.6.3</t>
  </si>
  <si>
    <t>8.6.4</t>
  </si>
  <si>
    <t>8.6.5</t>
  </si>
  <si>
    <t>8.6.6</t>
  </si>
  <si>
    <t>8.6.7</t>
  </si>
  <si>
    <t>8.6.8</t>
  </si>
  <si>
    <t>8.6.10</t>
  </si>
  <si>
    <t>8.6.11</t>
  </si>
  <si>
    <t>87.1</t>
  </si>
  <si>
    <t>8.7.2</t>
  </si>
  <si>
    <t>8.8.1</t>
  </si>
  <si>
    <t>8.8.2</t>
  </si>
  <si>
    <t>8.8.3</t>
  </si>
  <si>
    <t>8.8.4</t>
  </si>
  <si>
    <t>8.8.5</t>
  </si>
  <si>
    <t>8.8.6</t>
  </si>
  <si>
    <t>8.8.7</t>
  </si>
  <si>
    <t>8.9.1</t>
  </si>
  <si>
    <t>8.9.2</t>
  </si>
  <si>
    <t>8.9.3</t>
  </si>
  <si>
    <t>8.9.4</t>
  </si>
  <si>
    <t>8.9.5</t>
  </si>
  <si>
    <t>8.9.6</t>
  </si>
  <si>
    <t>8.9.7</t>
  </si>
  <si>
    <t>8.9.8</t>
  </si>
  <si>
    <t>8.9.9</t>
  </si>
  <si>
    <t>8.9.10</t>
  </si>
  <si>
    <t>8.9.11</t>
  </si>
  <si>
    <t>8.9.12</t>
  </si>
  <si>
    <t>8.10.1</t>
  </si>
  <si>
    <t>8.10.2</t>
  </si>
  <si>
    <t>8.10.3</t>
  </si>
  <si>
    <t>8.10.4</t>
  </si>
  <si>
    <t>8.10.5</t>
  </si>
  <si>
    <t>8.10.6</t>
  </si>
  <si>
    <t>8.10.7</t>
  </si>
  <si>
    <t>8.10.8</t>
  </si>
  <si>
    <t>8.10.9</t>
  </si>
  <si>
    <t>8.10.10</t>
  </si>
  <si>
    <t>8.10.11</t>
  </si>
  <si>
    <t>8.10.12</t>
  </si>
  <si>
    <t>8.11.1</t>
  </si>
  <si>
    <t>8.11.2</t>
  </si>
  <si>
    <t>8.11.3</t>
  </si>
  <si>
    <t>8.11.4</t>
  </si>
  <si>
    <t>8.11.5</t>
  </si>
  <si>
    <t>8.11.6</t>
  </si>
  <si>
    <t>8.11.7</t>
  </si>
  <si>
    <t>8.11.8</t>
  </si>
  <si>
    <t>8.11.9</t>
  </si>
  <si>
    <t>8.11.10</t>
  </si>
  <si>
    <t>8.11.11</t>
  </si>
  <si>
    <t>8.11.12</t>
  </si>
  <si>
    <t>8.12.1</t>
  </si>
  <si>
    <t>8.12.2</t>
  </si>
  <si>
    <t>8.12.3</t>
  </si>
  <si>
    <t>8.12.4</t>
  </si>
  <si>
    <t>8.13.1</t>
  </si>
  <si>
    <t>8.13.2</t>
  </si>
  <si>
    <t>8.13.3</t>
  </si>
  <si>
    <t>8.13.4</t>
  </si>
  <si>
    <t>8.14.1</t>
  </si>
  <si>
    <t>8.14.2</t>
  </si>
  <si>
    <t>8.14.3</t>
  </si>
  <si>
    <t>8.14.4</t>
  </si>
  <si>
    <t>8.15.1</t>
  </si>
  <si>
    <t>8.15.2</t>
  </si>
  <si>
    <t>8.15.3</t>
  </si>
  <si>
    <t>8.15.4</t>
  </si>
  <si>
    <t>8.15.5</t>
  </si>
  <si>
    <t>8.15.6</t>
  </si>
  <si>
    <t>8.15.7</t>
  </si>
  <si>
    <t>8.16.1</t>
  </si>
  <si>
    <t>8.16.2</t>
  </si>
  <si>
    <t>8.16.3</t>
  </si>
  <si>
    <t>8.16.4</t>
  </si>
  <si>
    <t>8.17.1</t>
  </si>
  <si>
    <t>8.17.2</t>
  </si>
  <si>
    <t>8.17.3</t>
  </si>
  <si>
    <t>8.17.4</t>
  </si>
  <si>
    <t>8.17.5</t>
  </si>
  <si>
    <t>8.17.6</t>
  </si>
  <si>
    <t>8.17.7</t>
  </si>
  <si>
    <t>8.17.8</t>
  </si>
  <si>
    <t>8.17.9</t>
  </si>
  <si>
    <t>8.17.10</t>
  </si>
  <si>
    <t>8.18.1</t>
  </si>
  <si>
    <t>8.18.2</t>
  </si>
  <si>
    <t>8.18.3</t>
  </si>
  <si>
    <t>8.18.4</t>
  </si>
  <si>
    <t>8.18.5</t>
  </si>
  <si>
    <t>8.18.6</t>
  </si>
  <si>
    <t>8.18.7</t>
  </si>
  <si>
    <t>8.18.8</t>
  </si>
  <si>
    <t>8.18.9</t>
  </si>
  <si>
    <t>8.18.10</t>
  </si>
  <si>
    <t>8.19.1</t>
  </si>
  <si>
    <t>8.19.2</t>
  </si>
  <si>
    <t>8.19.3</t>
  </si>
  <si>
    <t>8.19.4</t>
  </si>
  <si>
    <t>8.19.5</t>
  </si>
  <si>
    <t>8.19.6</t>
  </si>
  <si>
    <t>8.20.1</t>
  </si>
  <si>
    <t>8.20.2</t>
  </si>
  <si>
    <t>8.20.3</t>
  </si>
  <si>
    <t>8.20.4</t>
  </si>
  <si>
    <t>8.20.5</t>
  </si>
  <si>
    <t>8.20.6</t>
  </si>
  <si>
    <t>8.21.1</t>
  </si>
  <si>
    <t>8.21.2</t>
  </si>
  <si>
    <t>8.21.3</t>
  </si>
  <si>
    <t>8.21.4</t>
  </si>
  <si>
    <t>8.22.1</t>
  </si>
  <si>
    <t>8.22.2</t>
  </si>
  <si>
    <t>8.22.3</t>
  </si>
  <si>
    <t>8.22.4</t>
  </si>
  <si>
    <t>8.22.5</t>
  </si>
  <si>
    <t>8.23.1</t>
  </si>
  <si>
    <t>8.23.2</t>
  </si>
  <si>
    <t>8.23.3</t>
  </si>
  <si>
    <t>8.23.4</t>
  </si>
  <si>
    <t>8.24.1</t>
  </si>
  <si>
    <t>8.24.2</t>
  </si>
  <si>
    <t>8.24.3</t>
  </si>
  <si>
    <t>8.24.4</t>
  </si>
  <si>
    <t>8.25.1</t>
  </si>
  <si>
    <t>8.25.2</t>
  </si>
  <si>
    <t>8.25.3</t>
  </si>
  <si>
    <t>8.25.4</t>
  </si>
  <si>
    <t>8.26.1</t>
  </si>
  <si>
    <t>8.26.2</t>
  </si>
  <si>
    <t>8.26.3</t>
  </si>
  <si>
    <t>8.26.4</t>
  </si>
  <si>
    <t>8.26.5</t>
  </si>
  <si>
    <t>8.26.6</t>
  </si>
  <si>
    <t>8.27.1</t>
  </si>
  <si>
    <t>8.27.2</t>
  </si>
  <si>
    <t>8.27.3</t>
  </si>
  <si>
    <t>8.27.4</t>
  </si>
  <si>
    <t>8.27.5</t>
  </si>
  <si>
    <t>8.27.6</t>
  </si>
  <si>
    <t>8.27.7</t>
  </si>
  <si>
    <t>8.27.8</t>
  </si>
  <si>
    <t>8.28.1</t>
  </si>
  <si>
    <t>8.28.2</t>
  </si>
  <si>
    <t>8.28.3</t>
  </si>
  <si>
    <t>8.28.4</t>
  </si>
  <si>
    <t>8.28.5</t>
  </si>
  <si>
    <t>8.28.6</t>
  </si>
  <si>
    <t>8.28.7</t>
  </si>
  <si>
    <t>8.28.8</t>
  </si>
  <si>
    <t>8.29.1</t>
  </si>
  <si>
    <t>8.29.2</t>
  </si>
  <si>
    <t>8.29.3</t>
  </si>
  <si>
    <t>8.29.4</t>
  </si>
  <si>
    <t>8.29.5</t>
  </si>
  <si>
    <t>8.29.6</t>
  </si>
  <si>
    <t>8.30.1</t>
  </si>
  <si>
    <t>8.30.2</t>
  </si>
  <si>
    <t>8.30.3</t>
  </si>
  <si>
    <t>8.30.4</t>
  </si>
  <si>
    <t>8.31.1</t>
  </si>
  <si>
    <t>8.31.2</t>
  </si>
  <si>
    <t>8.31.3</t>
  </si>
  <si>
    <t>8.31.4</t>
  </si>
  <si>
    <t>8.31.5</t>
  </si>
  <si>
    <t>8.31.6</t>
  </si>
  <si>
    <t>8.31.7</t>
  </si>
  <si>
    <t>9.1</t>
  </si>
  <si>
    <t>9.2</t>
  </si>
  <si>
    <t>9.3.1</t>
  </si>
  <si>
    <t>9.3.2</t>
  </si>
  <si>
    <t>9.3.3</t>
  </si>
  <si>
    <t>9.3.4</t>
  </si>
  <si>
    <t>9.4.1</t>
  </si>
  <si>
    <t>9.4.2</t>
  </si>
  <si>
    <t>9.4.3</t>
  </si>
  <si>
    <t>9.4.4</t>
  </si>
  <si>
    <t>9.5.1</t>
  </si>
  <si>
    <t>9.5.2</t>
  </si>
  <si>
    <t>9.5.3</t>
  </si>
  <si>
    <t>9.5.4</t>
  </si>
  <si>
    <t>9.5.5</t>
  </si>
  <si>
    <t>9.5.6</t>
  </si>
  <si>
    <t>9.5.7</t>
  </si>
  <si>
    <t>9.5.8</t>
  </si>
  <si>
    <t>10.1.1</t>
  </si>
  <si>
    <t>10.1.2</t>
  </si>
  <si>
    <t>10.1.3</t>
  </si>
  <si>
    <t>10.1.4</t>
  </si>
  <si>
    <t>10.1.5</t>
  </si>
  <si>
    <t>10.1.6</t>
  </si>
  <si>
    <t>10.1.7</t>
  </si>
  <si>
    <t>10.1.8</t>
  </si>
  <si>
    <t>10.1.9</t>
  </si>
  <si>
    <t>10.1.10</t>
  </si>
  <si>
    <t>10.1.11</t>
  </si>
  <si>
    <t>10.2.1</t>
  </si>
  <si>
    <t>10.2.2</t>
  </si>
  <si>
    <t>10.2.3</t>
  </si>
  <si>
    <t>10.2.4.1</t>
  </si>
  <si>
    <t>10.2.4.2</t>
  </si>
  <si>
    <t>10.2.4.3</t>
  </si>
  <si>
    <t>10.2.4.4</t>
  </si>
  <si>
    <t>10.2.4.5</t>
  </si>
  <si>
    <t>10.2.4.6</t>
  </si>
  <si>
    <t>10.2.5.1</t>
  </si>
  <si>
    <t>10.2.5.2</t>
  </si>
  <si>
    <t>10.2.5.3</t>
  </si>
  <si>
    <t>10.2.5.4</t>
  </si>
  <si>
    <t>10.2.5.5</t>
  </si>
  <si>
    <t>10.2.5.6</t>
  </si>
  <si>
    <t>10.2.6.1</t>
  </si>
  <si>
    <t>10.2.6.2</t>
  </si>
  <si>
    <t>10.2.6.3</t>
  </si>
  <si>
    <t>10.2.7.1</t>
  </si>
  <si>
    <t>10.2.7.2</t>
  </si>
  <si>
    <t>10.2.7.3</t>
  </si>
  <si>
    <t>10.2.7.4</t>
  </si>
  <si>
    <t>10.2.7.5</t>
  </si>
  <si>
    <t>10.2.7.6</t>
  </si>
  <si>
    <t>10.2.8.1</t>
  </si>
  <si>
    <t>10.2.8.2</t>
  </si>
  <si>
    <t>10.2.8.3</t>
  </si>
  <si>
    <t>10.2.8.4</t>
  </si>
  <si>
    <t>10.2.8.5</t>
  </si>
  <si>
    <t>10.2.8.6</t>
  </si>
  <si>
    <t>10.2.9.1</t>
  </si>
  <si>
    <t>10.2.9.2</t>
  </si>
  <si>
    <t>10.2.10.1</t>
  </si>
  <si>
    <t>10.2.10.2</t>
  </si>
  <si>
    <t>10.2.11.1</t>
  </si>
  <si>
    <t>10.2.11.2</t>
  </si>
  <si>
    <t>10.2.12.1</t>
  </si>
  <si>
    <t>10.2.12.2</t>
  </si>
  <si>
    <t>10.2.13.1.1</t>
  </si>
  <si>
    <t>10.2.13.1.2</t>
  </si>
  <si>
    <t>10.2.13.1.3</t>
  </si>
  <si>
    <t>10.2.13.1.4</t>
  </si>
  <si>
    <t>10.2.13.1.5</t>
  </si>
  <si>
    <t>10.2.13.1.6</t>
  </si>
  <si>
    <t>10.2.13.2.1</t>
  </si>
  <si>
    <t>10.2.13.2.2</t>
  </si>
  <si>
    <t>10.2.13.2.3</t>
  </si>
  <si>
    <t>10.2.13.2.4</t>
  </si>
  <si>
    <t>10.2.13.2.5</t>
  </si>
  <si>
    <t>10.2.13.2.6</t>
  </si>
  <si>
    <t>10.2.13.3.1</t>
  </si>
  <si>
    <t>10.2.13.3.2</t>
  </si>
  <si>
    <t>10.2.13.3.3</t>
  </si>
  <si>
    <t>10.2.13.3.4</t>
  </si>
  <si>
    <t>10.2.13.3.5</t>
  </si>
  <si>
    <t>10.2.13.3.6</t>
  </si>
  <si>
    <t>10.2.13.4.1</t>
  </si>
  <si>
    <t>10.2.13.4.2</t>
  </si>
  <si>
    <t>10.2.13.4.3</t>
  </si>
  <si>
    <t>10.2.13.4.4</t>
  </si>
  <si>
    <t>10.2.13.4.5</t>
  </si>
  <si>
    <t>10.2.14.1.1</t>
  </si>
  <si>
    <t>10.2.14.1.2</t>
  </si>
  <si>
    <t>10.2.14.1.3</t>
  </si>
  <si>
    <t>10.2.14.1.4</t>
  </si>
  <si>
    <t>10.2.14.1.5</t>
  </si>
  <si>
    <t>10.2.14.1.6</t>
  </si>
  <si>
    <t>10.2.14.2.1</t>
  </si>
  <si>
    <t>10.2.14.2.2</t>
  </si>
  <si>
    <t>10.2.14.2.3</t>
  </si>
  <si>
    <t>10.2.14.2.4</t>
  </si>
  <si>
    <t>10.2.14.2.5</t>
  </si>
  <si>
    <t>10.2.14.2.6</t>
  </si>
  <si>
    <t>10.2.14.3.1</t>
  </si>
  <si>
    <t>10.2.14.3.2</t>
  </si>
  <si>
    <t>10.2.14.3.3</t>
  </si>
  <si>
    <t>10.2.14.3.4</t>
  </si>
  <si>
    <t>10.2.14.3.5</t>
  </si>
  <si>
    <t>10.2.14.3.6</t>
  </si>
  <si>
    <t>10.2.14.4.1</t>
  </si>
  <si>
    <t>10.2.14.4.2</t>
  </si>
  <si>
    <t>10.2.14.4.3</t>
  </si>
  <si>
    <t>10.2.14.4.4</t>
  </si>
  <si>
    <t>10.2.14.4.5</t>
  </si>
  <si>
    <t>10.2.14.4.6</t>
  </si>
  <si>
    <t>10.2.15.1</t>
  </si>
  <si>
    <t>10.2.15.2</t>
  </si>
  <si>
    <t>10.2.15.3</t>
  </si>
  <si>
    <t>10.2.15.4</t>
  </si>
  <si>
    <t>10.3.1</t>
  </si>
  <si>
    <t>10.3.2</t>
  </si>
  <si>
    <t>10.3.3</t>
  </si>
  <si>
    <t>10.3.4</t>
  </si>
  <si>
    <t>10.3.5</t>
  </si>
  <si>
    <t>10.3.6</t>
  </si>
  <si>
    <t>10.3.7</t>
  </si>
  <si>
    <t>10.3.8</t>
  </si>
  <si>
    <t>10.3.9</t>
  </si>
  <si>
    <t>10.3.10</t>
  </si>
  <si>
    <t>10.3.11</t>
  </si>
  <si>
    <t>10.3.12</t>
  </si>
  <si>
    <t>10.3.13</t>
  </si>
  <si>
    <t>10.3.14</t>
  </si>
  <si>
    <t>10.3.15</t>
  </si>
  <si>
    <t>10.3.16</t>
  </si>
  <si>
    <t>10.3.17</t>
  </si>
  <si>
    <t>10.3.18</t>
  </si>
  <si>
    <t>10.3.19</t>
  </si>
  <si>
    <t>10.3.20</t>
  </si>
  <si>
    <t>10.3.21</t>
  </si>
  <si>
    <t>10.4.1</t>
  </si>
  <si>
    <t>10.4.2</t>
  </si>
  <si>
    <t>10.4.3</t>
  </si>
  <si>
    <t>10.4.4</t>
  </si>
  <si>
    <t>10.4.5</t>
  </si>
  <si>
    <t>10.4.6</t>
  </si>
  <si>
    <t>10.4.7</t>
  </si>
  <si>
    <t>10.4.8</t>
  </si>
  <si>
    <t>10.4.9</t>
  </si>
  <si>
    <t>10.4.10</t>
  </si>
  <si>
    <t>10.4.11</t>
  </si>
  <si>
    <t>10.4.12</t>
  </si>
  <si>
    <t>10.4.13</t>
  </si>
  <si>
    <t>10.4.14</t>
  </si>
  <si>
    <t>10.4.15</t>
  </si>
  <si>
    <t>11.1.1.1</t>
  </si>
  <si>
    <t>11.1.1.2</t>
  </si>
  <si>
    <t>11.1.1.3</t>
  </si>
  <si>
    <t>11.1.1.4</t>
  </si>
  <si>
    <t>11.1.2.1</t>
  </si>
  <si>
    <t>11.1.2.2</t>
  </si>
  <si>
    <t>11.1.2.3</t>
  </si>
  <si>
    <t>11.1.2.4</t>
  </si>
  <si>
    <t>11.1.3.1</t>
  </si>
  <si>
    <t>11.1.3.2</t>
  </si>
  <si>
    <t>11.1.3.3</t>
  </si>
  <si>
    <t>11.1.3.4</t>
  </si>
  <si>
    <t>11.2.1</t>
  </si>
  <si>
    <t>11.2.2</t>
  </si>
  <si>
    <t>11.2.3</t>
  </si>
  <si>
    <t>11.2.4</t>
  </si>
  <si>
    <t>11.2.5</t>
  </si>
  <si>
    <t>11.3.1</t>
  </si>
  <si>
    <t>11.3.2</t>
  </si>
  <si>
    <t>11.3.3</t>
  </si>
  <si>
    <t>11.3.4</t>
  </si>
  <si>
    <t>11.3.5</t>
  </si>
  <si>
    <t>11.3.6</t>
  </si>
  <si>
    <t>11.4.1</t>
  </si>
  <si>
    <t>11.4.2.1</t>
  </si>
  <si>
    <t>11.4.2.2</t>
  </si>
  <si>
    <t>11.4.2.3</t>
  </si>
  <si>
    <t>11.4.2.4</t>
  </si>
  <si>
    <t>11.4.2.5</t>
  </si>
  <si>
    <t>11.4.3.1</t>
  </si>
  <si>
    <t>11.4.3.2</t>
  </si>
  <si>
    <t>11.4.3.3</t>
  </si>
  <si>
    <t>11.4.3.4</t>
  </si>
  <si>
    <t>11.4.3.5</t>
  </si>
  <si>
    <t>11.4.4.1</t>
  </si>
  <si>
    <t>11.4.4.2</t>
  </si>
  <si>
    <t>11.4.4.3</t>
  </si>
  <si>
    <t>11.4.4.4</t>
  </si>
  <si>
    <t>11.4.4.5</t>
  </si>
  <si>
    <t>11.5.1</t>
  </si>
  <si>
    <t>11.5.2</t>
  </si>
  <si>
    <t>11.5.3</t>
  </si>
  <si>
    <t>11.5.4</t>
  </si>
  <si>
    <t>11.5.5</t>
  </si>
  <si>
    <t>11.5.6</t>
  </si>
  <si>
    <t>11.5.7</t>
  </si>
  <si>
    <t>11.6.1.1</t>
  </si>
  <si>
    <t>11.6.1.2</t>
  </si>
  <si>
    <t>11.6.1.3</t>
  </si>
  <si>
    <t>11.6.1.4</t>
  </si>
  <si>
    <t>11.6.1.5</t>
  </si>
  <si>
    <t>11.6.1.6</t>
  </si>
  <si>
    <t>11.6.1.7</t>
  </si>
  <si>
    <t>11.6.1.8</t>
  </si>
  <si>
    <t>11.6.1.9</t>
  </si>
  <si>
    <t>11.6.1.10</t>
  </si>
  <si>
    <t>11.6.1.11</t>
  </si>
  <si>
    <t>11.6.1.12</t>
  </si>
  <si>
    <t>11.6.2.1</t>
  </si>
  <si>
    <t>11.6.2.2</t>
  </si>
  <si>
    <t>11.6.2.3</t>
  </si>
  <si>
    <t>11.6.2.4</t>
  </si>
  <si>
    <t>11.6.2.5</t>
  </si>
  <si>
    <t>11.6.2.6</t>
  </si>
  <si>
    <t>11.6.2.7</t>
  </si>
  <si>
    <t>11.6.2.8</t>
  </si>
  <si>
    <t>11.6.2.9</t>
  </si>
  <si>
    <t>11.6.2.10</t>
  </si>
  <si>
    <t>11.6.2.11</t>
  </si>
  <si>
    <t>11.6.2.12</t>
  </si>
  <si>
    <t>11.7.1</t>
  </si>
  <si>
    <t>11.7.2</t>
  </si>
  <si>
    <t>11.7.3</t>
  </si>
  <si>
    <t>11.8.1</t>
  </si>
  <si>
    <t>11.8.2</t>
  </si>
  <si>
    <t>11.8.3</t>
  </si>
  <si>
    <t>11.8.4</t>
  </si>
  <si>
    <t>11.8.5</t>
  </si>
  <si>
    <t>12.1.1</t>
  </si>
  <si>
    <t>12.1.2</t>
  </si>
  <si>
    <t>12.1.3</t>
  </si>
  <si>
    <t>12.1.4</t>
  </si>
  <si>
    <t>12.2.1.1</t>
  </si>
  <si>
    <t>12.2.1.2</t>
  </si>
  <si>
    <t>12.2.1.3</t>
  </si>
  <si>
    <t>12.2.1.4</t>
  </si>
  <si>
    <t>12.2.1.5</t>
  </si>
  <si>
    <t>12.2.1.6</t>
  </si>
  <si>
    <t>12.2.1.7</t>
  </si>
  <si>
    <t>12.2.1.8</t>
  </si>
  <si>
    <t>12.2.1.9</t>
  </si>
  <si>
    <t>12.2.2.1</t>
  </si>
  <si>
    <t>12.2.2.2</t>
  </si>
  <si>
    <t>12.2.2.3</t>
  </si>
  <si>
    <t>12.2.2.4</t>
  </si>
  <si>
    <t>12.2.2.5</t>
  </si>
  <si>
    <t>12.2.3</t>
  </si>
  <si>
    <t>12.2.4</t>
  </si>
  <si>
    <t>12.3.1</t>
  </si>
  <si>
    <t>12.3.2</t>
  </si>
  <si>
    <t>12.3.3</t>
  </si>
  <si>
    <t>12.3.4</t>
  </si>
  <si>
    <t>12.4.1</t>
  </si>
  <si>
    <t>12.4.2</t>
  </si>
  <si>
    <t>12.4.3</t>
  </si>
  <si>
    <t>12.4.4</t>
  </si>
  <si>
    <t>12.4.5</t>
  </si>
  <si>
    <t>12.4.6</t>
  </si>
  <si>
    <t>12.4.7</t>
  </si>
  <si>
    <t>12.4.8</t>
  </si>
  <si>
    <t>12.5.1</t>
  </si>
  <si>
    <t>12.5.2</t>
  </si>
  <si>
    <t>12.5.3</t>
  </si>
  <si>
    <t>12.5.4</t>
  </si>
  <si>
    <t>12.5.5</t>
  </si>
  <si>
    <t>12.5.6</t>
  </si>
  <si>
    <t>12.6.1</t>
  </si>
  <si>
    <t>12.6.2</t>
  </si>
  <si>
    <t>12.6.3.1</t>
  </si>
  <si>
    <t>12.6.3.2</t>
  </si>
  <si>
    <t>12.6.3.3</t>
  </si>
  <si>
    <t>12.6.3.4</t>
  </si>
  <si>
    <t>12.6.3.5</t>
  </si>
  <si>
    <t>12.6.3.6</t>
  </si>
  <si>
    <t>12.6.3.7</t>
  </si>
  <si>
    <t>12.7.1</t>
  </si>
  <si>
    <t>12.7.2</t>
  </si>
  <si>
    <t>12.7.3</t>
  </si>
  <si>
    <t>12.7.4</t>
  </si>
  <si>
    <t>12.7.5</t>
  </si>
  <si>
    <t>12.7.6</t>
  </si>
  <si>
    <t>12.7.7</t>
  </si>
  <si>
    <t>12.7.8</t>
  </si>
  <si>
    <t>12.7.9</t>
  </si>
  <si>
    <t>12.7.10</t>
  </si>
  <si>
    <t>12.8.1</t>
  </si>
  <si>
    <t>12.8.2</t>
  </si>
  <si>
    <t>12.8.3</t>
  </si>
  <si>
    <t>12.8.4</t>
  </si>
  <si>
    <t>12.9.1.1</t>
  </si>
  <si>
    <t>12.9.1.2</t>
  </si>
  <si>
    <t>12.9.1.3</t>
  </si>
  <si>
    <t>12.9.1.4</t>
  </si>
  <si>
    <t>12.9.1.5</t>
  </si>
  <si>
    <t>12.9.2.1</t>
  </si>
  <si>
    <t>12.9.2.2</t>
  </si>
  <si>
    <t>12.9.2.3</t>
  </si>
  <si>
    <t>12.9.2.4</t>
  </si>
  <si>
    <t>12.9.2.5</t>
  </si>
  <si>
    <t>12.9.2.6</t>
  </si>
  <si>
    <t>12.9.2.7</t>
  </si>
  <si>
    <t>12.9.2.8</t>
  </si>
  <si>
    <t>12.9.3.1</t>
  </si>
  <si>
    <t>12.9.3.2</t>
  </si>
  <si>
    <t>12.9.3.3</t>
  </si>
  <si>
    <t>12.9.4.1</t>
  </si>
  <si>
    <t>12.9.4.2</t>
  </si>
  <si>
    <t>12.9.4.3</t>
  </si>
  <si>
    <t>12.9.4.4</t>
  </si>
  <si>
    <t>12.9.4.5</t>
  </si>
  <si>
    <t>12.9.4.6</t>
  </si>
  <si>
    <t>12.9.4.7</t>
  </si>
  <si>
    <t>12.9.4.8</t>
  </si>
  <si>
    <t>12.9.4.9</t>
  </si>
  <si>
    <t>12.9.4.10</t>
  </si>
  <si>
    <t>12.9.4.11</t>
  </si>
  <si>
    <t>12.9.4.12</t>
  </si>
  <si>
    <t>12.9.4.13</t>
  </si>
  <si>
    <t>12.9.4.14</t>
  </si>
  <si>
    <t>12.9.4.15</t>
  </si>
  <si>
    <t>12.9.4.16</t>
  </si>
  <si>
    <t>12.9.4.17</t>
  </si>
  <si>
    <t>12.9.4.18</t>
  </si>
  <si>
    <t>12.9.4.19</t>
  </si>
  <si>
    <t>12.9.4.20</t>
  </si>
  <si>
    <t>12.9.4.21</t>
  </si>
  <si>
    <t>12.9.4.22</t>
  </si>
  <si>
    <t>12.9.4.23</t>
  </si>
  <si>
    <t>12.9.4.24</t>
  </si>
  <si>
    <t>12.9.4.25</t>
  </si>
  <si>
    <t>12.9.4.26</t>
  </si>
  <si>
    <t>12.9.4.27</t>
  </si>
  <si>
    <t>12.9.4.28</t>
  </si>
  <si>
    <t>12.9.4.29.1</t>
  </si>
  <si>
    <t>12.9.4.29.2</t>
  </si>
  <si>
    <t>12.9.4.29.3</t>
  </si>
  <si>
    <t>12.9.4.29.4</t>
  </si>
  <si>
    <t>12.9.4.30.1</t>
  </si>
  <si>
    <t>12.9.4.30.2</t>
  </si>
  <si>
    <t>12.9.4.30.3</t>
  </si>
  <si>
    <t>12.9.4.30.4</t>
  </si>
  <si>
    <t>12.9.4.30.5</t>
  </si>
  <si>
    <t>12.9.4.30.6</t>
  </si>
  <si>
    <t>12.9.4.30.7</t>
  </si>
  <si>
    <t>12.9.4.30.8</t>
  </si>
  <si>
    <t>12.9.4.30.9</t>
  </si>
  <si>
    <t>12.9.4.30.10</t>
  </si>
  <si>
    <t>12.9.5.1.1</t>
  </si>
  <si>
    <t>12.9.5.1.2</t>
  </si>
  <si>
    <t>12.9.5.1.3</t>
  </si>
  <si>
    <t>12.9.5.1.4</t>
  </si>
  <si>
    <t>12.9.5.1.5</t>
  </si>
  <si>
    <t>12.9.5.1.6</t>
  </si>
  <si>
    <t>12.9.5.1.7</t>
  </si>
  <si>
    <t>12.9.5.2.1</t>
  </si>
  <si>
    <t>12.9.5.2.2</t>
  </si>
  <si>
    <t>12.9.5.2.3</t>
  </si>
  <si>
    <t>12.9.5.2.4</t>
  </si>
  <si>
    <t>12.9.5.2.5</t>
  </si>
  <si>
    <t>12.9.5.2.6</t>
  </si>
  <si>
    <t>12.9.5.3.1</t>
  </si>
  <si>
    <t>12.9.5.3.2</t>
  </si>
  <si>
    <t>12.9.5.3.3</t>
  </si>
  <si>
    <t>12.9.6.1</t>
  </si>
  <si>
    <t>12.9.6.2</t>
  </si>
  <si>
    <t>12.9.6.3</t>
  </si>
  <si>
    <t>12.9.6.4</t>
  </si>
  <si>
    <t>12.9.7.1</t>
  </si>
  <si>
    <t>12.9.7.2</t>
  </si>
  <si>
    <t>12.9.7.3</t>
  </si>
  <si>
    <t>12.9.7.4</t>
  </si>
  <si>
    <t>12.10.1</t>
  </si>
  <si>
    <t>12.10.2</t>
  </si>
  <si>
    <t>12.10.3</t>
  </si>
  <si>
    <t>12.10.4</t>
  </si>
  <si>
    <t>12.10.5</t>
  </si>
  <si>
    <t>12.11.1</t>
  </si>
  <si>
    <t>12.11.2</t>
  </si>
  <si>
    <t>12.11.3</t>
  </si>
  <si>
    <t>12.11.4</t>
  </si>
  <si>
    <t>13.1.1</t>
  </si>
  <si>
    <t>13.1.2</t>
  </si>
  <si>
    <t>13.1.3</t>
  </si>
  <si>
    <t>13.1.4</t>
  </si>
  <si>
    <t>13.1.5</t>
  </si>
  <si>
    <t>13.1.6</t>
  </si>
  <si>
    <t>13.1.7</t>
  </si>
  <si>
    <t>13.1.8</t>
  </si>
  <si>
    <t>13.1.9</t>
  </si>
  <si>
    <t>13.1.10</t>
  </si>
  <si>
    <t>13.1.11</t>
  </si>
  <si>
    <t>13.1.12</t>
  </si>
  <si>
    <t>13.1.13</t>
  </si>
  <si>
    <t>13.2.1</t>
  </si>
  <si>
    <t>13.2.2</t>
  </si>
  <si>
    <t>13.2.3</t>
  </si>
  <si>
    <t>13.2.4</t>
  </si>
  <si>
    <t>13.2.5</t>
  </si>
  <si>
    <t>13.2.6</t>
  </si>
  <si>
    <t>13.2.7</t>
  </si>
  <si>
    <t>13.2.8</t>
  </si>
  <si>
    <t>13.2.9</t>
  </si>
  <si>
    <t>13.2.10</t>
  </si>
  <si>
    <t>13.3.1</t>
  </si>
  <si>
    <t>13.3.2</t>
  </si>
  <si>
    <t>13.3.3</t>
  </si>
  <si>
    <t>13.3.4</t>
  </si>
  <si>
    <t>13.3.5</t>
  </si>
  <si>
    <t>13.3.6</t>
  </si>
  <si>
    <t>13.3.7</t>
  </si>
  <si>
    <t>13.3.8</t>
  </si>
  <si>
    <t>13.3.9</t>
  </si>
  <si>
    <t>13.3.10</t>
  </si>
  <si>
    <t>13.4.1</t>
  </si>
  <si>
    <t>13.4.2</t>
  </si>
  <si>
    <t>13.4.3</t>
  </si>
  <si>
    <t>13.5.1</t>
  </si>
  <si>
    <t>13.5.2</t>
  </si>
  <si>
    <t>13.5.3</t>
  </si>
  <si>
    <t>13.5.4</t>
  </si>
  <si>
    <t>13.6.1</t>
  </si>
  <si>
    <t>13.6.2</t>
  </si>
  <si>
    <t>13.6.3</t>
  </si>
  <si>
    <t>13.6.4</t>
  </si>
  <si>
    <t>13.6.5</t>
  </si>
  <si>
    <t>13.6.6</t>
  </si>
  <si>
    <t>13.6.7</t>
  </si>
  <si>
    <t>13.6.8</t>
  </si>
  <si>
    <t>13.6.9</t>
  </si>
  <si>
    <t>13.6.10</t>
  </si>
  <si>
    <t>13.6.11</t>
  </si>
  <si>
    <t>13.6.12</t>
  </si>
  <si>
    <t>13.6.13</t>
  </si>
  <si>
    <t>13.6.14</t>
  </si>
  <si>
    <t>13.6.15</t>
  </si>
  <si>
    <t>13.6.16</t>
  </si>
  <si>
    <t>13.6.17</t>
  </si>
  <si>
    <t>13.6.18</t>
  </si>
  <si>
    <t>13.6.19</t>
  </si>
  <si>
    <t>13.6.20</t>
  </si>
  <si>
    <t>13.7.1</t>
  </si>
  <si>
    <t>13.7.2</t>
  </si>
  <si>
    <t>13.7.3</t>
  </si>
  <si>
    <t>13.7.4</t>
  </si>
  <si>
    <t>13.7.5</t>
  </si>
  <si>
    <t>13.7.6</t>
  </si>
  <si>
    <t>13.7.7</t>
  </si>
  <si>
    <t>13.7.8</t>
  </si>
  <si>
    <t>13.7.9</t>
  </si>
  <si>
    <t>13.7.10</t>
  </si>
  <si>
    <t>13.7.11</t>
  </si>
  <si>
    <t>13.7.12</t>
  </si>
  <si>
    <t>13.7.13</t>
  </si>
  <si>
    <t>13.7.14</t>
  </si>
  <si>
    <t>13.8.1</t>
  </si>
  <si>
    <t>13.8.2</t>
  </si>
  <si>
    <t>13.8.3</t>
  </si>
  <si>
    <t>13.8.4</t>
  </si>
  <si>
    <t>13.8.5</t>
  </si>
  <si>
    <t>13.8.6</t>
  </si>
  <si>
    <t>13.8.7</t>
  </si>
  <si>
    <t>13.8.8</t>
  </si>
  <si>
    <t>13.8.9</t>
  </si>
  <si>
    <t>13.8.10</t>
  </si>
  <si>
    <t>13.8.11</t>
  </si>
  <si>
    <t>13.8.12</t>
  </si>
  <si>
    <t>13.8.13</t>
  </si>
  <si>
    <t>13.8.14</t>
  </si>
  <si>
    <t>13.8.15</t>
  </si>
  <si>
    <t>13.8.16</t>
  </si>
  <si>
    <t>13.8.17</t>
  </si>
  <si>
    <t>13.8.18</t>
  </si>
  <si>
    <t>13.8.19</t>
  </si>
  <si>
    <t>13.8.20</t>
  </si>
  <si>
    <t>13.8.21</t>
  </si>
  <si>
    <t>13.8.22</t>
  </si>
  <si>
    <t>13.8.23</t>
  </si>
  <si>
    <t>13.8.24</t>
  </si>
  <si>
    <t>13.8.25</t>
  </si>
  <si>
    <t>13.8.26</t>
  </si>
  <si>
    <t>13.8.27</t>
  </si>
  <si>
    <t>13.8.28</t>
  </si>
  <si>
    <t>13.8.29</t>
  </si>
  <si>
    <t>13.8.30</t>
  </si>
  <si>
    <t>13.8.31</t>
  </si>
  <si>
    <t>HT01</t>
  </si>
  <si>
    <t>Vallée Sud - Grand Paris - Etablissement Public Territorial</t>
  </si>
  <si>
    <t>MODE D'EMPLOI DESTINE AUX ENTREPRISES POUR LA SAISIE DES PRIX</t>
  </si>
  <si>
    <t>1 - D'une manière générale, les feuilles sont verrouillées et protégées par un mot de passe.</t>
  </si>
  <si>
    <t>3 - Les entreprises pourront effectuer un aperçu avant impression et imprimer les documents. La mise en page est pré établie.</t>
  </si>
  <si>
    <t>4 - Pour répondre à la consultation, les entreprises devront fournir systématiquement le fichier informatique et la version PDF signée du BPU et du/des DQE.</t>
  </si>
  <si>
    <t>Onglet saisie</t>
  </si>
  <si>
    <r>
      <t>Quantités :</t>
    </r>
    <r>
      <rPr>
        <sz val="10"/>
        <rFont val="Arial"/>
        <family val="2"/>
      </rPr>
      <t xml:space="preserve">
Pour la consultation, les quantités sont remplies au préalable par le maître d'œuvre dans chaque DQE. Ces quantités sont reportées automatiquement dans cet onglet, dans les colonnes "rappel de quantités".</t>
    </r>
  </si>
  <si>
    <r>
      <t>Prix unitaires :</t>
    </r>
    <r>
      <rPr>
        <sz val="10"/>
        <rFont val="Arial"/>
        <family val="2"/>
      </rPr>
      <t xml:space="preserve">
Les entreprises devront remplir la colonne </t>
    </r>
    <r>
      <rPr>
        <b/>
        <i/>
        <sz val="10"/>
        <rFont val="Arial"/>
        <family val="2"/>
      </rPr>
      <t xml:space="preserve">"PU EN €HT" </t>
    </r>
    <r>
      <rPr>
        <sz val="10"/>
        <rFont val="Arial"/>
        <family val="2"/>
      </rPr>
      <t>dans son intégralité</t>
    </r>
    <r>
      <rPr>
        <sz val="10"/>
        <rFont val="Arial"/>
        <family val="2"/>
      </rPr>
      <t xml:space="preserve">. Ces prix sont automatiquement reportés dans les onglets </t>
    </r>
    <r>
      <rPr>
        <b/>
        <i/>
        <sz val="10"/>
        <rFont val="Arial"/>
        <family val="2"/>
      </rPr>
      <t>"BPU"</t>
    </r>
    <r>
      <rPr>
        <sz val="10"/>
        <rFont val="Arial"/>
        <family val="2"/>
      </rPr>
      <t xml:space="preserve"> et le </t>
    </r>
    <r>
      <rPr>
        <b/>
        <i/>
        <sz val="10"/>
        <rFont val="Arial"/>
        <family val="2"/>
      </rPr>
      <t>"DQE"</t>
    </r>
    <r>
      <rPr>
        <sz val="10"/>
        <rFont val="Arial"/>
        <family val="2"/>
      </rPr>
      <t xml:space="preserve"> par opération.</t>
    </r>
  </si>
  <si>
    <t>Onglet BPU</t>
  </si>
  <si>
    <t>Cet onglet est rempli depuis l'onglet saisie. Il n'est pas modifiable. Il peut être aperçu avant impression, et imprimé.</t>
  </si>
  <si>
    <t>Onglets DQE</t>
  </si>
  <si>
    <t>Maître d'Œuvre renseigne au préalable à la consultation :</t>
  </si>
  <si>
    <r>
      <t>è</t>
    </r>
    <r>
      <rPr>
        <sz val="10"/>
        <rFont val="Arial"/>
        <family val="2"/>
      </rPr>
      <t>Le nom de l'opération</t>
    </r>
  </si>
  <si>
    <r>
      <t>è</t>
    </r>
    <r>
      <rPr>
        <sz val="10"/>
        <rFont val="Arial"/>
        <family val="2"/>
      </rPr>
      <t>Les quantités. Ces quantités sont reportées automatiquement dans l'onglet "saisie" dans les colonnes "quantités à saisir et rappel quantités".</t>
    </r>
  </si>
  <si>
    <t>Les prix unitaires sont renseignés automatiquement depuis l'onglet saisie.</t>
  </si>
  <si>
    <t>Les entreprises ne peuvent pas modifier ces feuilles. Elles pourront effectuer un aperçu avant impression et imprimer le document. La mise en page est pré établie.</t>
  </si>
  <si>
    <t>Onglet Récapitulatif</t>
  </si>
  <si>
    <t>Cet onglet récapitule l'ensemble du marché :</t>
  </si>
  <si>
    <t>Nom de l'opération,</t>
  </si>
  <si>
    <t>Nom de l'entreprise,</t>
  </si>
  <si>
    <t>Montants de chaque opération (HT, TVA, TTC).</t>
  </si>
  <si>
    <t>Cet onglet est verrouillé, et se remplit automatiquement depuis les onglets "saisie" et "DQE".</t>
  </si>
  <si>
    <t>Accord cadre travaux d'infrastructure - Lot 1</t>
  </si>
  <si>
    <t>Nom de l'Entreprise :</t>
  </si>
  <si>
    <t>DETAIL QUANTITATIF ESTIMATIF</t>
  </si>
  <si>
    <t>Quantités à saisir et Rappel quantités</t>
  </si>
  <si>
    <t>DESIGNATION</t>
  </si>
  <si>
    <t>UNITE</t>
  </si>
  <si>
    <t>PU EN €HT</t>
  </si>
  <si>
    <t>Qté DCE</t>
  </si>
  <si>
    <t>TOTAL EN €HT</t>
  </si>
  <si>
    <t>1</t>
  </si>
  <si>
    <t>INSTALLATIONS - SIGNALISATION - ETUDES - RECOLEMENT</t>
  </si>
  <si>
    <t>1.1</t>
  </si>
  <si>
    <t>AMENEE, MISE EN PLACE, LOCATION, ENTRETIEN ET REPLI DES INSTALLATIONS DE CHANTIER</t>
  </si>
  <si>
    <t>Montant du chantier inférieur ou égal à 5 000 € HT</t>
  </si>
  <si>
    <t>FT</t>
  </si>
  <si>
    <t>Montant du chantier compris entre 5 001 € HT et 10 000 € HT</t>
  </si>
  <si>
    <t>1.1.3</t>
  </si>
  <si>
    <t>Montant du chantier compris entre 10 001 € HT et 30 000 € HT</t>
  </si>
  <si>
    <t>1.1.4</t>
  </si>
  <si>
    <t>Montant du chantier compris entre 30 0001 € HT et 50 000 € HT</t>
  </si>
  <si>
    <t>1.1.5</t>
  </si>
  <si>
    <t>Montant du chantier compris entre 50 001 € HT et 80 000 € HT</t>
  </si>
  <si>
    <t>1.1.6</t>
  </si>
  <si>
    <t>Montant du chantier compris entre 80 001 € HT et 100 000 € HT</t>
  </si>
  <si>
    <t>1.1.7</t>
  </si>
  <si>
    <t>Montant du chantier compris entre 100 001 € HT et 300 000 € HT</t>
  </si>
  <si>
    <t>1.1.8</t>
  </si>
  <si>
    <t>Montant du chantier compris entre 300 001 € HT et 600 000 € HT</t>
  </si>
  <si>
    <t>1.1.9</t>
  </si>
  <si>
    <t>Montant du chantier compris entre 600 001 € HT et 1 000 000 € HT</t>
  </si>
  <si>
    <t>1.1.10</t>
  </si>
  <si>
    <t>Montant du chantier compris entre 1 000 001 € HT et 1 500 000 € HT</t>
  </si>
  <si>
    <t>1.1.11</t>
  </si>
  <si>
    <t>Montant du chantier compris entre 1 500 001 € HT et 2 000 000 € HT</t>
  </si>
  <si>
    <t>1.1.12</t>
  </si>
  <si>
    <t>Montant du chantier compris entre  2 000 001 € HT et 4 000 000€ HT</t>
  </si>
  <si>
    <t>1.1.13</t>
  </si>
  <si>
    <t>Montant du chantier supérieur à  4 000 001 € HT</t>
  </si>
  <si>
    <t>PANNEAU D'IDENTIFICATION DE CHANTIER</t>
  </si>
  <si>
    <t>1.2.1</t>
  </si>
  <si>
    <t>Panneau d'identification 1,20 x 0,80 m</t>
  </si>
  <si>
    <t>U</t>
  </si>
  <si>
    <t>1.2.2</t>
  </si>
  <si>
    <t>Panneau d'identification 2,20 x 1,50 m</t>
  </si>
  <si>
    <t>1.3</t>
  </si>
  <si>
    <t>SIGNALISATION TEMPORAIRE DE CHANTIER</t>
  </si>
  <si>
    <t>1.3.1</t>
  </si>
  <si>
    <t>1.3.2</t>
  </si>
  <si>
    <t>1.3.3</t>
  </si>
  <si>
    <t>Montant du chantier compris entre 30 001 € HT et 50 000 € HT</t>
  </si>
  <si>
    <t>1.3.12</t>
  </si>
  <si>
    <t>1.3.13</t>
  </si>
  <si>
    <t>Montant du chantier supérieur à 4 000 001 € HT</t>
  </si>
  <si>
    <t>1.4</t>
  </si>
  <si>
    <t>ALTERNAT</t>
  </si>
  <si>
    <t>Alternat par feux tricolores avec affichage du temps d'attente (2 U)</t>
  </si>
  <si>
    <t>J</t>
  </si>
  <si>
    <t>Alternat par feux tricolores avec affichage du temps d'attente (3 U)</t>
  </si>
  <si>
    <t>Alternat manuel (2 personnes)</t>
  </si>
  <si>
    <t>1.4.4</t>
  </si>
  <si>
    <t>Alternat manuel (3 personnes)</t>
  </si>
  <si>
    <t>AMENEE, MISE EN PLACE, LOCATION ET REPLI DE GLISSIERES EN BETON ARME (GBA)</t>
  </si>
  <si>
    <t>1.5.1</t>
  </si>
  <si>
    <t>Amenée, mise en place et repli de GBA</t>
  </si>
  <si>
    <t>ML</t>
  </si>
  <si>
    <t>1.5.2</t>
  </si>
  <si>
    <t>Location de GBA</t>
  </si>
  <si>
    <t>ML/J</t>
  </si>
  <si>
    <t>1.5.3</t>
  </si>
  <si>
    <t>Déplacement de GBA en cours de chantier</t>
  </si>
  <si>
    <t>AMENEE, MISE EN PLACE, LOCATION ET REPLI DE SEPARATEURS DE VOIE PLASTIQUES</t>
  </si>
  <si>
    <t>1.6.1</t>
  </si>
  <si>
    <t>Amenée, mise en place, déplacement selon besoin du chantier et repli de séparateurs de voie plastiques</t>
  </si>
  <si>
    <t>1.6.2</t>
  </si>
  <si>
    <t>Location de séparateurs de voies plastiques</t>
  </si>
  <si>
    <t>1.7</t>
  </si>
  <si>
    <t>BARRIERES PROVISOIRES DE 1,30 M DE HAUTEUR</t>
  </si>
  <si>
    <t>Barrières de 1,3m de type ville de Paris</t>
  </si>
  <si>
    <t>Barrières de 1,3m de type ville de Paris pour un chantier inférieur à 50ml</t>
  </si>
  <si>
    <t>Barrières de 1,3m de type ville de Paris pour un chantier compris entre à 51ml et 100ml</t>
  </si>
  <si>
    <t>1.7.4</t>
  </si>
  <si>
    <t>Barrières de 1,3m de type ville de Paris pour un chantier compris entre à 101ml et 200ml</t>
  </si>
  <si>
    <t>1.7.5</t>
  </si>
  <si>
    <t>Barrières de 1,3m de type ville de Paris pour un chantier supérieur à 201ml</t>
  </si>
  <si>
    <t>1.8</t>
  </si>
  <si>
    <t>1.8.1</t>
  </si>
  <si>
    <t xml:space="preserve">Barrières de 2m </t>
  </si>
  <si>
    <t>1.8.2</t>
  </si>
  <si>
    <t>Barrières de 2m pour un chantier inférieur à 50ml</t>
  </si>
  <si>
    <t>1.8.3</t>
  </si>
  <si>
    <t>Barrières de 2m pour un chantier compris entre à 51ml et 100ml</t>
  </si>
  <si>
    <t>1.8.4</t>
  </si>
  <si>
    <t>Barrières de 2m pour un chantier compris entre à 101ml et 200ml</t>
  </si>
  <si>
    <t>1.8.5</t>
  </si>
  <si>
    <t>Barrières de 2m pour un chantier supérieur à 201ml</t>
  </si>
  <si>
    <t>1.9</t>
  </si>
  <si>
    <t>1.9.1</t>
  </si>
  <si>
    <t>1.9.2</t>
  </si>
  <si>
    <t>1.10</t>
  </si>
  <si>
    <t>PONTS PROVISOIRES ANTI-DERAPANTS</t>
  </si>
  <si>
    <t>1.10.1</t>
  </si>
  <si>
    <t>Ponts provisoires anti-dérapants pour piétons</t>
  </si>
  <si>
    <t>1.10.2</t>
  </si>
  <si>
    <t>Ponts provisoires anti-dérapants pour véhicules (quel que soit le tonnage)</t>
  </si>
  <si>
    <t>1.11</t>
  </si>
  <si>
    <t>COMMUNICATION VERS LES RIVERAINS</t>
  </si>
  <si>
    <t>1.11.1</t>
  </si>
  <si>
    <t>Pour un chantier concernant jusqu'à 50 riverains</t>
  </si>
  <si>
    <t>1.11.2</t>
  </si>
  <si>
    <t>Pour un chantier concernant de 50 à 100 riverains</t>
  </si>
  <si>
    <t>1.11.3</t>
  </si>
  <si>
    <t>Pour un chantier concernant 100 riverains et plus</t>
  </si>
  <si>
    <t>1.12</t>
  </si>
  <si>
    <t>CONSTAT D'HUISSIER</t>
  </si>
  <si>
    <t>1.12.1</t>
  </si>
  <si>
    <t>1.12.2</t>
  </si>
  <si>
    <t>1.12.3</t>
  </si>
  <si>
    <t>1.12.4</t>
  </si>
  <si>
    <t>1.12.5</t>
  </si>
  <si>
    <t>1.12.6</t>
  </si>
  <si>
    <t>1.12.7</t>
  </si>
  <si>
    <t>1.12.8</t>
  </si>
  <si>
    <t>1.12.9</t>
  </si>
  <si>
    <t>1.12.10</t>
  </si>
  <si>
    <t>1.12.11</t>
  </si>
  <si>
    <t>1.12.12</t>
  </si>
  <si>
    <t>Montant du chantier compris entre 2 000 001 € HT et 4 000 000€ HT</t>
  </si>
  <si>
    <t>1.12.13</t>
  </si>
  <si>
    <t>1.13</t>
  </si>
  <si>
    <t>ETUDES D'EXECUTION</t>
  </si>
  <si>
    <t>1.13.1</t>
  </si>
  <si>
    <t>1.13.2</t>
  </si>
  <si>
    <t>1.13.3</t>
  </si>
  <si>
    <t>1.13.4</t>
  </si>
  <si>
    <t>1.13.5</t>
  </si>
  <si>
    <t>1.13.6</t>
  </si>
  <si>
    <t>1.13.7</t>
  </si>
  <si>
    <t>1.13.8</t>
  </si>
  <si>
    <t>1.13.9</t>
  </si>
  <si>
    <t>1.13.10</t>
  </si>
  <si>
    <t>1.13.11</t>
  </si>
  <si>
    <t>1.13.12</t>
  </si>
  <si>
    <t>1.13.13</t>
  </si>
  <si>
    <t>1.14</t>
  </si>
  <si>
    <t>DOSSIER DE RECOLEMENT</t>
  </si>
  <si>
    <t>1.14.1</t>
  </si>
  <si>
    <t>1.14.2</t>
  </si>
  <si>
    <t>1.15</t>
  </si>
  <si>
    <t>ENTRETIEN DU MARQUAGE PIQUETAGE DES RESEAUX</t>
  </si>
  <si>
    <t>Surface de chantier inférieur à 250 m²</t>
  </si>
  <si>
    <t>M²</t>
  </si>
  <si>
    <t>Suface de chantier supérieur à 251 m²</t>
  </si>
  <si>
    <t>FOURNITURE ET POSE DE LA PLANCHE D'ESSAI</t>
  </si>
  <si>
    <t>SOUS TOTAL INSTALLATIONS - SIGNALISATION - ETUDES - RECOLEMENT</t>
  </si>
  <si>
    <t>2</t>
  </si>
  <si>
    <t>ESPACES VERTS, MOBILIER URBAIN, SIGNALISATION HORIZONTALE ET VERTICALE</t>
  </si>
  <si>
    <t>2.1</t>
  </si>
  <si>
    <t xml:space="preserve">ESPACES VERTS </t>
  </si>
  <si>
    <t>Abattage d'arbres de moins de 10 mètres de hauteur</t>
  </si>
  <si>
    <t>2.1.1.1</t>
  </si>
  <si>
    <t>Classe de diamètre : 5 à 15 cm (mesuré à 1,5 m de hauteur)</t>
  </si>
  <si>
    <t>2.1.1.2</t>
  </si>
  <si>
    <t>Classe de diamètre : 16 à 30 cm (mesuré à 1,5 m de hauteur)</t>
  </si>
  <si>
    <t>2.1.1.3</t>
  </si>
  <si>
    <t>Classe de diamètre : 31 à 65 cm (mesuré à 1,5 m de hauteur)</t>
  </si>
  <si>
    <t>Abattage d'arbres de 10 mètres à 20 mètres</t>
  </si>
  <si>
    <t>2.1.2.1</t>
  </si>
  <si>
    <t>2.1.2.2</t>
  </si>
  <si>
    <t>Plus-value pour dessouchage</t>
  </si>
  <si>
    <t>Elagage d'arbres</t>
  </si>
  <si>
    <t>Débroussaillage</t>
  </si>
  <si>
    <t>M2</t>
  </si>
  <si>
    <t>2.1.6</t>
  </si>
  <si>
    <t>Abattage de haie</t>
  </si>
  <si>
    <t>2.1.7</t>
  </si>
  <si>
    <t>Réalisation d'une dalle de répartition pour fosse d'arbre</t>
  </si>
  <si>
    <t>2.1.8</t>
  </si>
  <si>
    <t>Réalisation d'une résine drainée en pied d'arbre</t>
  </si>
  <si>
    <t>2.1.9</t>
  </si>
  <si>
    <t>Fourniture, de végétaux</t>
  </si>
  <si>
    <t>2.1.9.1</t>
  </si>
  <si>
    <t>Fourniture d'arbres tiges</t>
  </si>
  <si>
    <t>2.1.9.1.1</t>
  </si>
  <si>
    <t>Acer pseudoplatanus "Erectum" - T25/30 - 4xtr - MG</t>
  </si>
  <si>
    <t>2.1.9.1.2</t>
  </si>
  <si>
    <t>Acer pseudoplatanus - T20/25 - 4xtr - MG</t>
  </si>
  <si>
    <t>2.1.9.1.3</t>
  </si>
  <si>
    <t>Pyrus calleryana "Chantecleer" - T20/25 - 4xtr - MG</t>
  </si>
  <si>
    <t>2.1.9.1.4</t>
  </si>
  <si>
    <t>Fraxinus angustifolia 'Raywood' - MG - T - 18/20</t>
  </si>
  <si>
    <t>2.1.9.1.5</t>
  </si>
  <si>
    <t>Gleditsia triacanthos ' Inermis' - MG - T - 18/20</t>
  </si>
  <si>
    <t>2.1.9.1.6</t>
  </si>
  <si>
    <t>Celtis australis - MG - T - 18/20</t>
  </si>
  <si>
    <t>2.1.9.2</t>
  </si>
  <si>
    <t>Fourniture d'arbres cépées et formes naturelles</t>
  </si>
  <si>
    <t>2.1.9.2.1</t>
  </si>
  <si>
    <t>Acer campestre - CP 250/300 - 3xtr - L 100/150 - MG - Solitaire</t>
  </si>
  <si>
    <t>2.1.9.2.2</t>
  </si>
  <si>
    <t>Malus x Everest "Perpetu" - CP 250/300 - 3xtr - L 100/150 - MG Solitaire</t>
  </si>
  <si>
    <t>2.1.9.3</t>
  </si>
  <si>
    <t>Fourniture d'arbustes, vivaces et graminées</t>
  </si>
  <si>
    <t>2.1.9.3.1</t>
  </si>
  <si>
    <t>Carex pendula - V9</t>
  </si>
  <si>
    <t>2.1.9.3.2</t>
  </si>
  <si>
    <t>Molinia arundinacea "Karl Foerster" - V9</t>
  </si>
  <si>
    <t>2.1.9.3.3</t>
  </si>
  <si>
    <t>Hemerocallis hybrides "Stella d'Oro" - V9</t>
  </si>
  <si>
    <t>2.1.9.3.4</t>
  </si>
  <si>
    <t>Lythrum salicaria - V9</t>
  </si>
  <si>
    <t>2.1.9.3.5</t>
  </si>
  <si>
    <t>Iris sibirica</t>
  </si>
  <si>
    <t>2.1.9.3.6</t>
  </si>
  <si>
    <t>Pennisetum alopecuroides "Herbstzauber" - V9</t>
  </si>
  <si>
    <t>2.1.9.3.7</t>
  </si>
  <si>
    <t>Petasites hybridus - V9</t>
  </si>
  <si>
    <t>2.1.9.3.8</t>
  </si>
  <si>
    <t>Salix purpurea "Nana" 60/100</t>
  </si>
  <si>
    <t>2.1.10</t>
  </si>
  <si>
    <t>Plantation des végétaux et garantie de reprise</t>
  </si>
  <si>
    <t>2.1.10.1</t>
  </si>
  <si>
    <t>Plantation d'arbres tige</t>
  </si>
  <si>
    <t>2.1.10.1.1</t>
  </si>
  <si>
    <t>Arbre tige 25/30</t>
  </si>
  <si>
    <t>2.1.10.1.2</t>
  </si>
  <si>
    <t>Arbre tige 20/25</t>
  </si>
  <si>
    <t>2.1.10.2</t>
  </si>
  <si>
    <t>Plantation d'arbres cépée et forme naturelle</t>
  </si>
  <si>
    <t>2.1.10.2.1</t>
  </si>
  <si>
    <t>Arbres Hauteur 250/300</t>
  </si>
  <si>
    <t>2.1.10.3</t>
  </si>
  <si>
    <t>Plantation d'arbuste, graminées et vivaces</t>
  </si>
  <si>
    <t>2.1.11</t>
  </si>
  <si>
    <t>Travaux de parachèvement</t>
  </si>
  <si>
    <t>2.1.11.1</t>
  </si>
  <si>
    <t>Travaux de parachèvement des arbres Ti et CP</t>
  </si>
  <si>
    <t>2.1.11.2</t>
  </si>
  <si>
    <t>Travaux de parachèvement des surfaces arbustives, de vivaces et de graminées</t>
  </si>
  <si>
    <t>2.1.12</t>
  </si>
  <si>
    <t>Travaux de confortement</t>
  </si>
  <si>
    <t>2.1.12.1</t>
  </si>
  <si>
    <t>Travaux de confortement des arbres Ti et CP</t>
  </si>
  <si>
    <t>2.1.12.2</t>
  </si>
  <si>
    <t>Travaux de confortement des surfaces arbustives, de vivaces et de graminées</t>
  </si>
  <si>
    <t>2.1.13</t>
  </si>
  <si>
    <t>Accessoire à la plantation</t>
  </si>
  <si>
    <t>2.1.13.1</t>
  </si>
  <si>
    <t>Tuteurs</t>
  </si>
  <si>
    <t>2.1.13.1.1</t>
  </si>
  <si>
    <t>Simple tuteurage</t>
  </si>
  <si>
    <t>2.1.13.1.2</t>
  </si>
  <si>
    <t>Triple tuteurage</t>
  </si>
  <si>
    <t>2.1.13.1.3</t>
  </si>
  <si>
    <t>Quadruple tuteurage</t>
  </si>
  <si>
    <t>2.1.13.2</t>
  </si>
  <si>
    <t>Protection des troncs</t>
  </si>
  <si>
    <t>2.1.14</t>
  </si>
  <si>
    <t>Fourniture et mise en oeuvre d'une fosse d'arbre</t>
  </si>
  <si>
    <t>2.1.15</t>
  </si>
  <si>
    <t>2.1.16</t>
  </si>
  <si>
    <t>2.1.17</t>
  </si>
  <si>
    <t>Décapage de terre végétale et évacuation en décharge</t>
  </si>
  <si>
    <t>M3</t>
  </si>
  <si>
    <t>2.1.18</t>
  </si>
  <si>
    <t>Décapage de terre végétale et mise en stock pour les besoins futurs des espaces verts</t>
  </si>
  <si>
    <t>2.1.19</t>
  </si>
  <si>
    <t>Fourniture et mise en œuvre de terre végétale</t>
  </si>
  <si>
    <t>2.1.20</t>
  </si>
  <si>
    <t>Fourniture et mise en œuvre de terre végétale franche</t>
  </si>
  <si>
    <t>2.1.21</t>
  </si>
  <si>
    <t>Mise en œuvre de terre végétale fournie ou reprise en stock</t>
  </si>
  <si>
    <t>2.1.22</t>
  </si>
  <si>
    <t>Mise en oeuvre de compost végétal (épaisseur 5 cm) pour amender la terre végétale reprise sur site</t>
  </si>
  <si>
    <t>2.1.23</t>
  </si>
  <si>
    <t>Engazonnement</t>
  </si>
  <si>
    <t>2.1.23.1</t>
  </si>
  <si>
    <t>Engazonnement mécanique</t>
  </si>
  <si>
    <t>2.1.23.2</t>
  </si>
  <si>
    <t>Engazonnement manuel</t>
  </si>
  <si>
    <t>2.1.24</t>
  </si>
  <si>
    <t>Protection anti-racinaire</t>
  </si>
  <si>
    <t>2.1.25</t>
  </si>
  <si>
    <t>Barrière anti-racine</t>
  </si>
  <si>
    <t>2.1.26</t>
  </si>
  <si>
    <t>Analyse de terre végétale</t>
  </si>
  <si>
    <t>2.1.27</t>
  </si>
  <si>
    <t>Protection des fosses d'arbres</t>
  </si>
  <si>
    <t>2.1.28</t>
  </si>
  <si>
    <t>Protection des fosses de plantation</t>
  </si>
  <si>
    <t>2.2</t>
  </si>
  <si>
    <t>MOBILIER URBAIN</t>
  </si>
  <si>
    <t>Dépose de mobilier urbain</t>
  </si>
  <si>
    <t>2.2.1.1</t>
  </si>
  <si>
    <t>Dépose de potelet (quel que soit le type)</t>
  </si>
  <si>
    <t>2.2.1.2</t>
  </si>
  <si>
    <t>Dépose de borne (quel que soit le type)</t>
  </si>
  <si>
    <t>2.2.1.3</t>
  </si>
  <si>
    <t>Dépose de boule (quel que soit le type)</t>
  </si>
  <si>
    <t>2.2.1.4</t>
  </si>
  <si>
    <t>Dépose de grille d'arbre (quel que soit le type)</t>
  </si>
  <si>
    <t>2.2.1.5</t>
  </si>
  <si>
    <t>Dépose de banc (quel que soit le type)</t>
  </si>
  <si>
    <t>2.2.1.6</t>
  </si>
  <si>
    <t>Dépose de barrière (quel que soit le type)</t>
  </si>
  <si>
    <t>2.2.1.7</t>
  </si>
  <si>
    <t>Dépose de poubelle (quel que soit le type)</t>
  </si>
  <si>
    <t>2.2.1.8</t>
  </si>
  <si>
    <t>Dépose de jardinière (quel que soit le type)</t>
  </si>
  <si>
    <t>2.2.1.9</t>
  </si>
  <si>
    <t>Dépose d'arceau de parking (quel que soit le type)</t>
  </si>
  <si>
    <t>2.2.1.10</t>
  </si>
  <si>
    <t>Dépose d'une borne rétractable</t>
  </si>
  <si>
    <t>2.2.1.11</t>
  </si>
  <si>
    <t>Dépose de glissière bois</t>
  </si>
  <si>
    <t>2.2.1.12</t>
  </si>
  <si>
    <t>2.2.1.13</t>
  </si>
  <si>
    <t>Dépose de maçonnerie</t>
  </si>
  <si>
    <t>2.2.1.14</t>
  </si>
  <si>
    <t>Dépose d'horodateur (quel que soit le type)</t>
  </si>
  <si>
    <t>2.2.1.15</t>
  </si>
  <si>
    <t>Dépose d'appui vélo (quel que soit le type)</t>
  </si>
  <si>
    <t>2.2.1.16</t>
  </si>
  <si>
    <t>Dépose de coussin berlinois</t>
  </si>
  <si>
    <t>2.2.1.17</t>
  </si>
  <si>
    <t>Démolition d'une logette existante y compris dalle support</t>
  </si>
  <si>
    <t>2.2.1.18</t>
  </si>
  <si>
    <t>Démolition d'un kiosque y compris support existant</t>
  </si>
  <si>
    <t>2.2.1.19</t>
  </si>
  <si>
    <t>Dépose de clôture et portillon</t>
  </si>
  <si>
    <t>2.2.1.20</t>
  </si>
  <si>
    <t xml:space="preserve">Dépose poteau pour jardinière </t>
  </si>
  <si>
    <t>Dépose de poteau (quel que soit le type)</t>
  </si>
  <si>
    <t>Dépose de panneau</t>
  </si>
  <si>
    <t>2.2.3.1</t>
  </si>
  <si>
    <t>Dépose de panneau de signalisation (quel que soit le type)</t>
  </si>
  <si>
    <t>2.2.3.2</t>
  </si>
  <si>
    <t>Dépose de panneau d'information existant (quel que soit le type)</t>
  </si>
  <si>
    <t>2.2.3.3</t>
  </si>
  <si>
    <t>Déplacement de panneau d'information existant (quel que soit le type)</t>
  </si>
  <si>
    <t>Dépose de candélabre</t>
  </si>
  <si>
    <t>Dépose de feu tricolore</t>
  </si>
  <si>
    <t>Dépose de feu piéton</t>
  </si>
  <si>
    <t>Pose de mobilier urbain</t>
  </si>
  <si>
    <t>2.2.7.1</t>
  </si>
  <si>
    <t>Fourniture et pose de potelet fixe Jupiter des Ets Seri ou similaire</t>
  </si>
  <si>
    <t>2.2.7.2</t>
  </si>
  <si>
    <t>Fourniture et pose de potelet fixe PMR Jupiter des Ets Seri ou similaire</t>
  </si>
  <si>
    <t>2.2.7.3</t>
  </si>
  <si>
    <t>Fourniture et pose de potelet amovible Jupiter des Ets Seri ou similaire</t>
  </si>
  <si>
    <t>2.2.7.4</t>
  </si>
  <si>
    <t>Fourniture  et pose de potelet amovible  PMR Jupiter des Ets Seri ou similaire</t>
  </si>
  <si>
    <t>2.2.7.5</t>
  </si>
  <si>
    <t>Fourniture et pose de potelet rabattable PMR Jupiter des Ets Seri ou similaire</t>
  </si>
  <si>
    <t>2.2.7.6</t>
  </si>
  <si>
    <t>Pose de potelet (quel que soit le type)</t>
  </si>
  <si>
    <t>2.2.7.7</t>
  </si>
  <si>
    <t>Pose de borne (quel que soit le type)</t>
  </si>
  <si>
    <t>2.2.7.8</t>
  </si>
  <si>
    <t>Pose de boule (quel que soit le type)</t>
  </si>
  <si>
    <t>2.2.7.9</t>
  </si>
  <si>
    <t>Pose de grille d'arbre (quel que soit le type)</t>
  </si>
  <si>
    <t>2.2.7.10</t>
  </si>
  <si>
    <t>Pose de banc (quel que soit le type)</t>
  </si>
  <si>
    <t>2.2.7.11</t>
  </si>
  <si>
    <t>Pose et fourniture de banquette large type IDYLLE des Ets SINEUGRAFF ou similaire</t>
  </si>
  <si>
    <t>2.2.7.12</t>
  </si>
  <si>
    <t>Pose de barrière (quel que soit le type)</t>
  </si>
  <si>
    <t>2.2.7.13</t>
  </si>
  <si>
    <t>Pose de poubelle (quel que soit le type)</t>
  </si>
  <si>
    <t>2.2.7.14</t>
  </si>
  <si>
    <t>Pose d'appui vélo (quel que soit le type)</t>
  </si>
  <si>
    <t>2.2.7.15</t>
  </si>
  <si>
    <t>Réalisation d'une jardinière en meulières largeur 0,40m, hauteur 0,25 à 0,60m</t>
  </si>
  <si>
    <t>2.2.7.16</t>
  </si>
  <si>
    <t>Pose de jardinière (quel que soit le type)</t>
  </si>
  <si>
    <t>2.2.7.17</t>
  </si>
  <si>
    <t>Pose d'arceau de parking (quel que soit le type)</t>
  </si>
  <si>
    <t>2.2.7.18</t>
  </si>
  <si>
    <t>Pose de ganivelle</t>
  </si>
  <si>
    <t>2.2.7.19</t>
  </si>
  <si>
    <t>Pose d'une borne rétractable (y compris raccordement électrique)</t>
  </si>
  <si>
    <t>2.2.7.20</t>
  </si>
  <si>
    <t>Pose de glissière bois</t>
  </si>
  <si>
    <t>2.2.7.21</t>
  </si>
  <si>
    <t>Pose d'horodateur (quel que soit le type)</t>
  </si>
  <si>
    <t>2.2.7.22</t>
  </si>
  <si>
    <t>Pose de coussin berlinois haute résistance</t>
  </si>
  <si>
    <t>2.2.7.22.1</t>
  </si>
  <si>
    <t>Pose de coussin berlinois haute résistance en plastique muni de dents de requin</t>
  </si>
  <si>
    <t>2.2.7.22.2</t>
  </si>
  <si>
    <t>Pose de coussin berlinois haute résistance en béton</t>
  </si>
  <si>
    <t>Pose de panneau de signalisation et supports</t>
  </si>
  <si>
    <t>2.2.8.1</t>
  </si>
  <si>
    <t>Pose de support (quel que soit le type)</t>
  </si>
  <si>
    <t>2.2.8.2</t>
  </si>
  <si>
    <t>Pose de panneau sur support (quel que soit le type)</t>
  </si>
  <si>
    <t>2.2.8.3</t>
  </si>
  <si>
    <t>Pose de mât en pleine terre</t>
  </si>
  <si>
    <t>2.2.8.4</t>
  </si>
  <si>
    <t>Pose de mât sur surface en enrobé</t>
  </si>
  <si>
    <t>2.2.8.5</t>
  </si>
  <si>
    <t>Pose de mât sur surface en béton</t>
  </si>
  <si>
    <t>2.2.8.6</t>
  </si>
  <si>
    <t>Pose de balise souple autorelevable</t>
  </si>
  <si>
    <t>2.2.8.7</t>
  </si>
  <si>
    <t>Pose de balise J12</t>
  </si>
  <si>
    <t>2.2.9</t>
  </si>
  <si>
    <t>Fourniture de mobilier urbain</t>
  </si>
  <si>
    <t>2.2.9.1</t>
  </si>
  <si>
    <t>Fourniture de potelet à gorge</t>
  </si>
  <si>
    <t>2.2.9.2</t>
  </si>
  <si>
    <t>Fourniture de potelet tête à boule</t>
  </si>
  <si>
    <t>2.2.9.3</t>
  </si>
  <si>
    <t>Fourniture de potelet type Champs Elysées</t>
  </si>
  <si>
    <t>2.2.9.4</t>
  </si>
  <si>
    <t>Fourniture de potelet Zénith DN70 fixe</t>
  </si>
  <si>
    <t>2.2.9.5</t>
  </si>
  <si>
    <t>Fourniture de potelet à gorge amovible</t>
  </si>
  <si>
    <t>2.2.9.6</t>
  </si>
  <si>
    <t>Fourniture de potelet tête à boule amovible</t>
  </si>
  <si>
    <t>2.2.9.7</t>
  </si>
  <si>
    <t>Fourniture de potelet type Champs Elysées amovible</t>
  </si>
  <si>
    <t>2.2.9.8</t>
  </si>
  <si>
    <t>Fourniture de potelet Zénith DN70 amovible</t>
  </si>
  <si>
    <t>2.2.9.9</t>
  </si>
  <si>
    <t>Fourniture de potelet à gorge PMR</t>
  </si>
  <si>
    <t>2.2.9.10</t>
  </si>
  <si>
    <t>2.2.9.11</t>
  </si>
  <si>
    <t>Fourniture de potelet type Champs Elysées PMR</t>
  </si>
  <si>
    <t>2.2.9.12</t>
  </si>
  <si>
    <t>Fourniture de potelet Zénith DN70 PMR fixe</t>
  </si>
  <si>
    <t>2.2.9.13</t>
  </si>
  <si>
    <t>Fourniture de potelet à gorge PMR amovible</t>
  </si>
  <si>
    <t>2.2.9.14</t>
  </si>
  <si>
    <t>Fourniture de potelet tête à boule PMR amovible</t>
  </si>
  <si>
    <t>2.2.9.15</t>
  </si>
  <si>
    <t>Fourniture de potelet type Champs Elysées PMR amovible</t>
  </si>
  <si>
    <t>2.2.9.16</t>
  </si>
  <si>
    <t>Fourniture de potelet Zénith DN70 PMR amovible</t>
  </si>
  <si>
    <t>2.2.9.17</t>
  </si>
  <si>
    <t>Fourniture de potelet à gorge à mémoire de forme</t>
  </si>
  <si>
    <t>2.2.9.18</t>
  </si>
  <si>
    <t>Fourniture de potelet à boule à mémoire de forme</t>
  </si>
  <si>
    <t>2.2.9.19</t>
  </si>
  <si>
    <t>Fourniture de potelet type Champs Elysées à mémoire de forme</t>
  </si>
  <si>
    <t>2.2.9.20</t>
  </si>
  <si>
    <t>Fourniture de potelet à gorge à mémoire de forme PMR</t>
  </si>
  <si>
    <t>2.2.9.21</t>
  </si>
  <si>
    <t>Fourniture de potelet à boule à mémoire de forme PMR</t>
  </si>
  <si>
    <t>2.2.9.22</t>
  </si>
  <si>
    <t>Fourniture de potelet type Champs Elysées à mémoire de forme PMR</t>
  </si>
  <si>
    <t>2.2.9.23</t>
  </si>
  <si>
    <t>Fourniture et pose de potelets bois 20x20, hauteur hors sol 50cm</t>
  </si>
  <si>
    <t>2.2.9.24</t>
  </si>
  <si>
    <t>Fourniture de banc modèle Theoreme OU San Lorenzo de HENRY</t>
  </si>
  <si>
    <t>2.2.9.25</t>
  </si>
  <si>
    <t>Fourniture de banc modèle Mora</t>
  </si>
  <si>
    <t>2.2.9.26</t>
  </si>
  <si>
    <t>Fourniture de banc modèle Samoa</t>
  </si>
  <si>
    <t>2.2.9.27</t>
  </si>
  <si>
    <t>Fourniture de banc type Emau de Mmcité ou similaire</t>
  </si>
  <si>
    <t>2.2.9.28</t>
  </si>
  <si>
    <t>Fourniture de fauteuil type Emau de Mmcité ou similaire</t>
  </si>
  <si>
    <t>2.2.9.29</t>
  </si>
  <si>
    <t>Fourniture d'assis-debout Halifax des Ets Aréa</t>
  </si>
  <si>
    <t>2.2.9.30</t>
  </si>
  <si>
    <t>Fourniture de barrière losange fixe</t>
  </si>
  <si>
    <t>2.2.9.31</t>
  </si>
  <si>
    <t>Fourniture de barrière losange amovible</t>
  </si>
  <si>
    <t>2.2.9.32</t>
  </si>
  <si>
    <t>Fourniture de barrière modèle Croix de Saint-André fixe</t>
  </si>
  <si>
    <t>2.2.9.33</t>
  </si>
  <si>
    <t>Fourniture de barrière modèle Croix de Saint-André amovible</t>
  </si>
  <si>
    <t>2.2.9.34</t>
  </si>
  <si>
    <t>Fourniture de barrière modèle Canberra de INGENIA fixe</t>
  </si>
  <si>
    <t>2.2.9.35</t>
  </si>
  <si>
    <t>Fourniture de barrière modèle Canberra de INGENIA amovible</t>
  </si>
  <si>
    <t>2.2.9.36</t>
  </si>
  <si>
    <t>Fourniture de barrière Tiby des Ets Univers &amp; Cité ou similaire</t>
  </si>
  <si>
    <t>2.2.9.37</t>
  </si>
  <si>
    <t>Fourniture de barrière pivotante double ventaux largeur variable</t>
  </si>
  <si>
    <t>2.2.9.38</t>
  </si>
  <si>
    <t>Fourniture de corbeilleTulip</t>
  </si>
  <si>
    <t>2.2.9.39</t>
  </si>
  <si>
    <t>Fourniture de corbeille Tulip 2020 (vigipirate) ou Jasmin de SERI</t>
  </si>
  <si>
    <t>2.2.9.40</t>
  </si>
  <si>
    <t>Fourniture de corbeille Tulipe double flux</t>
  </si>
  <si>
    <t>2.2.9.41</t>
  </si>
  <si>
    <t>Fourniture de corbeille bi-flux Easy des Ets Aéa ou similaire</t>
  </si>
  <si>
    <t>2.2.9.42</t>
  </si>
  <si>
    <t>Fourniture d'appui vélo modèle Agora de AREA</t>
  </si>
  <si>
    <t>2.2.9.43</t>
  </si>
  <si>
    <t>Fourniture d'appui vélo modèle Buis de INGENIA</t>
  </si>
  <si>
    <t>2.2.9.44</t>
  </si>
  <si>
    <t>Fourniture de ganivelle</t>
  </si>
  <si>
    <t>2.2.9.45</t>
  </si>
  <si>
    <t>Fourniture d'une borne rétractable (y compris raccordement électrique)</t>
  </si>
  <si>
    <t>2.2.9.46</t>
  </si>
  <si>
    <t>Fourniture de glissière bois</t>
  </si>
  <si>
    <t>2.2.9.47</t>
  </si>
  <si>
    <t>Fourniture d'appui vélo (quel que soit le type)</t>
  </si>
  <si>
    <t>2.2.9.48</t>
  </si>
  <si>
    <t>Fourniture d'appui vélo Lucine des Ets Séri ou similaire</t>
  </si>
  <si>
    <t>2.2.9.49</t>
  </si>
  <si>
    <t>Fourniture d'appui moto Lucine des Ets Séri ou similaire</t>
  </si>
  <si>
    <t>2.2.9.50</t>
  </si>
  <si>
    <t>Fourniture de coussin berlinois haute résistance</t>
  </si>
  <si>
    <t>Fourniture de coussin berlinois haute résistance en plastique muni de dents de requin</t>
  </si>
  <si>
    <t>Fourniture de coussin berlinois haute résistance en béton</t>
  </si>
  <si>
    <t>2.2.10</t>
  </si>
  <si>
    <t xml:space="preserve">Fourniture et pose de lice basse type Zénith </t>
  </si>
  <si>
    <t>2.2.11</t>
  </si>
  <si>
    <t>Fourniture et pose de clôture barreaudée</t>
  </si>
  <si>
    <t>2.2.11.1</t>
  </si>
  <si>
    <t>Clôture barreaudée h 1m pose droite</t>
  </si>
  <si>
    <t>2.2.11.2</t>
  </si>
  <si>
    <t>Clôture barreaudée h 1m pose suivant la pente</t>
  </si>
  <si>
    <t>2.2.11.3</t>
  </si>
  <si>
    <t>Clôture barreaudée h 1,5m pose droite</t>
  </si>
  <si>
    <t>2.2.11.4</t>
  </si>
  <si>
    <t>Clôture barreaudée h 1,5m pose suivant la pente</t>
  </si>
  <si>
    <t>2.2.12</t>
  </si>
  <si>
    <t>Fourniture et pose de portillon barreaudé h 1,50m largeur 1,50m</t>
  </si>
  <si>
    <t>2.2.13</t>
  </si>
  <si>
    <t>Fourniture de panneau de signalisation et supports</t>
  </si>
  <si>
    <t>2.2.13.1</t>
  </si>
  <si>
    <t>Fourniture de panneau de police</t>
  </si>
  <si>
    <t>2.2.13.2</t>
  </si>
  <si>
    <t>Fourniture de panneau nom de rue</t>
  </si>
  <si>
    <t>2.2.13.3</t>
  </si>
  <si>
    <t>Fourniture de panneau de type A</t>
  </si>
  <si>
    <t>2.2.13.4</t>
  </si>
  <si>
    <t>Fourniture panneau de type B</t>
  </si>
  <si>
    <t>2.2.13.5</t>
  </si>
  <si>
    <t>Fourniture panneau de type AB</t>
  </si>
  <si>
    <t>2.2.13.6</t>
  </si>
  <si>
    <t>Fourniture panneau de type C et CE</t>
  </si>
  <si>
    <t>2.2.13.7</t>
  </si>
  <si>
    <t>Fourniture panneau de type "prescription zonale"</t>
  </si>
  <si>
    <t>2.2.13.8</t>
  </si>
  <si>
    <t>Fourniture panonceau de type M</t>
  </si>
  <si>
    <t>2.2.13.9</t>
  </si>
  <si>
    <t>Fourniture de mât section cylindrique ou rectangulaire hauteur inférieure ou égale à 2,5 m</t>
  </si>
  <si>
    <t>2.2.13.10</t>
  </si>
  <si>
    <t>Fourniture de mât section cylindrique ou rectangulaire hauteursupérieure à 2,5 m</t>
  </si>
  <si>
    <t>2.2.13.11</t>
  </si>
  <si>
    <t>Fourniture de balise souple autorelevable</t>
  </si>
  <si>
    <t>2.2.13.12</t>
  </si>
  <si>
    <t>Fourniture de balise J12</t>
  </si>
  <si>
    <t>2.2.13.13</t>
  </si>
  <si>
    <t>Plus-value pour peinture de l'arrière des panneaux au RAL défini par le maître d'ouvrage</t>
  </si>
  <si>
    <t>2.2.14</t>
  </si>
  <si>
    <t>Fourniture et pose de bande podo-tactile collée</t>
  </si>
  <si>
    <t>2.2.15</t>
  </si>
  <si>
    <t>Fourniture et pose de revêtement de dalle podo-tactile</t>
  </si>
  <si>
    <t>2.2.15.1</t>
  </si>
  <si>
    <t>Fourniture et pose de revêtement de dalle podo-tactile en béton</t>
  </si>
  <si>
    <t>2.2.15.2</t>
  </si>
  <si>
    <t>Fourniture et pose de revêtement de dalle podo-tactile en pierre naturelle</t>
  </si>
  <si>
    <t>2.2.16</t>
  </si>
  <si>
    <t>2.2.17</t>
  </si>
  <si>
    <t>Fourniture et pose de dalles de luserne ép 8cm, y compris lit de pose et hydrofuge anti-tâche</t>
  </si>
  <si>
    <t>2.2.18</t>
  </si>
  <si>
    <t>Fourniture et pose de dalles de luserne ép 12cm, y compris lit de pose et hydrofuge anti-tâche</t>
  </si>
  <si>
    <t>2.2.19</t>
  </si>
  <si>
    <t>Fourniture et pose de clou inox diam 100mm</t>
  </si>
  <si>
    <t>2.2.20</t>
  </si>
  <si>
    <t>Fourniture et pose de bande de guidage</t>
  </si>
  <si>
    <t>2.2.21</t>
  </si>
  <si>
    <t>Fourniture et pose de panneau d'information</t>
  </si>
  <si>
    <t>2.2.22</t>
  </si>
  <si>
    <t>Pose de candélabre</t>
  </si>
  <si>
    <t>2.2.23</t>
  </si>
  <si>
    <t>Pose de feu tricolore</t>
  </si>
  <si>
    <t>2.2.24</t>
  </si>
  <si>
    <t>Pose de feu piéton</t>
  </si>
  <si>
    <t>2.2.25</t>
  </si>
  <si>
    <t>Déplacement d'armoire de La Poste</t>
  </si>
  <si>
    <t>Fourniture et pose de plot de bordure en verre réfléchissant diamètre 51</t>
  </si>
  <si>
    <t>2.3</t>
  </si>
  <si>
    <t>SIGNALISATION HORIZONTALE</t>
  </si>
  <si>
    <t>Amenée et repli de l'équipe et du matériel de marquage</t>
  </si>
  <si>
    <t>Marquage provisoire à la peinture jaune</t>
  </si>
  <si>
    <t>2.3.2.1</t>
  </si>
  <si>
    <t>De ligne discontinue ou continue de 0,15 m de largeur</t>
  </si>
  <si>
    <t>2.3.2.2</t>
  </si>
  <si>
    <t>De passage piéton</t>
  </si>
  <si>
    <t>2.3.2.3</t>
  </si>
  <si>
    <t>De flèche droite ou de rabattement</t>
  </si>
  <si>
    <t>Effaçage de marquage au sol</t>
  </si>
  <si>
    <t>2.3.3.1</t>
  </si>
  <si>
    <t>De ligne continue ou discontinue provisoire ou définitive</t>
  </si>
  <si>
    <t>2.3.3.2</t>
  </si>
  <si>
    <t>De passage piétons, zébras provisoires ou définitifs</t>
  </si>
  <si>
    <t>2.3.3.3</t>
  </si>
  <si>
    <t>De flèches provisoires ou définitives</t>
  </si>
  <si>
    <t>Marquage définitif en résine</t>
  </si>
  <si>
    <t>2.3.4.1</t>
  </si>
  <si>
    <t>Marquage définitif en résine de ligne axiale continue ou discontinue de largeur 2U</t>
  </si>
  <si>
    <t>2.3.4.2</t>
  </si>
  <si>
    <t>Marquage définitif en résine de ligne axiale continue ou discontinue de largeur 3U</t>
  </si>
  <si>
    <t>2.3.4.3</t>
  </si>
  <si>
    <t>Marquage définitif en résine de ligne axiale continue ou discontinue de largeur 5U</t>
  </si>
  <si>
    <t>2.3.4.4</t>
  </si>
  <si>
    <t>Marquage de stationnement résine continu ou discontinu</t>
  </si>
  <si>
    <t>2.3.4.5</t>
  </si>
  <si>
    <t>Marquage transversal de bande stop largeur 0,50 m</t>
  </si>
  <si>
    <t>2.3.4.6</t>
  </si>
  <si>
    <t>Marquage transversal de bande cédez le passage 0,50 m x 0,50m</t>
  </si>
  <si>
    <t>2.3.4.7</t>
  </si>
  <si>
    <t>Marquage définitif de dents de requin</t>
  </si>
  <si>
    <t>2.3.4.8</t>
  </si>
  <si>
    <t>Marquage définitif en résine de passage piétons</t>
  </si>
  <si>
    <t>2.3.4.9</t>
  </si>
  <si>
    <t>Marquage définitif en résine de flèche droite ou de rabattement</t>
  </si>
  <si>
    <t>2.3.4.10</t>
  </si>
  <si>
    <t>Marquage définitif en résine d'îlot directionnel</t>
  </si>
  <si>
    <t>2.3.4.11</t>
  </si>
  <si>
    <t>Marquage définitif en résine jaune de zigzag d'arrêt de bus</t>
  </si>
  <si>
    <t>2.3.4.12</t>
  </si>
  <si>
    <t>Marquage définitif de ligne axiale piste cyclable largeur 0,06 m</t>
  </si>
  <si>
    <t>2.3.4.13</t>
  </si>
  <si>
    <t>Marquage définitif de sigle handicapé petit format</t>
  </si>
  <si>
    <t>2.3.4.14</t>
  </si>
  <si>
    <t>Marquage définitif de sigle handicapé grand format</t>
  </si>
  <si>
    <t>2.3.4.15</t>
  </si>
  <si>
    <t>Marquage définitif de sigles divers (défense stationner, piste cyclable, …)</t>
  </si>
  <si>
    <t>SOUS TOTAL ESPACES VERTS, MOBILIER URBAIN, SIGNALISATION HORIZONTALE ET VERTICALE</t>
  </si>
  <si>
    <t>3</t>
  </si>
  <si>
    <t>POINT D'APPORT VOLONTAIRE ENTERRE, ARRETS DE BUS</t>
  </si>
  <si>
    <t>3.1</t>
  </si>
  <si>
    <t>POINT D'APPORT VOLONTAIRE ENTERRE (PAVE)</t>
  </si>
  <si>
    <t>Dépose et évacuation en décharge ou dépose et stockage de PAVE quel que soit le type</t>
  </si>
  <si>
    <t>3.1.1.1</t>
  </si>
  <si>
    <t>Dépose, chargement, évacuation et mise en décharge (droit de décharge compris)</t>
  </si>
  <si>
    <t>3.1.1.2</t>
  </si>
  <si>
    <t>Dépose, chargement, évacuation et déchargement au dépôt désigné par le maître d'ouvrage</t>
  </si>
  <si>
    <t>Signalisation verticale définitive pour PAVE</t>
  </si>
  <si>
    <t>Réalisation de la fosse et du génie civil, y compris drainage, pour pose de PAVE</t>
  </si>
  <si>
    <t>3.2</t>
  </si>
  <si>
    <t>ARRETS DE BUS</t>
  </si>
  <si>
    <t>Pose, dépose, remplacement ou modification de l’orientation de poteaux d’arrêts de type « Guinto » de la société Clear Channel – voir notice technique en annexe)</t>
  </si>
  <si>
    <t>3.2.1.1</t>
  </si>
  <si>
    <t>Pose définitive de poteau d’arrêt</t>
  </si>
  <si>
    <t>3.2.1.2</t>
  </si>
  <si>
    <t>Dépose définitive de poteau d’arrêt</t>
  </si>
  <si>
    <t>3.2.1.3</t>
  </si>
  <si>
    <t>Pose de poteau sur socle provisoire</t>
  </si>
  <si>
    <t>3.2.1.4</t>
  </si>
  <si>
    <t>Dépose de poteau provisoire</t>
  </si>
  <si>
    <t>3.2.1.5</t>
  </si>
  <si>
    <t>Remplacement de poteau endommagé avec conservation du massif en béton</t>
  </si>
  <si>
    <t>3.2.1.6</t>
  </si>
  <si>
    <t xml:space="preserve">Réorientation de corps de poteau </t>
  </si>
  <si>
    <t>3.2.1.7</t>
  </si>
  <si>
    <t>Fouille perdue</t>
  </si>
  <si>
    <t>3.2.1.8</t>
  </si>
  <si>
    <t>Intervention "poteaux" sur site pour 1 à 4 opérations par OS</t>
  </si>
  <si>
    <t>FT/POTEAU</t>
  </si>
  <si>
    <t>3.2.1.9</t>
  </si>
  <si>
    <t>Intervention "poteaux" sur site par tranche de 5 opérations par OS et non cumulable avec l'article 3.2.1.8</t>
  </si>
  <si>
    <t>FT/5 POTEAUX</t>
  </si>
  <si>
    <t>3.2.1.10</t>
  </si>
  <si>
    <t xml:space="preserve">Intervention sur site pour réfection en béton bitumineux par tranches de 5 opérations </t>
  </si>
  <si>
    <t>3.2.1.11</t>
  </si>
  <si>
    <t>Réfection définitive en béton bitumineux 0/6 noir du poteau d’arrêt posé ou déposé et d’une surface de 0,20 à 0,25 m2 maximum</t>
  </si>
  <si>
    <t>3.2.1.12</t>
  </si>
  <si>
    <t>Réfection définitive en béton bitumineux 0/6 rouge du poteau d’arrêt posé ou déposé et d’une surface de 0,20 à 0,25 m2 maximum</t>
  </si>
  <si>
    <t>3.2.1.13</t>
  </si>
  <si>
    <t>Réfection définitive autre qu'en béton bitumineux - béton lissé, bouchardé, désactivé - dallage ou pavage y compris la découpe - du poteau d'arrêt posé ou déposé et d'une surface de 0,20 à 0,25 m² maximum</t>
  </si>
  <si>
    <t>3.2.1.14</t>
  </si>
  <si>
    <t>Réfection définitive végétalisée - gazon - terre végétale - du poteau d'arrêt posé ou déposé et d'une surface de 0,20 à 0,25 m² maximum</t>
  </si>
  <si>
    <t>3.3</t>
  </si>
  <si>
    <t>DEPOSE D'ABRI BUS</t>
  </si>
  <si>
    <t>POSE D'ABRI BUS</t>
  </si>
  <si>
    <t>3.5</t>
  </si>
  <si>
    <t>SIGNALISATION HORIZONTALE D'ARRETS DE BUS DU RESEAU LE PALADIN</t>
  </si>
  <si>
    <t>Intervention "marquage" sur site pour 1 à 4 opérations par OS</t>
  </si>
  <si>
    <t>FT/ OPERATION</t>
  </si>
  <si>
    <t>Intervention "marquage" sur site par tranche de 5 opérations par OS et non cumulable avec l'article 3.5.1</t>
  </si>
  <si>
    <t>FT/5 OPERATIONS</t>
  </si>
  <si>
    <t>3.5.3</t>
  </si>
  <si>
    <t>Effaçage  par tout moyen approprié d’une «Marque Repère Arrêt » sur quai d’arrêt de bus de longueur 0,50m sur 0,07m de largeur.</t>
  </si>
  <si>
    <t>3.5.4</t>
  </si>
  <si>
    <r>
      <t>Effaçage  par tout moyen approprié d’un zig-zag bus dont la longueur mesurée au droit du fil d'eau</t>
    </r>
    <r>
      <rPr>
        <sz val="10"/>
        <rFont val="Calibri"/>
        <family val="2"/>
      </rPr>
      <t xml:space="preserve"> </t>
    </r>
    <r>
      <rPr>
        <sz val="10"/>
        <rFont val="Arial"/>
        <family val="2"/>
      </rPr>
      <t>ne dépasse pas 10,00m et dont la largeur est comprise entre 2,00m et 2,50m.</t>
    </r>
  </si>
  <si>
    <t>3.5.5</t>
  </si>
  <si>
    <t>Effaçage  par tout moyen approprié d’un zig-zag bus dont la longueur mesurée au droit du fil d’eau est comprise entre 10,00m et 15,00m et dont la largeur est comprise entre 2,00m et 2,50m.</t>
  </si>
  <si>
    <t>3.5.6</t>
  </si>
  <si>
    <t>Marquage définitif d’une « Marque Repère Arrêt » sur quai d’arrêt de bus de longueur 0,50m sur 0,07m de largeur</t>
  </si>
  <si>
    <t>3.5.7</t>
  </si>
  <si>
    <t>Marquage définitif à la résine d’un zig-zag bus dont la longueur mesurée au droit du fil d’eau ne dépasse pas 10,00m et dont la largeur est comprise entre 2,00m et 2,50m.</t>
  </si>
  <si>
    <t>3.5.8</t>
  </si>
  <si>
    <t>Marquage définitif à la résine d’un zig-zag bus dont la longueur mesurée au droit du fil d’eau est comprise entre 10,00m et 15,00m et dont la largeur est comprise entre 2,00m et 2,50m.</t>
  </si>
  <si>
    <t>3.5.9</t>
  </si>
  <si>
    <t>Poteau d'arrêt bus fixe de type GAYANT (URBANEO)</t>
  </si>
  <si>
    <t>3.5.9.1</t>
  </si>
  <si>
    <t>Fourniture de poteau d'arrêt bus de type Gayant</t>
  </si>
  <si>
    <t>3.5.9.2</t>
  </si>
  <si>
    <t>Scellement et pose de poteau</t>
  </si>
  <si>
    <t>3.5.10</t>
  </si>
  <si>
    <t>Fourniture de poteau d'arrêt bus provisoire de type ERIS (URBANEO)</t>
  </si>
  <si>
    <t>3.5.11</t>
  </si>
  <si>
    <t>Dépose de poteau d'arrêt de bus (dont massif, hors réfection d'enrobé)</t>
  </si>
  <si>
    <t>3.5.12</t>
  </si>
  <si>
    <t>Dépose de poteau d'arrêt de bus (découpe du mât à sa base)</t>
  </si>
  <si>
    <t>SOUS TOTALPOINT D'APPORT VOLONTAIRE ENTERRE, ARRETS DE BUS</t>
  </si>
  <si>
    <t>4</t>
  </si>
  <si>
    <t>DEMOLITION ET REFECTION DE CHAUSSEE ET TROTTOIRS</t>
  </si>
  <si>
    <t>4.1</t>
  </si>
  <si>
    <t>DECOUPE DES ENROBES</t>
  </si>
  <si>
    <t>Découpe des enrobés jusqu'à 6 centimètres d'épaisseur</t>
  </si>
  <si>
    <t>Plus-value au prix 4.1.1 par cm supplémentaire d'épaisseur</t>
  </si>
  <si>
    <t>CM/ML</t>
  </si>
  <si>
    <t>4.2</t>
  </si>
  <si>
    <t>DEMOLITION/RABOTAGE DES REVETEMENTS QUELLE QUE SOIT LA NATURE</t>
  </si>
  <si>
    <t>Démolition des revêtements jusqu'à 6 cm d'épaisseur</t>
  </si>
  <si>
    <t>Rabotage des revêtements jusqu'à 6 cm d'épaisseur</t>
  </si>
  <si>
    <t>4.2.2.1</t>
  </si>
  <si>
    <t>Rabotage des revêtements de chaussées Q ≤ 500 m2</t>
  </si>
  <si>
    <t>4.2.2.2</t>
  </si>
  <si>
    <t>Rabotage des revêtements de chaussées 500 m2 &lt; Q ≤ 2000 m2</t>
  </si>
  <si>
    <t>4.2.2.3</t>
  </si>
  <si>
    <t>Rabotage des revêtements de chaussées Q &gt; 2000 m2</t>
  </si>
  <si>
    <t>Plus-value aux prix 4.2.1 et 4.2.2 par cm supplémentaire d'épaisseur</t>
  </si>
  <si>
    <t>CM/M2</t>
  </si>
  <si>
    <t>4.3</t>
  </si>
  <si>
    <t>DEPOSE DE BORDURE, BORDURETTE, CANIVEAU QUELS QUE SOIENT LE TYPE ET LA NATURE</t>
  </si>
  <si>
    <t>4.3.1</t>
  </si>
  <si>
    <t>Dépose de bordure quelle que soit le type</t>
  </si>
  <si>
    <t>4.3.2</t>
  </si>
  <si>
    <t>Dépose de bordurette quelle que soit le type</t>
  </si>
  <si>
    <t>4.3.3</t>
  </si>
  <si>
    <t>Dépose de caniveau quel que soit le type</t>
  </si>
  <si>
    <t>4.4</t>
  </si>
  <si>
    <t>DEPOSE DE PAVAGE ET STOCKAGE</t>
  </si>
  <si>
    <t>4.4.1</t>
  </si>
  <si>
    <t>Dépose manuelle de pavage et stockage</t>
  </si>
  <si>
    <t>4.4.2</t>
  </si>
  <si>
    <t>Dépose mécanique de pavage et stockage</t>
  </si>
  <si>
    <t>4.5</t>
  </si>
  <si>
    <t>PLUS-VALUE AUX PRIX 4.4.1 ET 4.4.2 POUR DECROTTAGE</t>
  </si>
  <si>
    <t>4.6</t>
  </si>
  <si>
    <t>PLUS-VALUE AUX PRIX 4.4.1 ET 4.4.2 POUR EVACUATION ET MISE EN DECHARGE (droits de décharge inclus)</t>
  </si>
  <si>
    <t>4.7</t>
  </si>
  <si>
    <t>DEMOLITION DE CORPS DE CHAUSSEE OU DE TROTTOIR QUELLE QUE SOIT LA NATURE</t>
  </si>
  <si>
    <t>4.7.1</t>
  </si>
  <si>
    <t>Démolition manuelle</t>
  </si>
  <si>
    <t>4.7.2</t>
  </si>
  <si>
    <t>Démolition mécanique</t>
  </si>
  <si>
    <t>4.7.2.1</t>
  </si>
  <si>
    <t>Démolition mécanique Q ≤ 50 m3</t>
  </si>
  <si>
    <t>4.7.2.2</t>
  </si>
  <si>
    <t>Démolition mécanique 50 m3 &lt; Q ≤ 400 m3</t>
  </si>
  <si>
    <t>4.7.2.3</t>
  </si>
  <si>
    <t>Démolition mécanique Q &gt; 400 m3</t>
  </si>
  <si>
    <t>4.8</t>
  </si>
  <si>
    <t>PURGE PONCTUELLE DE CHAUSSEE</t>
  </si>
  <si>
    <t>4.8.1</t>
  </si>
  <si>
    <t>Purge à l'engin mécanique</t>
  </si>
  <si>
    <t>4.8.2</t>
  </si>
  <si>
    <t>Purge à la main</t>
  </si>
  <si>
    <t>4.9</t>
  </si>
  <si>
    <t>REGLAGE DE SURFACE PAR NIVELEUSE</t>
  </si>
  <si>
    <t>4.10</t>
  </si>
  <si>
    <t>RACLAGE DE SURFACE PAR NIVELEUSE</t>
  </si>
  <si>
    <t>4.11</t>
  </si>
  <si>
    <t>REFECTION DES CHAUSSEES ET TROTTOIRS</t>
  </si>
  <si>
    <t>4.11.1</t>
  </si>
  <si>
    <t>Réfection provisoire de chaussée comprenant un enduit gravillonné bicouche aux granulats porphyres</t>
  </si>
  <si>
    <t>4.11.2</t>
  </si>
  <si>
    <t>Fourniture et mise en place d'un géotextile anti-contaminant</t>
  </si>
  <si>
    <t>4.11.2.1</t>
  </si>
  <si>
    <t>Géotextile anti-contaminant 350 gr/m2</t>
  </si>
  <si>
    <t>4.11.2.2</t>
  </si>
  <si>
    <t>Géotextile anti-contaminant 500 gr/m3</t>
  </si>
  <si>
    <t>4.11.3</t>
  </si>
  <si>
    <t>Fourniture des matériaux de fondation de chaussée et de trottoir</t>
  </si>
  <si>
    <t>4.11.3.1</t>
  </si>
  <si>
    <t>Grave ciment 0/20</t>
  </si>
  <si>
    <t>4.11.3.2</t>
  </si>
  <si>
    <t>Grave de béton concassé 0/20 ou 0/31.5 traitée au liant hydraulique</t>
  </si>
  <si>
    <t>4.11.3.3</t>
  </si>
  <si>
    <t>Grave de béton concassé 0/20 ou 0/31.5 non traitée</t>
  </si>
  <si>
    <t>4.11.3.4</t>
  </si>
  <si>
    <t>Grave non traitée GNT 0/20 ou 0/31.5</t>
  </si>
  <si>
    <t>4.11.3.5</t>
  </si>
  <si>
    <t>Grave 20/40 drainante</t>
  </si>
  <si>
    <t>4.11.4</t>
  </si>
  <si>
    <t>Mise en œuvre de la fondation de chaussée et de trottoir</t>
  </si>
  <si>
    <t>4.11.4.1</t>
  </si>
  <si>
    <t>Mise en œuvre manuelle</t>
  </si>
  <si>
    <t>4.11.4.2</t>
  </si>
  <si>
    <t>Mise en œuvre mécanique Q ≤ 50 m3</t>
  </si>
  <si>
    <t>4.11.4.3</t>
  </si>
  <si>
    <t>Mise en œuvre mécanique 50 m3 &lt; Q ≤ 400 m3</t>
  </si>
  <si>
    <t>4.11.4.4</t>
  </si>
  <si>
    <t>Mise en œuvre mécanique &gt; 400 m3</t>
  </si>
  <si>
    <t>4.11.5</t>
  </si>
  <si>
    <t>Réalisation d'un matriçage sur enrobé rouge</t>
  </si>
  <si>
    <t>4.11.6</t>
  </si>
  <si>
    <t>Fourniture, transport et mise en œuvre de béton maigre pour fondation des zones pavées</t>
  </si>
  <si>
    <t>4.11.7</t>
  </si>
  <si>
    <t>Réfection de pavage</t>
  </si>
  <si>
    <t>4.11.8</t>
  </si>
  <si>
    <t>Plus value au prix 4.11.7 pour réfection de pavage en caniveau</t>
  </si>
  <si>
    <t>4.11.9</t>
  </si>
  <si>
    <t>Fourniture et pose de laniérage en pavés granit</t>
  </si>
  <si>
    <t>4.11.10</t>
  </si>
  <si>
    <t>Fourniture et pose de pavé en granit</t>
  </si>
  <si>
    <t>4.11.10.1</t>
  </si>
  <si>
    <t>Fourniture et pose de pavés en granit 10x10x10 cm</t>
  </si>
  <si>
    <t>4.11.10.2</t>
  </si>
  <si>
    <t>Fourniture et pose de pavés en granit 14x20x14 cm</t>
  </si>
  <si>
    <t>4.11.10.3</t>
  </si>
  <si>
    <t>Fourniture et pose de pavés en granit 14x20x10 cm</t>
  </si>
  <si>
    <t>4.11.10.4</t>
  </si>
  <si>
    <t>4.11.10.5</t>
  </si>
  <si>
    <t>Fourniture et pose de pavés granit 14x20x14 à joints engazonnés</t>
  </si>
  <si>
    <t>4.11.11</t>
  </si>
  <si>
    <t>4.11.12</t>
  </si>
  <si>
    <t>Fourniture et pose de pavé en béton joints gazon</t>
  </si>
  <si>
    <t>4.11.13</t>
  </si>
  <si>
    <t>Fourniture et pose de pavé en béton Ep 8 cm joints graviers type Rompero</t>
  </si>
  <si>
    <t>4.11.14</t>
  </si>
  <si>
    <t>Plus value aux prix 4.11.10 à 4.11.12 pour pose de pavage en caniveau</t>
  </si>
  <si>
    <t>4.11.15</t>
  </si>
  <si>
    <t>Plus value aux prix 4.11.9 à 4.11.12 pour pose de pavage sur trottoir</t>
  </si>
  <si>
    <t>4.11.16</t>
  </si>
  <si>
    <t>Plus value aux prix 4.11.9 à 4.11.12 pour pose de pavage sur entrées charretières</t>
  </si>
  <si>
    <t>4.11.17</t>
  </si>
  <si>
    <t>4.11.18</t>
  </si>
  <si>
    <t>Fourniture de la couche de roulement sur chaussée et du revêtement de trottoir en béton bitumineux (y compris couche d'accrochage à l'émulsion de bitume)</t>
  </si>
  <si>
    <t>4.11.18.1</t>
  </si>
  <si>
    <t>Béton bitumineux 0/10 noir</t>
  </si>
  <si>
    <t>T</t>
  </si>
  <si>
    <t>4.11.18.2</t>
  </si>
  <si>
    <t>Béton bitumineux 0/6 noir</t>
  </si>
  <si>
    <t>4.11.18.3</t>
  </si>
  <si>
    <t>Béton bitumineux 0/6 rouge</t>
  </si>
  <si>
    <t>4.11.18.4</t>
  </si>
  <si>
    <t>Béton bitumineux 0/4 rouge</t>
  </si>
  <si>
    <t>4.11.18.5</t>
  </si>
  <si>
    <t>Béton bitumineux coloré</t>
  </si>
  <si>
    <t>4.11.18.6</t>
  </si>
  <si>
    <t>Béton bitumineux très mince (BBTM) 0/6 noir</t>
  </si>
  <si>
    <t>4.11.18.7</t>
  </si>
  <si>
    <t>Béton Bitumineux Mince (BBM) 0/10 noir</t>
  </si>
  <si>
    <t>4.11.18.8</t>
  </si>
  <si>
    <t>Béton Bitumineux Semi-Grenu (BBSG) 0/10 noir</t>
  </si>
  <si>
    <t>4.11.18.9</t>
  </si>
  <si>
    <t>Béton Bitumineux Semi-Grenu (BBSG) 0/10 à quartz blanc</t>
  </si>
  <si>
    <t>4.11.18.10</t>
  </si>
  <si>
    <t>Béton Bitumineux Semi-Grenu (BBSG) 0/6 noir</t>
  </si>
  <si>
    <t>4.11.18.11</t>
  </si>
  <si>
    <t>Béton Bitumineux Semi-Grenu (BBSG) 0/10 rouge</t>
  </si>
  <si>
    <t>4.11.18.12</t>
  </si>
  <si>
    <t>Béton Bitumineux Semi-Grenu (BBSG) 0/14 noir</t>
  </si>
  <si>
    <t>4.11.18.13</t>
  </si>
  <si>
    <t>Béton Bitumineux percolés</t>
  </si>
  <si>
    <t>4.11.18.14</t>
  </si>
  <si>
    <t>Béton Bitumineux hydrodécapé</t>
  </si>
  <si>
    <t>4.11.18.15</t>
  </si>
  <si>
    <t>Béton désactivé fibré 5/15 sur 0,20 m d'épaisseur et joints toffolo</t>
  </si>
  <si>
    <t>4.11.18.16</t>
  </si>
  <si>
    <t>Béton désactivé fibré 5/15 sur 0,15 m d'épaisseur et joints toffolo</t>
  </si>
  <si>
    <t>4.11.18.17</t>
  </si>
  <si>
    <t>Béton Bitumineux à Module Elevé (BBME) 0/10 noir</t>
  </si>
  <si>
    <t>4.11.18.18</t>
  </si>
  <si>
    <t>Enrobé à module élevé EME 0/14 noir classe 2</t>
  </si>
  <si>
    <t>4.11.18.19</t>
  </si>
  <si>
    <t>Grave bitume 0/14 classe 3</t>
  </si>
  <si>
    <t>4.11.18.20</t>
  </si>
  <si>
    <t>Béton bitumineux rougissant</t>
  </si>
  <si>
    <t>4.11.19</t>
  </si>
  <si>
    <t>Mise en œuvre manuelle de la couche de roulement (y compris couche d'accrochage à l'émulsion de bitume)</t>
  </si>
  <si>
    <t>4.11.20</t>
  </si>
  <si>
    <t>Mise en œuvre mécanique de la couche de roulement (y compris couche d'accrochage à l'émulsion de bitume)</t>
  </si>
  <si>
    <t>4.11.20.1</t>
  </si>
  <si>
    <t>Tonnage ≤ 200 T</t>
  </si>
  <si>
    <t>4.11.20.2</t>
  </si>
  <si>
    <t>Tonnage &gt; 200 T</t>
  </si>
  <si>
    <t>4.11.21</t>
  </si>
  <si>
    <t>Réfection en revêtement EPDM rouge</t>
  </si>
  <si>
    <t>4.11.22</t>
  </si>
  <si>
    <t>Réfection du revêtement de trottoir en asphalte</t>
  </si>
  <si>
    <t>4.11.22.1</t>
  </si>
  <si>
    <t>Asphalte noire</t>
  </si>
  <si>
    <t>4.11.22.2</t>
  </si>
  <si>
    <t>Asphalte rouge</t>
  </si>
  <si>
    <t>4.11.22.3</t>
  </si>
  <si>
    <t>Asphalte beige</t>
  </si>
  <si>
    <t>4.11.23</t>
  </si>
  <si>
    <t>Réfection du revêtement de plateforme de PAVE en asphalte</t>
  </si>
  <si>
    <t>4.11.23.1</t>
  </si>
  <si>
    <t>4.11.23.2</t>
  </si>
  <si>
    <t>4.11.24</t>
  </si>
  <si>
    <t>Revêtement du revêtement de trottoir en béton gris balayé sur 10 cm d'épaisseur</t>
  </si>
  <si>
    <t>4.11.25</t>
  </si>
  <si>
    <t>Revêtement de trottoir en béton gris désactivé sur 10 cm d'épaisseur</t>
  </si>
  <si>
    <t>4.11.26</t>
  </si>
  <si>
    <t>Plus-value aux prix de béton de trottoir pour augmentation de l'épaisseur</t>
  </si>
  <si>
    <t>4.11.27</t>
  </si>
  <si>
    <t>Fourniture et pose de sable stabilisé renforcé</t>
  </si>
  <si>
    <t>4.11.28</t>
  </si>
  <si>
    <t>Fourniture et pose de résine claire</t>
  </si>
  <si>
    <t>4.11.29</t>
  </si>
  <si>
    <t>Repose de Bordures et caniveaux</t>
  </si>
  <si>
    <t>4.11.29.1</t>
  </si>
  <si>
    <t>Repose en alignement droit de bordures grès ou granit préalablement déposées y compris béton de fondation et solin</t>
  </si>
  <si>
    <t>4.11.29.2</t>
  </si>
  <si>
    <t>Repose en alignement droit de bordures béton préalablement déposées y compris béton de fondation et solin</t>
  </si>
  <si>
    <t>4.11.30</t>
  </si>
  <si>
    <t>Fourniture et pose de Bordures et caniveaux</t>
  </si>
  <si>
    <t/>
  </si>
  <si>
    <t>4.11.30.1</t>
  </si>
  <si>
    <t>Fourniture et pose en alignement droit de bordures granit 15/25 y compris béton de fondation et solin</t>
  </si>
  <si>
    <t>4.11.30.2</t>
  </si>
  <si>
    <t>Fourniture et pose de bordures calcaire 15/25, y compris béton de fondation et solin</t>
  </si>
  <si>
    <t>4.11.30.3</t>
  </si>
  <si>
    <t>Fourniture et pose de bordure granit 15/25 biaise, y compris béton de fondation et solin</t>
  </si>
  <si>
    <t>4.11.30.4</t>
  </si>
  <si>
    <t>Fourniture et pose de bordure granit 15/25 de raccord biaise / droite, y compris béton de fondation et solin</t>
  </si>
  <si>
    <t>4.11.30.5</t>
  </si>
  <si>
    <t>Fourniture et pose en alignement droit de bordures granit 18/25 y compris béton de fondation et solin</t>
  </si>
  <si>
    <t>4.11.30.6</t>
  </si>
  <si>
    <t>Fourniture et pose en alignement droit de bordures granit 20/30 y compris béton de fondation et solin</t>
  </si>
  <si>
    <t>4.11.30.7</t>
  </si>
  <si>
    <t>Fourniture et pose en alignement droit de bordures granit 25/30 de sépération de piste cyclable y compris béton de fondation et solin</t>
  </si>
  <si>
    <t>4.11.30.8</t>
  </si>
  <si>
    <t>Fourniture et pose  de bordures granit 25x30 d'extrémité arrondie y compris béton de fondation et solin</t>
  </si>
  <si>
    <t>4.11.30.9</t>
  </si>
  <si>
    <t>Fourniture et pose de bordures granit arrondies R50 cm</t>
  </si>
  <si>
    <t>4.11.30.10</t>
  </si>
  <si>
    <t>Fourniture et pose de bordure granit profil ID</t>
  </si>
  <si>
    <t>4.11.30.11</t>
  </si>
  <si>
    <t>Fourniture et pose de bordure granit chanfreinée largeur 60cm</t>
  </si>
  <si>
    <t>4.11.30.12</t>
  </si>
  <si>
    <t>Fourniture et pose en alignement droit de bordure quai bus en granit y compris pièce d'about</t>
  </si>
  <si>
    <t>4.11.30.13</t>
  </si>
  <si>
    <t>Fourniture et pose en alignement droit de bordurette en granit 8/20</t>
  </si>
  <si>
    <t>4.11.30.14</t>
  </si>
  <si>
    <t>Fourniture et pose en alignement droit de bordures grès d'Inde 15/25 y compris béton de fondation et solin</t>
  </si>
  <si>
    <t>4.11.30.15</t>
  </si>
  <si>
    <t>Fourniture et pose en alignement droit de bordures grès d'Inde 20/30 y compris béton de fondation et solin</t>
  </si>
  <si>
    <t>4.11.30.16</t>
  </si>
  <si>
    <t>Fourniture et pose en alignement droit de bordurette grès d'Inde 8/20 y compris béton de fondation et solin</t>
  </si>
  <si>
    <t>4.11.30.17</t>
  </si>
  <si>
    <t>Fourniture et pose en alignement droit de bordures béton profil T1 classe T y compris béton de fondation et solin</t>
  </si>
  <si>
    <t>4.11.30.18</t>
  </si>
  <si>
    <t>Fourniture et pose en alignement droit de bordures béton profil T2 classe U y compris béton de fondation et solin</t>
  </si>
  <si>
    <t>4.11.30.19</t>
  </si>
  <si>
    <t>Fourniture et pose en alignement droit de bordures béton profil T3 classe U y compris béton de fondation et solin</t>
  </si>
  <si>
    <t>4.11.30.20</t>
  </si>
  <si>
    <t>Fourniture et pose en alignement droit de bordures béton profil T4 classe U y compris béton de fondation et solin</t>
  </si>
  <si>
    <t>4.11.30.21</t>
  </si>
  <si>
    <t>Fourniture et pose en alignement droit de bordures béton profil A2 classe U y compris béton de fondation et solin</t>
  </si>
  <si>
    <t>4.11.30.22</t>
  </si>
  <si>
    <t>Fourniture et pose en alignement droit de bordures béton profil A1 classe T y compris béton de fondation et solin</t>
  </si>
  <si>
    <t>4.11.30.23</t>
  </si>
  <si>
    <t>Fourniture et pose en alignement droit de caniveaux béton profil CS1 classe U y compris béton de fondation et solin</t>
  </si>
  <si>
    <t>4.11.30.24</t>
  </si>
  <si>
    <t>Fourniture et pose de caniveau granit CS1 y compris béton de fondation et solin y compris béton de fondation et solin</t>
  </si>
  <si>
    <t>4.11.30.25</t>
  </si>
  <si>
    <t>Fourniture et pose en alignement droit de caniveaux béton profil CS2 classe U y compris béton de fondation et solin</t>
  </si>
  <si>
    <t>4.11.30.26</t>
  </si>
  <si>
    <t>Fourniture et pose en alignement droit de caniveaux béton profil CS3 classe U y compris béton de fondation et solin</t>
  </si>
  <si>
    <t>4.11.30.27</t>
  </si>
  <si>
    <t>Fourniture et pose en alignement droit de caniveaux béton profil CS4 classe U y compris béton de fondation et solin</t>
  </si>
  <si>
    <t>4.11.30.28</t>
  </si>
  <si>
    <t>Fourniture et pose en alignement droit de caniveaux béton profil CC1 classe U y compris béton de fondation et solin</t>
  </si>
  <si>
    <t>4.11.30.29</t>
  </si>
  <si>
    <t>Fourniture et pose en alignement droit de caniveaux béton profil CC2 classe U y compris béton de fondation et solin</t>
  </si>
  <si>
    <t>4.11.30.30</t>
  </si>
  <si>
    <t>Fourniture et pose en alignement droit de bordure quai bus en béton</t>
  </si>
  <si>
    <t>4.11.30.31</t>
  </si>
  <si>
    <t>Fourniture et pose en alignement droit de bordures I2 y compris béton de fondation et solin</t>
  </si>
  <si>
    <t>4.11.30.32</t>
  </si>
  <si>
    <t>Fourniture et pose en alignement droit de bordures béton 30 x 30 y compris béton de fondation et solin</t>
  </si>
  <si>
    <t>4.11.30.33</t>
  </si>
  <si>
    <t>Fourniture et pose en alignement droit de bordure chasse roue y compris béton de fondation et solin</t>
  </si>
  <si>
    <t>4.11.31</t>
  </si>
  <si>
    <t>Plus value aux prix de bordures et caniveaux ci-dessus pour pose en courbe</t>
  </si>
  <si>
    <t>4.11.32</t>
  </si>
  <si>
    <t>Plus value pour joints mortier tirés au fer</t>
  </si>
  <si>
    <t>4.11.33</t>
  </si>
  <si>
    <t>Fourniture et pose en alignement droit de bordurettes béton profil P1, P2, P3 ou 10x10 classe T y compris béton de fondation et solin</t>
  </si>
  <si>
    <t>4.11.34</t>
  </si>
  <si>
    <t>Plus value pour pose de bordurettes en courbe</t>
  </si>
  <si>
    <t>4.11.35</t>
  </si>
  <si>
    <t>Fourniture et pose de volige en corten</t>
  </si>
  <si>
    <t>4.11.36</t>
  </si>
  <si>
    <t>Fourniture et pose de bloc marche en béton coulé en place</t>
  </si>
  <si>
    <t>4.11.37</t>
  </si>
  <si>
    <t xml:space="preserve">Fourniture et pose de bloc marche granit </t>
  </si>
  <si>
    <t>4.11.37.1</t>
  </si>
  <si>
    <t>Fourniture et pose de bloc marche granit 20x30x100</t>
  </si>
  <si>
    <t>4.11.37.2</t>
  </si>
  <si>
    <t>Fourniture et pose de bloc marche granit 20x40x100</t>
  </si>
  <si>
    <t>4.11.38</t>
  </si>
  <si>
    <t>Dépose et repose de revêtement de dalle (quelle que soit l'épaisseur)</t>
  </si>
  <si>
    <t>4.11.39</t>
  </si>
  <si>
    <t>Fourniture  et pose de revêtement de dalles quelle que soit l'épaisseur</t>
  </si>
  <si>
    <t>4.11.39.1</t>
  </si>
  <si>
    <t>Dalle béton à parement</t>
  </si>
  <si>
    <t>4.11.39.2</t>
  </si>
  <si>
    <t>Dalle granit</t>
  </si>
  <si>
    <t>4.11.39.3</t>
  </si>
  <si>
    <t>Dalle en pierre</t>
  </si>
  <si>
    <t>4.11.40</t>
  </si>
  <si>
    <t>Fourniture et pose d'INOVGREEN 50 y compris calage en sable, substrat terreux et structure drainante</t>
  </si>
  <si>
    <t>4.11.41</t>
  </si>
  <si>
    <t>Pontage de fissure en béton bitumineux semi-grenu 0/10</t>
  </si>
  <si>
    <t>4.11.42</t>
  </si>
  <si>
    <t>Mise à niveau des regards d'assainissement</t>
  </si>
  <si>
    <t>DM</t>
  </si>
  <si>
    <t>4.11.43</t>
  </si>
  <si>
    <t>Mise à niveau des bouches de lavage</t>
  </si>
  <si>
    <t>4.11.44</t>
  </si>
  <si>
    <t>Mise à niveau des bouches à clefs</t>
  </si>
  <si>
    <t>4.11.45</t>
  </si>
  <si>
    <t>Mise à niveau de chambre de tout type</t>
  </si>
  <si>
    <t>DM/M2</t>
  </si>
  <si>
    <t>4.11.46</t>
  </si>
  <si>
    <t>Mise à niveau des tampons gaz (carter)</t>
  </si>
  <si>
    <t>4.11.47</t>
  </si>
  <si>
    <t>Mise à niveau de tampons d'éclairage public et de signalisation lumineuse tricolore</t>
  </si>
  <si>
    <t>4.12</t>
  </si>
  <si>
    <t>FOURNITURE ET POSE DE CATADIOPTRES</t>
  </si>
  <si>
    <t>4.13</t>
  </si>
  <si>
    <t>MESURE DE DEFLEXION DE VOIRIE</t>
  </si>
  <si>
    <t>4.14</t>
  </si>
  <si>
    <t>CARROTAGE ET ESSAI DE VOIRIE</t>
  </si>
  <si>
    <t>4.15</t>
  </si>
  <si>
    <t>ESSAI A LA DYNAPLAQUE</t>
  </si>
  <si>
    <t>SOUS TOTAL DEMOLITION ET REFECTION DE CHAUSSE ET TROTTOIRS</t>
  </si>
  <si>
    <t>5</t>
  </si>
  <si>
    <t>TERRASSEMENTS - BLINDAGES - DEMOLITION - REMBLAIEMENT</t>
  </si>
  <si>
    <t>5.1</t>
  </si>
  <si>
    <t>SONDAGES DE RECONNAISSANCE (y compris géolocalisation et report sur plan de réseaux enterrés)</t>
  </si>
  <si>
    <t>Plus-value au prix 5.1 pour géolocalisation et report sur plan de réseaux enterrés</t>
  </si>
  <si>
    <t>5.2</t>
  </si>
  <si>
    <t>MARQUAGE ET PIQUETAGE DES RESEAUX CONCESSIONNAIRES</t>
  </si>
  <si>
    <t>5.3</t>
  </si>
  <si>
    <t>PROTECTION MECANIQUE SUR RESEAUX EXISTANTS OU PROJETES</t>
  </si>
  <si>
    <t>5.4</t>
  </si>
  <si>
    <t>REALISATION D'UNE PISTE DE CHANTIER</t>
  </si>
  <si>
    <t>5.5</t>
  </si>
  <si>
    <t>TERRASSEMENT EN PLEINE MASSE SOUS CHAUSSEE POUR UNE PROFONDEUR INFERIEURE OU EGALE A 1,30 METRES</t>
  </si>
  <si>
    <t>5.6</t>
  </si>
  <si>
    <t>TERRASSEMENT EN TRANCHEE POUR UNE PROFONDEUR MOYENNE INFERIEURE OU EGALE A 1,30 METRES</t>
  </si>
  <si>
    <t>5.6.1</t>
  </si>
  <si>
    <t>Terrassement en tranchée réalisé à la main pour une profondeur moyenne inférieure ou égale à 1,30 mètres</t>
  </si>
  <si>
    <t>5.6.2</t>
  </si>
  <si>
    <t>Terrassement en tranchée réalisé à l'engin mécanique pour une profondeur moyenne inférieure ou égale à 1,30 mètres</t>
  </si>
  <si>
    <t>5.7</t>
  </si>
  <si>
    <t>TERRASSEMENT EN TRANCHEE POUR UNE PROFONDEUR MOYENNE SUPERIEURE A 1,30 METRES ET INFERIEURE OU EGALE A 3,00 METRES</t>
  </si>
  <si>
    <t>5.7.1</t>
  </si>
  <si>
    <t>Terrassement en tranchée réalisé à la main pour une profondeur moyenne supérieure à 1,30 mètres et inférieure ou égale à 3 mètres</t>
  </si>
  <si>
    <t>5.7.2</t>
  </si>
  <si>
    <t>Terrassement en tranchée réalisé à l'engin mécanique profondeur moyenne supérieure à 1,30 mètres et inférieure ou égale à 3 mètres</t>
  </si>
  <si>
    <t>5.8</t>
  </si>
  <si>
    <t>TERRASSEMENT EN TRANCHEE POUR UNE PROFONDEUR SUPERIEURE A 3,00 METRES ET INFERIEURE OU EGALE A 6,00 METRES</t>
  </si>
  <si>
    <t>5.8.1</t>
  </si>
  <si>
    <t>Terrassement en tranchée réalisé à la main pour une profondeur moyenne supérieure à 3,00 m et inférieur ou égal à 6,00 m</t>
  </si>
  <si>
    <t>5.8.2</t>
  </si>
  <si>
    <t>Terrassement en tranchée réalisé à l'engin mécanique pour une profondeur moyenne supérieure à 3,00 m et inférieur ou égal à 6,00 m</t>
  </si>
  <si>
    <t>5.9</t>
  </si>
  <si>
    <t>TERRASSEMENT EN TRANCHEE POUR UNE PROFONDEUR MOYENNE SUPERIEURE A 6METRES</t>
  </si>
  <si>
    <t>5.9.1</t>
  </si>
  <si>
    <t>Terrassement en tranchée réalisé à la main pour une profondeur moyenne supérieure à 6 mètres</t>
  </si>
  <si>
    <t>5.9.2</t>
  </si>
  <si>
    <t>Terrassement en tranchée réalisé à l'engin mécanique pour une profondeur moyenne supérieure à 6 mètres</t>
  </si>
  <si>
    <t>5.10</t>
  </si>
  <si>
    <t>TERRASSEMENT EN PUITS POUR UNE PROFONDEUR INFERIEURE OU EGALE A 3 METRES</t>
  </si>
  <si>
    <t>5.10.1</t>
  </si>
  <si>
    <t>Terrassement en puits réalisé à la main pour une profondeur inférieure ou égale à 3 mètres</t>
  </si>
  <si>
    <t>5.10.2</t>
  </si>
  <si>
    <t>Terrassement en puits réalisé à la l'engin mécanique  pour une profondeur inférieure ou égale à 3 mètres</t>
  </si>
  <si>
    <t>5.11</t>
  </si>
  <si>
    <t>TERRASSEMENT EN PUITS POUR UNE PROFONDEUR SUPERIEURE A 3 METRES</t>
  </si>
  <si>
    <t>5.11.1</t>
  </si>
  <si>
    <t>Terrassement en puits réalisé à la main pour une profondeur supérieure à 3,00 m et inférieure ou égale à 6,00 m</t>
  </si>
  <si>
    <t>5.11.2</t>
  </si>
  <si>
    <t>Terrassement en puits réalisé à la l'engin mécanique  pour une profondeur supérieure à 3,00 m et inférieure ou égale à 6,00 m</t>
  </si>
  <si>
    <t>5.12</t>
  </si>
  <si>
    <t>TERRASSEMENT EN PUITS POUR UNE PROFONDEUR SUPERIEURE A 6 METRES</t>
  </si>
  <si>
    <t>5.12.1</t>
  </si>
  <si>
    <t>Terrassement en puits réalisé à la main pour une profondeur supérieure à 6 mètres</t>
  </si>
  <si>
    <t>5.12.2</t>
  </si>
  <si>
    <t>Terrassement en puits réalisé à la l'engin mécanique  pour une profondeur supérieure à 6 mètres</t>
  </si>
  <si>
    <t>5.13</t>
  </si>
  <si>
    <t>TERRASSEMENT EN SOUTERRAIN</t>
  </si>
  <si>
    <t>5.14</t>
  </si>
  <si>
    <t>PLUS-VALUE AUX PRIX 5.4.2, 5.5.2, 5.6.2, 5.8.2 et 5.9.2 POUR TERRASSEMENT A L'ASPIRATRICE</t>
  </si>
  <si>
    <t>5.15</t>
  </si>
  <si>
    <t>PLUS-VALUE AUX PRIX 5.4 à 5.10 POUR TERRASSEMENT EN SOUS ŒUVRE</t>
  </si>
  <si>
    <t>5.16</t>
  </si>
  <si>
    <t>PLUS-VALUE AUX PRIX 5.4 à 5.11 POUR TERRASSEMENT EN TERRAIN ROCHEUX</t>
  </si>
  <si>
    <t>5.17</t>
  </si>
  <si>
    <t>PLUS-VALUE AUX PRIX 5.4 à 5.11 POUR TERRASSEMENT EN TERRAINS BOULANTS OU INSTABLES</t>
  </si>
  <si>
    <t>5.18</t>
  </si>
  <si>
    <t>CHARGEMENT-DECHARGEMENT-TRANSPORT EN CENTRE DE STOCKAGE ET TRAITEMENT DES DEBLAIS DE TOUTE NATURE</t>
  </si>
  <si>
    <t>5.18.1</t>
  </si>
  <si>
    <t>Chargement-déchargement-transport dans une Installation de Stockage des Déchets Dangereux</t>
  </si>
  <si>
    <t>5.18.2</t>
  </si>
  <si>
    <t>Chargement-déchargement-transport dans une Installation de Stockage des déchets non dangereux</t>
  </si>
  <si>
    <t>5.18.3</t>
  </si>
  <si>
    <t>Chargement-déchargement-transport dans une Installation de Stockage des Déchets Inertes</t>
  </si>
  <si>
    <t>5.18.4</t>
  </si>
  <si>
    <t>Chargement-déchargement-transport dans une Installation de Stockage des Déchets Inertes + (ISDI+)</t>
  </si>
  <si>
    <t>5.18.5</t>
  </si>
  <si>
    <t>Chargement-déchargement-transport dans une Installation de Stockage des Déchets Inertes Aménagée (ISDI-A)</t>
  </si>
  <si>
    <t>5.19</t>
  </si>
  <si>
    <t>CHARGEMENT-DECHARGEMENT-TRANSPORT DES DEBLAIS ET STOCKAGE SUR SITE</t>
  </si>
  <si>
    <t>5.20</t>
  </si>
  <si>
    <t>DEPLACEMENT DE DEBLAIS SUR SITE</t>
  </si>
  <si>
    <t>5.21</t>
  </si>
  <si>
    <t>MISE EN ŒUVRE DE DEBLAIS DU SITE EN REMBLAIS</t>
  </si>
  <si>
    <t>M4</t>
  </si>
  <si>
    <t>5.22</t>
  </si>
  <si>
    <t>BLINDAGE DES FOUILLES</t>
  </si>
  <si>
    <t>5.22.1</t>
  </si>
  <si>
    <t>Blindage en tranchée</t>
  </si>
  <si>
    <t>5.22.1.1</t>
  </si>
  <si>
    <t>Blindage par caisson</t>
  </si>
  <si>
    <t>5.22.1.2</t>
  </si>
  <si>
    <t>Blindage par caisson avec réhausse</t>
  </si>
  <si>
    <t>5.22.1.3</t>
  </si>
  <si>
    <t>Blindage coulissant simple glissière</t>
  </si>
  <si>
    <t>5.22.1.4</t>
  </si>
  <si>
    <t>Blindage coulissant double glissière</t>
  </si>
  <si>
    <t>5.22.1.5</t>
  </si>
  <si>
    <t>Blindage en bastaings jointifs</t>
  </si>
  <si>
    <t>5.22.1.6</t>
  </si>
  <si>
    <t>Blindage en bastaings semi-jointifs</t>
  </si>
  <si>
    <t>5.22.1.7</t>
  </si>
  <si>
    <t>Blindage en palfeuilles métalliques</t>
  </si>
  <si>
    <t>5.22.1.8</t>
  </si>
  <si>
    <t>Fourniture et pose de profilés métalliques pour liernes</t>
  </si>
  <si>
    <t>KG</t>
  </si>
  <si>
    <t>5.22.2</t>
  </si>
  <si>
    <t>Blindage en puits</t>
  </si>
  <si>
    <t>5.22.2.1</t>
  </si>
  <si>
    <t>Blindage jointif de puits</t>
  </si>
  <si>
    <t>5.22.2.2</t>
  </si>
  <si>
    <t>Blindage doublement jointif de puits</t>
  </si>
  <si>
    <t>5.22.2.3</t>
  </si>
  <si>
    <t>Fourniture et pose de profilés métalliques pour soutènement</t>
  </si>
  <si>
    <t>5.22.3</t>
  </si>
  <si>
    <t xml:space="preserve">Blindage en souterrain, y compris soutènement </t>
  </si>
  <si>
    <t>5.22.4</t>
  </si>
  <si>
    <t>Soutènement en palplanches</t>
  </si>
  <si>
    <t>5.22.4.1</t>
  </si>
  <si>
    <t>Amenée et repli des installations de pose de palplanches</t>
  </si>
  <si>
    <t>5.22.4.1.1</t>
  </si>
  <si>
    <t>Amenée et repli des installations de pose de palplanche par battage</t>
  </si>
  <si>
    <t>5.22.4.1.2</t>
  </si>
  <si>
    <t>Amenée et repli des installations de pose de palplanche par vibrofonçage</t>
  </si>
  <si>
    <t>5.22.4.1.3</t>
  </si>
  <si>
    <t>Amenée et repli des installations de pose de palplanche par vérinage</t>
  </si>
  <si>
    <t>5.22.4.2</t>
  </si>
  <si>
    <t>Fourniture de palplanches</t>
  </si>
  <si>
    <t>5.22.4.3</t>
  </si>
  <si>
    <t>Mise en fiche de palplanches</t>
  </si>
  <si>
    <t>5.22.4.4</t>
  </si>
  <si>
    <t>Mise en œuvre de palplanches</t>
  </si>
  <si>
    <t>5.22.4.4.1</t>
  </si>
  <si>
    <t>Mise en œuvre par battage</t>
  </si>
  <si>
    <t>5.22.4.4.2</t>
  </si>
  <si>
    <t>Mise en œuvre par vibrofonçage</t>
  </si>
  <si>
    <t>5.22.4.4.3</t>
  </si>
  <si>
    <t>Mise en œuvre par vérinage</t>
  </si>
  <si>
    <t>5.22.4.5</t>
  </si>
  <si>
    <t>Fourniture et mise en place de liernes et butons</t>
  </si>
  <si>
    <t>5.23</t>
  </si>
  <si>
    <t>DEMOLITION D'OUVRAGE DE TOUTE NATURE</t>
  </si>
  <si>
    <t>5.23.1</t>
  </si>
  <si>
    <t>Démolition d'ouvrage de toute nature à l'exception du béton armé</t>
  </si>
  <si>
    <t>5.23.1.1</t>
  </si>
  <si>
    <t>En tranchée et en puits</t>
  </si>
  <si>
    <t>5.23.1.2</t>
  </si>
  <si>
    <t>En souterrain</t>
  </si>
  <si>
    <t>5.23.2</t>
  </si>
  <si>
    <t>Démolition d'ouvrage en béton  armé</t>
  </si>
  <si>
    <t>5.23.2.1</t>
  </si>
  <si>
    <t>5.23.2.2</t>
  </si>
  <si>
    <t>5.24</t>
  </si>
  <si>
    <t>REMBLAIEMENT</t>
  </si>
  <si>
    <t>5.24.1</t>
  </si>
  <si>
    <t>Préparation du fond de fouille</t>
  </si>
  <si>
    <t>5.24.2</t>
  </si>
  <si>
    <t>Fourniture et mise en œuvre d'un geotextile anti-contaminant</t>
  </si>
  <si>
    <t>5.24.3</t>
  </si>
  <si>
    <t>Plus-value pour mise en œuvre en enrobage de canalisation</t>
  </si>
  <si>
    <t>5.24.4</t>
  </si>
  <si>
    <t>Lit de pose de la canalisation</t>
  </si>
  <si>
    <t>5.24.4.1</t>
  </si>
  <si>
    <t>Lit de pose en sable 0/5</t>
  </si>
  <si>
    <t>5.24.4.2</t>
  </si>
  <si>
    <t>Lit de pose en gravillons 4/8</t>
  </si>
  <si>
    <t>5.24.4.3</t>
  </si>
  <si>
    <t>Lit de pose en gravillons 4/20</t>
  </si>
  <si>
    <t>5.24.4.4</t>
  </si>
  <si>
    <t>Lit de pose en cailloux concassés 20/40</t>
  </si>
  <si>
    <t>5.24.5</t>
  </si>
  <si>
    <t>Enrobage de la canalisation</t>
  </si>
  <si>
    <t>5.24.5.1</t>
  </si>
  <si>
    <t>Enrobage en sable 0/5</t>
  </si>
  <si>
    <t>5.24.5.2</t>
  </si>
  <si>
    <t>Enrobage en gravillons 4/8</t>
  </si>
  <si>
    <t>5.24.5.3</t>
  </si>
  <si>
    <t>Enrobage en gravillons 4/20</t>
  </si>
  <si>
    <t>5.24.5.4</t>
  </si>
  <si>
    <t>Enrobage en cailloux concassés 20/40</t>
  </si>
  <si>
    <t>5.24.5.5</t>
  </si>
  <si>
    <t>Enrobage en béton autocompactant</t>
  </si>
  <si>
    <t>5.24.6</t>
  </si>
  <si>
    <t>Remblaiement des tranchées</t>
  </si>
  <si>
    <t>5.24.6.1</t>
  </si>
  <si>
    <t>Remblai avec terres de déblai non traitées</t>
  </si>
  <si>
    <t>5.24.6.2</t>
  </si>
  <si>
    <t>Remblai avec terres de déblai triées, criblées et traitées à la chaux (2%)</t>
  </si>
  <si>
    <t>5.24.6.3</t>
  </si>
  <si>
    <t>Remblai avec terres de déblai triées, criblées et traitées à la chaux (2%) et au ciment (5%)</t>
  </si>
  <si>
    <t>5.24.6.4</t>
  </si>
  <si>
    <t>Remblai en grave industrielle 0/31.5</t>
  </si>
  <si>
    <t>5.24.6.5</t>
  </si>
  <si>
    <t>Remblai en grave de béton concassé 0/31.5</t>
  </si>
  <si>
    <t>5.24.6.6</t>
  </si>
  <si>
    <t>Remblai en grave naturelle 0/31.5</t>
  </si>
  <si>
    <t>5.24.6.7</t>
  </si>
  <si>
    <t>Remblai en béton autocompactant</t>
  </si>
  <si>
    <t>5.25</t>
  </si>
  <si>
    <t>DEPOSE DE REMBLAIS SUR SITE</t>
  </si>
  <si>
    <t>5.26</t>
  </si>
  <si>
    <t>CHARGEMENT-DECHARGEMENT-TRANSPORT ET MISE EN ŒUVRE DE REMBLAI FOURNIS SUR SITE</t>
  </si>
  <si>
    <t>5.27</t>
  </si>
  <si>
    <t>DEPOSE ET EVACUATION DE TUYAU AUTRE QU'AMIANTE CIMENT</t>
  </si>
  <si>
    <t>5.27.1</t>
  </si>
  <si>
    <r>
      <t xml:space="preserve">Dépose de canalisation de diamètre </t>
    </r>
    <r>
      <rPr>
        <sz val="10"/>
        <rFont val="Calibri"/>
        <family val="2"/>
      </rPr>
      <t>≤</t>
    </r>
    <r>
      <rPr>
        <sz val="10"/>
        <rFont val="Arial"/>
        <family val="2"/>
      </rPr>
      <t xml:space="preserve"> 300 mm</t>
    </r>
  </si>
  <si>
    <t>5.27.2</t>
  </si>
  <si>
    <r>
      <t xml:space="preserve">Dépose de canalisation de diamètre 300 mm &lt; </t>
    </r>
    <r>
      <rPr>
        <sz val="10"/>
        <rFont val="Calibri"/>
        <family val="2"/>
      </rPr>
      <t>Ø</t>
    </r>
    <r>
      <rPr>
        <sz val="10"/>
        <rFont val="Arial"/>
        <family val="2"/>
      </rPr>
      <t xml:space="preserve"> ≤ 500 mm</t>
    </r>
  </si>
  <si>
    <t>5.27.3</t>
  </si>
  <si>
    <t>Dépose de canalisation de diamètre &gt; 500 mm</t>
  </si>
  <si>
    <t>5.28</t>
  </si>
  <si>
    <t>COMBLEMENT DE CANALISATION</t>
  </si>
  <si>
    <t>5.29</t>
  </si>
  <si>
    <t>FOURNITURE ET POSE EN TRANCHEE OUVERTE DE GRILLAGE AVERTISSEUR</t>
  </si>
  <si>
    <t>SOUS TOTAL TERRASSEMENTS - BLINDAGES - DEMOLITION - REMBLAIEMENT</t>
  </si>
  <si>
    <t>6</t>
  </si>
  <si>
    <t>FOURNITURE ET POSE DE CANALISATIONS NON VISITABLES ET DRAINS D'ASSAINISSEMENT EN TRANCHEE ET EN PUITS</t>
  </si>
  <si>
    <t>6.1.1</t>
  </si>
  <si>
    <t>Canalisation diamètre 160 mm et accessoires</t>
  </si>
  <si>
    <t>6.1.2</t>
  </si>
  <si>
    <t>Canalisation diamètre 200 mm et accessoires</t>
  </si>
  <si>
    <t>6.1.3</t>
  </si>
  <si>
    <t>Canalisation diamètre 250 mm et accessoires</t>
  </si>
  <si>
    <t>6.1.4</t>
  </si>
  <si>
    <t>Canalisation diamètre 315 mm et accessoires</t>
  </si>
  <si>
    <t>6.1.5</t>
  </si>
  <si>
    <t>Canalisation diamètre 400 mm et accessoires</t>
  </si>
  <si>
    <t>6.1.6</t>
  </si>
  <si>
    <t>Canalisation diamètre 500 mm et accessoires</t>
  </si>
  <si>
    <t>6.1.7</t>
  </si>
  <si>
    <t>Canalisation diamètre 630 mm et accessoires</t>
  </si>
  <si>
    <t>6.1.8</t>
  </si>
  <si>
    <t>Canalisation diamètre 710 mm et accessoires</t>
  </si>
  <si>
    <t>6.1.9</t>
  </si>
  <si>
    <t>Canalisation diamètre 800 mm et accessoires</t>
  </si>
  <si>
    <t>6.2.1</t>
  </si>
  <si>
    <t>Canalisation diamètre 60 mm et accessoires</t>
  </si>
  <si>
    <t>6.2.2</t>
  </si>
  <si>
    <t>Canalisation diamètre 100 mm et accessoires</t>
  </si>
  <si>
    <t>6.2.3</t>
  </si>
  <si>
    <t>6.2.4</t>
  </si>
  <si>
    <t>6.2.5</t>
  </si>
  <si>
    <t>6.2.6</t>
  </si>
  <si>
    <t>6.2.7</t>
  </si>
  <si>
    <t>6.2.8</t>
  </si>
  <si>
    <t>6.2.9</t>
  </si>
  <si>
    <t>6.2.10</t>
  </si>
  <si>
    <t>6.2.11</t>
  </si>
  <si>
    <t>FOURNITURE ET POSE EN TRANCHEE OUVERTE DE CANALISATION EN FONTE DUCTILE TYPE TAG32 ET DE SES ACCESSOIRES</t>
  </si>
  <si>
    <t>6.3.1</t>
  </si>
  <si>
    <t>Canalisation diamètre 150 mm et accessoires</t>
  </si>
  <si>
    <t>6.3.2</t>
  </si>
  <si>
    <t>6.3.3</t>
  </si>
  <si>
    <t>6.3.4</t>
  </si>
  <si>
    <t>Canalisation diamètre 300 mm et accessoires</t>
  </si>
  <si>
    <t>FOURNITURE ET POSE EN TRANCHEE OUVERTE DE CANALISATION EN FONTE DUCTILE TYPE PAM PLUVIAL OU SIMILAIRE ET DE SES ACCESSOIRES</t>
  </si>
  <si>
    <t>6.4.1</t>
  </si>
  <si>
    <t>Canalisation diamètre 350 mm et accessoires</t>
  </si>
  <si>
    <t>6.4.2</t>
  </si>
  <si>
    <t>6.4.3</t>
  </si>
  <si>
    <t>Canalisation diamètre 450 mm et accessoires</t>
  </si>
  <si>
    <t>6.4.4</t>
  </si>
  <si>
    <t>6.4.5</t>
  </si>
  <si>
    <t>Canalisation diamètre 600 mm et accessoires</t>
  </si>
  <si>
    <t>6.4.6</t>
  </si>
  <si>
    <t>Canalisation diamètre 700 mm et accessoires</t>
  </si>
  <si>
    <t>6.4.7</t>
  </si>
  <si>
    <t>6.4.8</t>
  </si>
  <si>
    <t>Canalisation diamètre 900 mm et accessoires</t>
  </si>
  <si>
    <t>6.4.9</t>
  </si>
  <si>
    <t>Canalisation diamètre 1000 mm et accessoires</t>
  </si>
  <si>
    <t>6.4.10</t>
  </si>
  <si>
    <t>Canalisation diamètre 1200 mm et accessoires</t>
  </si>
  <si>
    <t>6.5</t>
  </si>
  <si>
    <t>FOURNITURE ET POSE EN TRANCHEE OUVERTE DE CANALISATION EN FONTE DUCTILE TYPE INTEGRAL OU SIMILAIRE ET DE SES ACCESSOIRES</t>
  </si>
  <si>
    <t>6.5.4</t>
  </si>
  <si>
    <t>6.5.5</t>
  </si>
  <si>
    <t>6.5.6</t>
  </si>
  <si>
    <t>6.5.7</t>
  </si>
  <si>
    <t>6.5.8</t>
  </si>
  <si>
    <t>6.5.9</t>
  </si>
  <si>
    <t>6.5.10</t>
  </si>
  <si>
    <t>6.5.11</t>
  </si>
  <si>
    <t>6.6</t>
  </si>
  <si>
    <t>FOURNITURE ET POSE EN TRANCHEE OUVERTE DE CANALISATION EN BETON ARME SERIE 135A ET DE SES ACCESSOIRES</t>
  </si>
  <si>
    <t>Canalisation diamètre 300 mm et accesoires</t>
  </si>
  <si>
    <t>6.6.4</t>
  </si>
  <si>
    <t>6.6.5</t>
  </si>
  <si>
    <t>6.6.6</t>
  </si>
  <si>
    <t>6.6.7</t>
  </si>
  <si>
    <t>6.6.8</t>
  </si>
  <si>
    <t>6.6.9</t>
  </si>
  <si>
    <t>Canalisation diamètre 1100 mm et accessoires</t>
  </si>
  <si>
    <t>6.6.10</t>
  </si>
  <si>
    <t>6.6.11</t>
  </si>
  <si>
    <t>Canalisation diamètre 1300 mm et accessoires</t>
  </si>
  <si>
    <t>6.6.12</t>
  </si>
  <si>
    <t>Canalisation diamètre 1400 mm et accessoires</t>
  </si>
  <si>
    <t>6.6.13</t>
  </si>
  <si>
    <t>Canalisation diamètre 1500 mm et accessoires</t>
  </si>
  <si>
    <t>6.6.14</t>
  </si>
  <si>
    <t>Canalisation diamètre 1600 mm et accessoires</t>
  </si>
  <si>
    <t>6.6.15</t>
  </si>
  <si>
    <t>Canalisation diamètre 1700 mm et accessoires</t>
  </si>
  <si>
    <t>6.6.16</t>
  </si>
  <si>
    <t>Canalisation diamètre 1800 mm et accessoires</t>
  </si>
  <si>
    <t>6.6.17</t>
  </si>
  <si>
    <t>Canalisation diamètre 1900 mm et accessoires</t>
  </si>
  <si>
    <t>6.6.18</t>
  </si>
  <si>
    <t>Canalisation diamètre 2000 mm et accessoires</t>
  </si>
  <si>
    <t>6.7</t>
  </si>
  <si>
    <t>FOURNITURE ET POSE EN TRANCHEE OUVERTE DE CANALISATION EN BETON ARME DE SECTION ELLIPTIQUE TYPE MODULOVAL OU SIMILAIRE POUR UNE COUVERTURE MINIMUM DE 0,50 METRES (MOD 130)</t>
  </si>
  <si>
    <t>Canalisation elliptique section 100 x 65 cm MOD 130</t>
  </si>
  <si>
    <t>Canalisation elliptique section 115 x 75 cm MOD 130</t>
  </si>
  <si>
    <t>Canalisation elliptique section 165 x 100 cm MOD 130</t>
  </si>
  <si>
    <t>6.7.4</t>
  </si>
  <si>
    <t>Canalisation elliptique section 195 x 115 cm MOD 130</t>
  </si>
  <si>
    <t>6.7.5</t>
  </si>
  <si>
    <t>Canalisation elliptique section 235 x 135 cm MOD 130</t>
  </si>
  <si>
    <t>6.7.6</t>
  </si>
  <si>
    <t>Canalisation elliptique section 265 x 150 cm MOD 130</t>
  </si>
  <si>
    <t>6.8</t>
  </si>
  <si>
    <t>FOURNITURE ET POSE EN TRANCHEE OUVERTE DE CANALISATION EN BETON ARME DE SECTION ELLIPTIQUE TYPE MODULOVAL OU SIMILAIRE POUR UNE COUVERTURE MINIMUM DE 0,30 METRE (MOD 250)</t>
  </si>
  <si>
    <t>Canalisation elliptique section 100 x 65 cm MOD 250</t>
  </si>
  <si>
    <t>Canalisation elliptique section 115 x 75cm MOD 250</t>
  </si>
  <si>
    <t>Canalisation elliptique section 165 x 100 cm MOD 250</t>
  </si>
  <si>
    <t>6.8.4</t>
  </si>
  <si>
    <t>Canalisation elliptique section 195 x 115cm MOD 250</t>
  </si>
  <si>
    <t>6.8.5</t>
  </si>
  <si>
    <t>Canalisation elliptique section 235 x 135 cm MOD 250</t>
  </si>
  <si>
    <t>6.8.6</t>
  </si>
  <si>
    <t>Canalisation elliptique section 265 x 150 cm MOD 250</t>
  </si>
  <si>
    <t>6.9</t>
  </si>
  <si>
    <t>FOURNITURE ET POSE EN TRANCHEE OUVERTE DE CANALISATION OVOIDE EN BETON PREFABRIQUE</t>
  </si>
  <si>
    <t>Ovoïde type T 130 (130 x 80 cm)</t>
  </si>
  <si>
    <t>Ovoïde type T 150 (150 x 90 cm)</t>
  </si>
  <si>
    <t>Ovoïde type T 180 (180 x 108 cm)</t>
  </si>
  <si>
    <t>6.9.4</t>
  </si>
  <si>
    <t>Ovoïde type T 200 (200 x 120 cm)</t>
  </si>
  <si>
    <t>6.10</t>
  </si>
  <si>
    <t>FOURNITURE ET POSE EN TRANCHEE OUVERTE DE CADRE RECTANGULAIRE EN BETON PREFABRIQUE</t>
  </si>
  <si>
    <t>Cadre de section 100 x 50 cm</t>
  </si>
  <si>
    <t>Cadre de section 100 x 100 cm</t>
  </si>
  <si>
    <t>Cadre de section 150 x 100 cm</t>
  </si>
  <si>
    <t>6.10.4</t>
  </si>
  <si>
    <t>Cadre de section 200 x 100 cm</t>
  </si>
  <si>
    <t>6.10.5</t>
  </si>
  <si>
    <t>Cadre de section 200 x 150 cm</t>
  </si>
  <si>
    <t>6.10.6</t>
  </si>
  <si>
    <t>Cadre de section 300 x 150 cm</t>
  </si>
  <si>
    <t>FOURNITURE ET POSE DE RACCORDS MULTIMATERIAUX</t>
  </si>
  <si>
    <t>6.11.1</t>
  </si>
  <si>
    <r>
      <t xml:space="preserve">Raccord multimatériaux Ø </t>
    </r>
    <r>
      <rPr>
        <sz val="10"/>
        <rFont val="Calibri"/>
        <family val="2"/>
      </rPr>
      <t>≤</t>
    </r>
    <r>
      <rPr>
        <sz val="10"/>
        <rFont val="Arial"/>
        <family val="2"/>
      </rPr>
      <t xml:space="preserve"> 200 mm</t>
    </r>
  </si>
  <si>
    <t>6.11.2</t>
  </si>
  <si>
    <t>Raccord multimatériaux Ø ≤ 300 mm</t>
  </si>
  <si>
    <t>6.11.3</t>
  </si>
  <si>
    <t>Raccord multimatériaux Ø ≤ 400 mm</t>
  </si>
  <si>
    <t>6.11.4</t>
  </si>
  <si>
    <t>Raccord multimatériaux Ø ≤ 500 mm</t>
  </si>
  <si>
    <t>6.11.5</t>
  </si>
  <si>
    <t>Raccord multimatériaux Ø ≤ 600 mm</t>
  </si>
  <si>
    <t>6.11.6</t>
  </si>
  <si>
    <t>Raccord multimatériaux Ø ≤ 700 mm</t>
  </si>
  <si>
    <t>6.11.7</t>
  </si>
  <si>
    <t>Raccord multimatériaux Ø ≤ 800 mm</t>
  </si>
  <si>
    <t>6.12</t>
  </si>
  <si>
    <t>REALISATION D'UNE CHUTE ACCOMPAGNEE</t>
  </si>
  <si>
    <t>de diamètre 200 mm</t>
  </si>
  <si>
    <t>de diamètre 300 mm</t>
  </si>
  <si>
    <t>RACCORDEMENT DE CANALISATION SUR REGARD OU OUVRAGE</t>
  </si>
  <si>
    <t>6.13.1</t>
  </si>
  <si>
    <t>Canalisation à raccorder de diamètre inférieur ou égal à 300mm</t>
  </si>
  <si>
    <t>6.13.2</t>
  </si>
  <si>
    <t>Canalisation à raccorder de diamètre compris entre 300 et 600mm</t>
  </si>
  <si>
    <t>6.13.3</t>
  </si>
  <si>
    <t>Canalisation à raccorder de diamètre supérieure ou égal à 600mm</t>
  </si>
  <si>
    <t>RACCORDEMENT DE CANALISATION SUR OVOIDE DEPARTEMENTAL</t>
  </si>
  <si>
    <t>6.14.1</t>
  </si>
  <si>
    <t>6.14.2</t>
  </si>
  <si>
    <t>Canalisation à raccorder de diamètre compris entre 300 et  600mm</t>
  </si>
  <si>
    <t>6.14.3</t>
  </si>
  <si>
    <t>FOURNITURE ET POSE EN TRANCHEE OUVERTE DE DRAIN EN PVC ET DE SES ACCESSOIRES</t>
  </si>
  <si>
    <t>6.15.1</t>
  </si>
  <si>
    <t>Drain de diamètre 110 mm et accessoires</t>
  </si>
  <si>
    <t>6.15.2</t>
  </si>
  <si>
    <t>Drain de diamètre 160 mm et accessoires</t>
  </si>
  <si>
    <t>6.15.3</t>
  </si>
  <si>
    <t>Drain de diamètre 200 mm et accessoires</t>
  </si>
  <si>
    <t>6.15.4</t>
  </si>
  <si>
    <t>Drain de diamètre 250 mm et accessoires</t>
  </si>
  <si>
    <t>FOURNITURE ET POSE EN TRANCHEE OUVERTE DE DRAIN EN PEHD ET DE SES ACCESSOIRES</t>
  </si>
  <si>
    <t>6.16.1</t>
  </si>
  <si>
    <t>Drain de diamètre 100 mm et accessoires</t>
  </si>
  <si>
    <t>6.16.2</t>
  </si>
  <si>
    <t>Drain de diamètre 150 mm et accessoires</t>
  </si>
  <si>
    <t>6.16.3</t>
  </si>
  <si>
    <t>6.16.4</t>
  </si>
  <si>
    <t>6.16.5</t>
  </si>
  <si>
    <t>Drain de diamètre 315 mm et accessoires</t>
  </si>
  <si>
    <t>6.16.6</t>
  </si>
  <si>
    <t>Drain de diamètre 350 mm et accessoires</t>
  </si>
  <si>
    <t>SOUS TOTAL FOURNITURE ET POSE DE CANALISATIONS NON VISTABLES ET DRAINS D'ASSAINISSEMENT EN TRANCHEE</t>
  </si>
  <si>
    <t>7</t>
  </si>
  <si>
    <t>FOURNITURE ET POSE DE FOURREAUX EN TRANCHEE OUVERTE</t>
  </si>
  <si>
    <t>7.1</t>
  </si>
  <si>
    <t>DEPOSE ET EVACUATION DE FOURREAU</t>
  </si>
  <si>
    <t>Dépose et évacuation de fourreau de diamètre ≤ 100 mm</t>
  </si>
  <si>
    <t>Dépose et évacuation de fourreau de diamètre &gt; 100 mm</t>
  </si>
  <si>
    <t>7.2</t>
  </si>
  <si>
    <t>FOURNITURE ET POSE EN TRANCHEE OUVERTE DE FOURREAU EN PE TYPE TPC ET SES ACCESSOIRES</t>
  </si>
  <si>
    <t>Fourreau de diamètre 40 mm et accessoires</t>
  </si>
  <si>
    <t>Fourreau de diamètre 63 mm et accessoires</t>
  </si>
  <si>
    <t>Fourreau de diamètre 90 mm et accessoires</t>
  </si>
  <si>
    <t>7.2.4</t>
  </si>
  <si>
    <t>Fourreau de diamètre 110 mm et accessoires</t>
  </si>
  <si>
    <t>7.2.5</t>
  </si>
  <si>
    <t>Fourreau de diamètre 160 mm et accessoires</t>
  </si>
  <si>
    <t>7.2.6</t>
  </si>
  <si>
    <t>Fourreau de diamètre 200 mm et accessoires</t>
  </si>
  <si>
    <t>7.3</t>
  </si>
  <si>
    <t>FOURNITURE ET POSE EN TRANCHEE OUVERTE DE FOURREAU EN PVC TYPE LST ET DE SES ACCESSOIRES</t>
  </si>
  <si>
    <t>7.3.1</t>
  </si>
  <si>
    <t>Fourreau LST Ø 25/28 mm</t>
  </si>
  <si>
    <t>7.3.2</t>
  </si>
  <si>
    <t>Fourreau LST Ø 30/33 mm</t>
  </si>
  <si>
    <t>7.3.3</t>
  </si>
  <si>
    <t>Fourreau LST Ø 42/45 mm</t>
  </si>
  <si>
    <t>7.3.4</t>
  </si>
  <si>
    <t>Fourreau LST Ø 56/60 mm</t>
  </si>
  <si>
    <t>7.3.5</t>
  </si>
  <si>
    <t>Fourreau LST Ø 75/80 mm</t>
  </si>
  <si>
    <t>7.4</t>
  </si>
  <si>
    <t>FOURNITURE ET POSE EN TRANCHEE OUVERTE D'UNE CABLETTE DE CUIVRE 25 MM2</t>
  </si>
  <si>
    <t>SOUS TOTAL FOURNITURE ET POSE DE FOURREAUX EN TRANCHEE OUVERTE</t>
  </si>
  <si>
    <t>8</t>
  </si>
  <si>
    <t>ENFOUISSEMENT DE RESEAUX EDF ET TELECOM</t>
  </si>
  <si>
    <t>ETUDES</t>
  </si>
  <si>
    <t>8.1.1</t>
  </si>
  <si>
    <t>Forfait d'étude de reprise de branchement pour un branchement de particulier - Enquête riverain ENEDIS/TELECOM</t>
  </si>
  <si>
    <t>8.1.1.1</t>
  </si>
  <si>
    <t>8.1.1.2</t>
  </si>
  <si>
    <t>Pour un chantier concernant de 51 à 100 riverains</t>
  </si>
  <si>
    <t>8.1.1.3</t>
  </si>
  <si>
    <t>Pour un chantier concernant 101 riverains et plus</t>
  </si>
  <si>
    <t>8.1.2</t>
  </si>
  <si>
    <t>Forfait d'étude réseaux ENEDIS - ARTICLE R323-25</t>
  </si>
  <si>
    <t>8.1.2.1</t>
  </si>
  <si>
    <t>8.1.2.2</t>
  </si>
  <si>
    <t>8.1.2.3</t>
  </si>
  <si>
    <t>8.1.3</t>
  </si>
  <si>
    <t>Forfait d'étude CAMELIA pour dimensionnement de poteaux d'arrêt</t>
  </si>
  <si>
    <t>8.2</t>
  </si>
  <si>
    <t>GENIE CIVIL BRANCHEMENTS PARTICULIERS EN DOMAINE PRIVE y compris réfections à l'identique</t>
  </si>
  <si>
    <t>Branchement ENEDIS seul y compris fourreaux TPC</t>
  </si>
  <si>
    <t>Branchement TELECOM seul y compris regard 30x30 tampon béton/fonte et fourreaux PVC 25/28</t>
  </si>
  <si>
    <t>Branchement mixte ENEDIS / TELECOM y compris fourreaux</t>
  </si>
  <si>
    <t>Plus value aux prix 8.2.1 à 8.2.3 pour longueur de terrassement supérieure à 15 ml</t>
  </si>
  <si>
    <t>Percement de mur, planchers, dalles, …</t>
  </si>
  <si>
    <t>8.3</t>
  </si>
  <si>
    <t>GENIE CIVIL SUR LE DOMAINE PUBLIC ENEDIS ET TELECOM</t>
  </si>
  <si>
    <t>Pour un réseau</t>
  </si>
  <si>
    <t>Pour deux réseaux</t>
  </si>
  <si>
    <t>Pour trois réseaux (largeur de tranchée 0,60m)</t>
  </si>
  <si>
    <t>Pour quatre réseaux (largeur de tranchée 0,70m)</t>
  </si>
  <si>
    <t>Pour cinq réseaux (largeur de tranchée 0,80m)</t>
  </si>
  <si>
    <t>Plus value pour terrassement en techniques douces (aspiratrice ou manuelle)</t>
  </si>
  <si>
    <t>8.4</t>
  </si>
  <si>
    <t>ENEDIS</t>
  </si>
  <si>
    <t>Mise en chantier de raccordement de branchement électrique individuel</t>
  </si>
  <si>
    <t>Déposes de coffrets ou de réseaux aériens</t>
  </si>
  <si>
    <t>8.4.2.1</t>
  </si>
  <si>
    <t>Dépose de coffret</t>
  </si>
  <si>
    <t>8.4.2.1.1</t>
  </si>
  <si>
    <t>Dépose de coffret de branchement en limite de propriété</t>
  </si>
  <si>
    <t>8.4.2.1.2</t>
  </si>
  <si>
    <t>Dépose de coffret réseau</t>
  </si>
  <si>
    <t>8.4.2.1.3</t>
  </si>
  <si>
    <t>Dépose de coffret existant et pose d'un nouveau coffret de branchement hors ou sous tension</t>
  </si>
  <si>
    <t>8.4.2.1.4</t>
  </si>
  <si>
    <t>Plus-value aux prix 8.4.2.1 pour dépose d'un coffret encastré</t>
  </si>
  <si>
    <t>8.4.2.2</t>
  </si>
  <si>
    <t>Dépose des éléments aériens</t>
  </si>
  <si>
    <t>8.4.2.2.1</t>
  </si>
  <si>
    <t>Dépose de branchement existant aérien torsadé avec potelet en toiture ou cheminement en façade posé sur collet de moins de 5 m</t>
  </si>
  <si>
    <t>8.4.2.2.2</t>
  </si>
  <si>
    <t>Dépose de branchement existant aérien torsadé avec potelet en toiture ou cheminement en façade posé sur collet de plus de 5 m</t>
  </si>
  <si>
    <t>8.4.2.2.3</t>
  </si>
  <si>
    <t>Dépose de branchement existant aérien cuivre nu avec potelet en toiture ou cheminement en façade posé sur collet de moins de 5 m</t>
  </si>
  <si>
    <t>8.4.2.2.4</t>
  </si>
  <si>
    <t>Dépose de branchement existant aérien cuivre nu avec potelet en toiture ou cheminement en façade posé sur collet de plus de 5 m</t>
  </si>
  <si>
    <t>8.4.2.2.5</t>
  </si>
  <si>
    <t>Dépose de conducteurs aériens torsadés de toutes sections</t>
  </si>
  <si>
    <t>8.4.2.2.6</t>
  </si>
  <si>
    <t>Dépose de conducteurs aériens en cuivre nu</t>
  </si>
  <si>
    <t xml:space="preserve">Moins-value pour récupération de cuivre </t>
  </si>
  <si>
    <t>kg</t>
  </si>
  <si>
    <t>Dépose de conducteurs aériens en nus ou torsadés en façade y compris potences et équipements</t>
  </si>
  <si>
    <t>Dépose de boite piano en façade</t>
  </si>
  <si>
    <t>Dépose de potence et réfection à l'identique au droit des scellements sur la façade</t>
  </si>
  <si>
    <t>Dépose de remontée aéro-souterraine</t>
  </si>
  <si>
    <t>Déposes et évacuation de poteaux d'alignement en bois y compris démolition du massif et de la colerette béton</t>
  </si>
  <si>
    <t>8.4.8.1</t>
  </si>
  <si>
    <t>hauteur &lt;12m</t>
  </si>
  <si>
    <t>8.4.8.2</t>
  </si>
  <si>
    <t>hauteur ≥12m</t>
  </si>
  <si>
    <t xml:space="preserve">Déposes et évacuation de poteaux d'alignement en béton y compris démolition du massif </t>
  </si>
  <si>
    <t>8.4.9.1</t>
  </si>
  <si>
    <t>8.4.9.2</t>
  </si>
  <si>
    <t xml:space="preserve">Déposes et évacuation de poteaux d'arrêts y compris démolition du massif </t>
  </si>
  <si>
    <t>8.4.10.1</t>
  </si>
  <si>
    <t>8.4.10.2</t>
  </si>
  <si>
    <t xml:space="preserve">Dépose des équipements de poteaux (CL,ISO,...) </t>
  </si>
  <si>
    <t>8.4.12</t>
  </si>
  <si>
    <t>Fourniture et pose de coffrets y compris raccordements</t>
  </si>
  <si>
    <t>8.4.12.1</t>
  </si>
  <si>
    <t>Fourniture et pose de coffret CIBE yc kit de raccordement et fusibles et couteau type AD</t>
  </si>
  <si>
    <t>8.4.12.2</t>
  </si>
  <si>
    <t>Fourniture et pose de coffret CIBE grand volume équipé</t>
  </si>
  <si>
    <t>8.4.12.3</t>
  </si>
  <si>
    <t>Fourniture et pose de coffret CIBE double pour branchement type 2 yc platine compteur/disjoncteur, kits de raccordement, fusible et couteau type AD</t>
  </si>
  <si>
    <t>8.4.12.4</t>
  </si>
  <si>
    <t>Fourniture et pose de coffret ou borne type S22</t>
  </si>
  <si>
    <t>8.4.12.5</t>
  </si>
  <si>
    <t>Fourniture et pose de coffret ou borne type S20</t>
  </si>
  <si>
    <t>8.4.12.6</t>
  </si>
  <si>
    <t>Fourniture et pose de coffret ECP 3D équipé</t>
  </si>
  <si>
    <t>8.4.13</t>
  </si>
  <si>
    <t>Fourniture et pose de coffret REMBT équipé</t>
  </si>
  <si>
    <t>8.4.13.1</t>
  </si>
  <si>
    <t>6 plages</t>
  </si>
  <si>
    <t>8.4.13.2</t>
  </si>
  <si>
    <t>9 plages</t>
  </si>
  <si>
    <t>8.4.13.3</t>
  </si>
  <si>
    <t>12 plages</t>
  </si>
  <si>
    <t>8.4.14</t>
  </si>
  <si>
    <t xml:space="preserve">Plus-value pour fourniture d'un RCP400 </t>
  </si>
  <si>
    <t>8.4.15</t>
  </si>
  <si>
    <t>Plus-value par départ de branchement 4x35 fusiblé</t>
  </si>
  <si>
    <t>8.4.16</t>
  </si>
  <si>
    <t>Fourniture et pose d'un coffret C400-P200 équipé</t>
  </si>
  <si>
    <t>8.4.17</t>
  </si>
  <si>
    <t>Fourniture et pose de coffret pied de colonne 200 A</t>
  </si>
  <si>
    <t>8.4.18</t>
  </si>
  <si>
    <t>Fourniture et pose de coffret pour grille fausse coupure équipé</t>
  </si>
  <si>
    <t>8.4.19</t>
  </si>
  <si>
    <t>Plus value appliquée aux prix n°8.4.12.1 à 8.4.12.6, 8.4.13 et 8.4.16 à 8.4.18 pour confection d'une niche d'encastrement y compris saignée et scellement du coffret</t>
  </si>
  <si>
    <t>8.4.20</t>
  </si>
  <si>
    <t>Fourniture et mise en œuvre de câble aérien PRC Alu sur poteau</t>
  </si>
  <si>
    <t>8.4.20.1</t>
  </si>
  <si>
    <t>PRC 25 mm2</t>
  </si>
  <si>
    <t>8.4.20.2</t>
  </si>
  <si>
    <t>PRC 35 mm2</t>
  </si>
  <si>
    <t>8.4.20.3</t>
  </si>
  <si>
    <t>PRC 70 mm2</t>
  </si>
  <si>
    <t>8.4.20.4</t>
  </si>
  <si>
    <t>PRC 95 mm2</t>
  </si>
  <si>
    <t>8.5</t>
  </si>
  <si>
    <t>TELEREPORT</t>
  </si>
  <si>
    <t>Pose de câble sous terre (avec ou sans fourreau) et câble téléreport</t>
  </si>
  <si>
    <t>Pose d'un câble de téléreport en façade ou partie intérieure</t>
  </si>
  <si>
    <t>Pose d'une embase de téléreport, y compris les raccordements</t>
  </si>
  <si>
    <t>Plus-value en fourniture pour barrette de connexion pour câble de téléreport</t>
  </si>
  <si>
    <t>Plus-value en fourniture pour porte équipée d'embase de téléreport</t>
  </si>
  <si>
    <t>Mise à terre de l'écran du bus téléreport, y compris fourniture et pose de cablette de terre ou piquet</t>
  </si>
  <si>
    <t>8.6</t>
  </si>
  <si>
    <t>CONFECTION D'ACCESSOIRES BT</t>
  </si>
  <si>
    <t>Fourniture et confection de boite de derivation coulée</t>
  </si>
  <si>
    <t>8.6.1.1</t>
  </si>
  <si>
    <t>type JDS 240-150</t>
  </si>
  <si>
    <t>8.6.1.2</t>
  </si>
  <si>
    <t>type JDDI 150-35 (double dérivation)</t>
  </si>
  <si>
    <t>Fourniture et confection de boite de jonction BT y compris raccordements</t>
  </si>
  <si>
    <t>8.6.2.1</t>
  </si>
  <si>
    <t>Jonction alu-alu/cu yc MALT</t>
  </si>
  <si>
    <t>8.6.2.1.1</t>
  </si>
  <si>
    <t>Boite de jonction par injection type JNI 95-95</t>
  </si>
  <si>
    <t>8.6.2.1.2</t>
  </si>
  <si>
    <t>Boite de jonction par injection type JNI 240-95</t>
  </si>
  <si>
    <t>8.6.2.1.3</t>
  </si>
  <si>
    <t>Boite de jonction par injection type JNI 240-150</t>
  </si>
  <si>
    <t>8.6.2.1.4</t>
  </si>
  <si>
    <t>Boite de jonction par injection type JNI 240-240</t>
  </si>
  <si>
    <t>8.6.2.1.5</t>
  </si>
  <si>
    <t>Boite de jonction coulée type JNC 240-95</t>
  </si>
  <si>
    <t>8.6.2.1.6</t>
  </si>
  <si>
    <t>Boite de jonction coulée type JNC 240-150</t>
  </si>
  <si>
    <t>8.6.2.1.7</t>
  </si>
  <si>
    <t>Boite de jonction coulée type JNC 240-240</t>
  </si>
  <si>
    <t>8.6.2.1.8</t>
  </si>
  <si>
    <t>Boite de jonction thermorétractable type JRRB</t>
  </si>
  <si>
    <t>8.6.2.1.9</t>
  </si>
  <si>
    <t>Boite de jonction thermorétractable type JR2V</t>
  </si>
  <si>
    <t>8.6.2.2</t>
  </si>
  <si>
    <t>Jonction alu/cu-papier yc MALT</t>
  </si>
  <si>
    <t>8.6.2.2.1</t>
  </si>
  <si>
    <t>Boite de jonction par injection type JNI-CPI 240-95</t>
  </si>
  <si>
    <t>8.6.2.2.2</t>
  </si>
  <si>
    <t>Boite de jonction par injection type JNI-CPI 240-150</t>
  </si>
  <si>
    <t>8.6.2.2.3</t>
  </si>
  <si>
    <t>Boite de jonction par injection type JNI-CPI 240-240</t>
  </si>
  <si>
    <t>8.6.2.3</t>
  </si>
  <si>
    <t>Boite de branchement BT yc malt</t>
  </si>
  <si>
    <t>8.6.2.3.1</t>
  </si>
  <si>
    <t>Boite de branchement simple par injection type SDI 240-35 TRI ou MONO</t>
  </si>
  <si>
    <t>8.6.2.3.2</t>
  </si>
  <si>
    <t>Boite de branchement double coulée type DDC 240-35</t>
  </si>
  <si>
    <t>Réseau aérien</t>
  </si>
  <si>
    <t>8.6.3.1</t>
  </si>
  <si>
    <t xml:space="preserve">Fourniture et pose d'un poteau d'arrêt en béton armé </t>
  </si>
  <si>
    <t>8.6.3.2</t>
  </si>
  <si>
    <t>Réalisation d'un arrêt de ligne aérienne existante</t>
  </si>
  <si>
    <t>8.6.3.3</t>
  </si>
  <si>
    <t>Reprise de branchement en aérien sur un nouveau support</t>
  </si>
  <si>
    <t>8.6.3.4</t>
  </si>
  <si>
    <t>Réalisation d'une opération de pontage et dépontage de réseaux aériens pour reprise et basculement des branchements</t>
  </si>
  <si>
    <t>8.6.3.5</t>
  </si>
  <si>
    <t>Rabattement de RAS d'un câble réseau ou confection d'un bout perdu dans coffret ou boîte souterraine BT</t>
  </si>
  <si>
    <t>8.6.3.6</t>
  </si>
  <si>
    <t>Fourniture, pose et raccordement d'une boîte piano sur mur et reprise de branchement</t>
  </si>
  <si>
    <t>Divers</t>
  </si>
  <si>
    <t>8.6.4.1</t>
  </si>
  <si>
    <t>Raccordement au coffret de branchement d'un particulier</t>
  </si>
  <si>
    <t>8.6.4.2</t>
  </si>
  <si>
    <t>Branchement collectif liaison pénétration/coffret de distribution partie intérieure</t>
  </si>
  <si>
    <t>8.6.4.3</t>
  </si>
  <si>
    <t>Branchement individuel liaison pénétration/ancien emplacement du compteur partie inférieure</t>
  </si>
  <si>
    <t>8.6.4.4</t>
  </si>
  <si>
    <t>Raccordement câble/coffret pour un branchement partie extérieure</t>
  </si>
  <si>
    <t>8.6.4.5</t>
  </si>
  <si>
    <t>Plus-value pour confection d'accessoires</t>
  </si>
  <si>
    <t>8.7</t>
  </si>
  <si>
    <t>TELECOMMUNICATIONS</t>
  </si>
  <si>
    <t>8.7.1</t>
  </si>
  <si>
    <t>Dépose</t>
  </si>
  <si>
    <t>8.7.1.1</t>
  </si>
  <si>
    <t>Dépose de poteaux bois TELECOM, stockage, chargement, transport et mise en dépôt dans les locaux d'ORANGE</t>
  </si>
  <si>
    <t>8.7.1.2</t>
  </si>
  <si>
    <t>Déposes de poteaux béton TELECOM y compris démolition du massif</t>
  </si>
  <si>
    <t>8.7.1.3</t>
  </si>
  <si>
    <t>Dépose de réseau aérien et souterrain sur domaine public</t>
  </si>
  <si>
    <t>8.7.1.4</t>
  </si>
  <si>
    <t>Dépose de branchement aérien</t>
  </si>
  <si>
    <t xml:space="preserve">Fourniture et pose de poteaux </t>
  </si>
  <si>
    <t>8.7.2.1</t>
  </si>
  <si>
    <t>Fourniture et pose d'un poteau bois TELECOM</t>
  </si>
  <si>
    <t>8.7.2.2</t>
  </si>
  <si>
    <t>Fourniture et pose d'un poteau béton TELECOM</t>
  </si>
  <si>
    <t>8.7.3</t>
  </si>
  <si>
    <t>Fourniture et pose de chambre</t>
  </si>
  <si>
    <t>8.7.3.1</t>
  </si>
  <si>
    <t>Chambre PTT L0T</t>
  </si>
  <si>
    <t>8.7.3.2</t>
  </si>
  <si>
    <t>Chambre PTT L1T</t>
  </si>
  <si>
    <t>8.7.3.3</t>
  </si>
  <si>
    <t>Chambre PTT L2T</t>
  </si>
  <si>
    <t>8.7.3.4</t>
  </si>
  <si>
    <t>Chambre PTT L3T</t>
  </si>
  <si>
    <t>8.7.3.5</t>
  </si>
  <si>
    <t>Chambre PTT L4T</t>
  </si>
  <si>
    <t>8.7.3.6</t>
  </si>
  <si>
    <t>Chambre PTT L5T</t>
  </si>
  <si>
    <t>8.7.3.7</t>
  </si>
  <si>
    <t>Chambre PTT L6T</t>
  </si>
  <si>
    <t>8.7.3.8</t>
  </si>
  <si>
    <t>Chambre PTT L1C</t>
  </si>
  <si>
    <t>8.7.3.9</t>
  </si>
  <si>
    <t>Chambre PTT L2C</t>
  </si>
  <si>
    <t>8.7.3.10</t>
  </si>
  <si>
    <t>Chambre PTT L3C</t>
  </si>
  <si>
    <t>8.7.3.11</t>
  </si>
  <si>
    <t>Chambre PTT K1C</t>
  </si>
  <si>
    <t>8.7.3.12</t>
  </si>
  <si>
    <t>Chambre PTT K2C</t>
  </si>
  <si>
    <t>8.7.3.13</t>
  </si>
  <si>
    <t>Chambre PTT K3C</t>
  </si>
  <si>
    <t>8.7.4</t>
  </si>
  <si>
    <t>Fourniture et pose de coffret Orange</t>
  </si>
  <si>
    <t>8.7.4.1</t>
  </si>
  <si>
    <t>Fourniture et pose de coffret de raccordement PB (Point de branchement) cuivre ou optique type Small</t>
  </si>
  <si>
    <t>8.7.4.2</t>
  </si>
  <si>
    <t>Fourniture et pose de coffret de raccordement PB (Point de branchement) cuivre ou optique type Medium</t>
  </si>
  <si>
    <t>8.7.5</t>
  </si>
  <si>
    <t>Fourniture et pose de cadre et tampon pour chambre</t>
  </si>
  <si>
    <t>8.7.5.1</t>
  </si>
  <si>
    <t>Cadre et tampon classe C250 pour chambre L0T</t>
  </si>
  <si>
    <t>8.7.5.2</t>
  </si>
  <si>
    <t>Cadre et tampon classe C250 pour chambre L1T</t>
  </si>
  <si>
    <t>8.7.5.3</t>
  </si>
  <si>
    <t>Cadre et tampons classe C250 pour chambre L2T</t>
  </si>
  <si>
    <t>8.7.5.4</t>
  </si>
  <si>
    <t>Cadre et tampons classe C250 pour chambre L3T</t>
  </si>
  <si>
    <t>8.7.5.5</t>
  </si>
  <si>
    <t>Cadre et tampons classe C250 pour chambre L4T</t>
  </si>
  <si>
    <t>8.7.5.6</t>
  </si>
  <si>
    <t>Cadre et tampons classe C250 pour chambre L5T</t>
  </si>
  <si>
    <t>8.7.5.7</t>
  </si>
  <si>
    <t>Cadre et tampons classe C250 pour chambre L6T</t>
  </si>
  <si>
    <t>8.7.5.8</t>
  </si>
  <si>
    <t>Cadre et tampon fonte classe D400 pour chambre L1C</t>
  </si>
  <si>
    <t>8.7.5.9</t>
  </si>
  <si>
    <t>Cadre et tampon fonte classe D400 pour chambre L2C</t>
  </si>
  <si>
    <t>8.7.5.10</t>
  </si>
  <si>
    <t>Cadre et tampon fonte classe D400 pour chambre L3C</t>
  </si>
  <si>
    <t>8.7.5.11</t>
  </si>
  <si>
    <t>Cadre et tampon fonte classe D400 pour chambre K1C</t>
  </si>
  <si>
    <t>8.7.5.12</t>
  </si>
  <si>
    <t>Cadre et tampon fonte classe D400 pour chambre K2C</t>
  </si>
  <si>
    <t>8.7.5.13</t>
  </si>
  <si>
    <t>Cadre et tampon fonte classe D400 pour chambre K3C</t>
  </si>
  <si>
    <t>8.7.5.14</t>
  </si>
  <si>
    <t>Remplacement tampon acier galvanisé en tampon fonte pour chambre d'éclairage EP</t>
  </si>
  <si>
    <t>8.7.6</t>
  </si>
  <si>
    <t>Fourniture, pose déroulage de cable réseau de telecommunications sous fourreaux en domaine public</t>
  </si>
  <si>
    <t>8.7.6.1</t>
  </si>
  <si>
    <t xml:space="preserve">Câble 2 paires à graisse </t>
  </si>
  <si>
    <t>8.7.6.2</t>
  </si>
  <si>
    <t xml:space="preserve">Câble 8 paires à graisse </t>
  </si>
  <si>
    <t>8.7.6.3</t>
  </si>
  <si>
    <t xml:space="preserve">Câble 14 paires à graisse </t>
  </si>
  <si>
    <t>8.7.6.4</t>
  </si>
  <si>
    <t xml:space="preserve">Câble 28 paires à graisse </t>
  </si>
  <si>
    <t>8.7.6.5</t>
  </si>
  <si>
    <t>Câble monomode 24 FO</t>
  </si>
  <si>
    <t>8.7.6.6</t>
  </si>
  <si>
    <t>Câble monomode 48 FO</t>
  </si>
  <si>
    <t>8.7.6.7</t>
  </si>
  <si>
    <t>Câble monomode 72 FO</t>
  </si>
  <si>
    <t>8.7.6.8</t>
  </si>
  <si>
    <t>Câble monomode 148 FO</t>
  </si>
  <si>
    <t>8.7.7</t>
  </si>
  <si>
    <t>Plus value pour mise en œuvre de câble sur façade ou intérieur</t>
  </si>
  <si>
    <t>8.7.8</t>
  </si>
  <si>
    <t>Fourniture et mise en œuvre des accessoires pour reprise du câble réseau téléphone</t>
  </si>
  <si>
    <t>8.7.8.1</t>
  </si>
  <si>
    <t>Pour un chantier concernant jusqu'à 10 abonnés</t>
  </si>
  <si>
    <t>8.7.8.2</t>
  </si>
  <si>
    <t>Pour un chantier concernant de 11 à 30 abonnés</t>
  </si>
  <si>
    <t>8.7.8.3</t>
  </si>
  <si>
    <t>Pour un chantier concernant de 31 à 50 abonnés</t>
  </si>
  <si>
    <t>8.7.8.4</t>
  </si>
  <si>
    <t>Pour un chantier concernant de 51 à 70 abonnés</t>
  </si>
  <si>
    <t>8.7.8.5</t>
  </si>
  <si>
    <t>Pour un chantier concernant de 71 abonnés et plus</t>
  </si>
  <si>
    <t>8.7.9</t>
  </si>
  <si>
    <t>Fourniture et pose de Boite de Raccordement étanche en chambre</t>
  </si>
  <si>
    <t>8.7.10</t>
  </si>
  <si>
    <t>Fourniture, pose déroulage réseau de telecommunications sous fourreaux en domaine privé</t>
  </si>
  <si>
    <t>8.7.10.1</t>
  </si>
  <si>
    <t>8.7.10.2</t>
  </si>
  <si>
    <t>8.7.10.3</t>
  </si>
  <si>
    <t>8.7.10.4</t>
  </si>
  <si>
    <t>8.7.10.5</t>
  </si>
  <si>
    <t>Câble monomode 2 FO</t>
  </si>
  <si>
    <t>8.7.10.6</t>
  </si>
  <si>
    <t>Câble monomode 4 FO</t>
  </si>
  <si>
    <t>8.7.10.7</t>
  </si>
  <si>
    <t>Câble monomode 6 FO</t>
  </si>
  <si>
    <t>8.7.10.8</t>
  </si>
  <si>
    <t>Câble monomode 12 FO</t>
  </si>
  <si>
    <t>8.7.11</t>
  </si>
  <si>
    <t>Fourniture et mise en œuvre des accessoires pour reprise du branchement téléphone</t>
  </si>
  <si>
    <t>8.7.11.1</t>
  </si>
  <si>
    <t>8.7.11.2</t>
  </si>
  <si>
    <t>8.7.11.3</t>
  </si>
  <si>
    <t>8.7.11.4</t>
  </si>
  <si>
    <t>8.7.11.5</t>
  </si>
  <si>
    <t>8.7.12</t>
  </si>
  <si>
    <t>Fourniture et mise en œuvre des accessoires pour reprise du branchement téléphonique en aérien sur un nouveau support</t>
  </si>
  <si>
    <t>8.7.12.1</t>
  </si>
  <si>
    <t>8.7.12.2</t>
  </si>
  <si>
    <t>8.7.12.3</t>
  </si>
  <si>
    <t>8.7.12.4</t>
  </si>
  <si>
    <t>8.7.12.5</t>
  </si>
  <si>
    <t>SOUS TOTAL ENFOUISSEMENT DE RESEAUX EDF ET TELECOM</t>
  </si>
  <si>
    <t>9</t>
  </si>
  <si>
    <t>FOURNITURE ET POSE DE CANALISATIONS D'EAU POTABLE EN TRANCHEE ET EN PUITS - FONTAINERIE ET ROBINETTERIE</t>
  </si>
  <si>
    <t>FOURNITURE ET POSE EN TRANCHEE DE CANALISATION, PIECES ET RACCORD AEP EN FONTE VERROUILLEE</t>
  </si>
  <si>
    <t>9.1.1</t>
  </si>
  <si>
    <t>Fourniture et pose en tranchée de tuyaux droits d'eau potable en fonte ductile verrouillée</t>
  </si>
  <si>
    <t>9.1.1.1</t>
  </si>
  <si>
    <t>Canalisation diamètre 100 mm</t>
  </si>
  <si>
    <t>9.1.1.2</t>
  </si>
  <si>
    <t>Canalisation diamètre 150 mm</t>
  </si>
  <si>
    <t>9.1.1.3</t>
  </si>
  <si>
    <t>Canalisation diamètre 200 mm</t>
  </si>
  <si>
    <t>9.1.2</t>
  </si>
  <si>
    <t>Fourniture et pose en tranchée de pièces spéciales pour canalisation fonte verrouillée en unité équivalente (UE)</t>
  </si>
  <si>
    <t>9.1.2.1</t>
  </si>
  <si>
    <t>Diamètre 100 mm</t>
  </si>
  <si>
    <t>UE</t>
  </si>
  <si>
    <t>9.1.2.2</t>
  </si>
  <si>
    <t>Diamètre 150 mm</t>
  </si>
  <si>
    <t>9.1.2.3</t>
  </si>
  <si>
    <t>Diamètre 200 mm</t>
  </si>
  <si>
    <t>FOURNITURE ET POSE EN TRANCHEE DE CANALISATION, PIECES ET RACCORD AEP EN PEHD PN16</t>
  </si>
  <si>
    <t>9.2.1</t>
  </si>
  <si>
    <t>Fourniture et pose en tranchée de canalisation d'AEP en PEHD PN16</t>
  </si>
  <si>
    <t>9.2.1.1</t>
  </si>
  <si>
    <t>Canalisation diamètre 125 mm</t>
  </si>
  <si>
    <t>9.2.1.2</t>
  </si>
  <si>
    <t>Canalisation diamètre 160 mm</t>
  </si>
  <si>
    <t>9.2.1.3</t>
  </si>
  <si>
    <t>Canalisation diamètre 225 mm</t>
  </si>
  <si>
    <t>9.2.2</t>
  </si>
  <si>
    <t>Fourniture et pose en tranchée de pièces spéciales PEHD à souder pour canalisation PEHD PN16 en unité équivalente (UE)</t>
  </si>
  <si>
    <t>9.2.2.1</t>
  </si>
  <si>
    <t>Diamètre 125 mm</t>
  </si>
  <si>
    <t>9.2.2.2</t>
  </si>
  <si>
    <t>Diamètre 160 mm</t>
  </si>
  <si>
    <t>9.2.2.3</t>
  </si>
  <si>
    <t>Diamètre 225 mm</t>
  </si>
  <si>
    <t>9.3</t>
  </si>
  <si>
    <t>FOURNITURE ET POSE EN TRANCHEE DE CANALISATION, PIECES ET RACCORD AEP EN PEHD DIAMETRE 50 MM BANDE BLANCHE POUR ARROSAGE</t>
  </si>
  <si>
    <t>9.4</t>
  </si>
  <si>
    <t>FOURNITURE ET POSE EN TRANCHEE DE CANALISATION, PIECES ET RACCORD AEP EN PEHD DIAMETRE 50 MM BANDE BLEUE POUR EAU POTABLE</t>
  </si>
  <si>
    <t>9.5</t>
  </si>
  <si>
    <t xml:space="preserve">FOURNITURE ET POSE EN TRANCHEE DE CANALISATION, PIECES ET RACCORD EN PEHD DIAMETRE 63MM </t>
  </si>
  <si>
    <t>9.6</t>
  </si>
  <si>
    <t>FOURNITURE ET POSE DE ROBINET VANNE A OPERCULE EN FONTE DUCTILE</t>
  </si>
  <si>
    <t>9.6.1</t>
  </si>
  <si>
    <t>9.6.2</t>
  </si>
  <si>
    <t>9.6.3</t>
  </si>
  <si>
    <t>9.7</t>
  </si>
  <si>
    <t>FOURNITURE ET POSE DE VENTOUSE</t>
  </si>
  <si>
    <t>9.8</t>
  </si>
  <si>
    <t>FOURNITURE ET POSE DE COLLIER ET DE ROBINET DE PRISE EN CHARGE</t>
  </si>
  <si>
    <t>9.8.1</t>
  </si>
  <si>
    <t>9.8.2</t>
  </si>
  <si>
    <t>9.8.3</t>
  </si>
  <si>
    <t>9.9</t>
  </si>
  <si>
    <t>FOURNITURE ET POSE DE BOUCHE A CLE REHAUSSABLE</t>
  </si>
  <si>
    <t>9.10</t>
  </si>
  <si>
    <t xml:space="preserve">FOURNITURE ET POSE DE TUBE DE BOUCHE A CLE </t>
  </si>
  <si>
    <t>9.11</t>
  </si>
  <si>
    <t>CREATION D'UN BRANCHEMENT POUR APPAREIL DE DEFENSE INCENDIE</t>
  </si>
  <si>
    <t>9.12</t>
  </si>
  <si>
    <t>FOURNITURE ET POSE D'UN REGARD DE COMPTAGE D'ARROSAGE AVEC PROGRAMMEUR ET DISCONNECTEUR Y COMPRIS TRAPPES D'ACCES</t>
  </si>
  <si>
    <t>9.13</t>
  </si>
  <si>
    <t>Fourniture et pose d'un coffret compteur pour arrosage type borne SETHA</t>
  </si>
  <si>
    <t>9.14</t>
  </si>
  <si>
    <t>Réalisation d'un arrosage goutte-à-goutte</t>
  </si>
  <si>
    <t>9.15</t>
  </si>
  <si>
    <t>ESSAIS</t>
  </si>
  <si>
    <t>9.15.1</t>
  </si>
  <si>
    <t>Rinçage et épreuves hydrauliques</t>
  </si>
  <si>
    <t>9.15.2</t>
  </si>
  <si>
    <t>Nettoyage et désinfection du réseau</t>
  </si>
  <si>
    <t>9.15.3</t>
  </si>
  <si>
    <t>Analyses batériologiques B3 et chlore</t>
  </si>
  <si>
    <t>SOUS TOTAL FOURNITURE ET POSE DE CANALISATIONS D'EAU POTABLE EN TRANCHEE ET EN PUITS - FONTAINERIE ET ROBINETTERIE</t>
  </si>
  <si>
    <t>10</t>
  </si>
  <si>
    <t xml:space="preserve">REHABILITATION ET RENFORCEMENT STRUCTUREL DE CANALISATIONS NON VISITABLES </t>
  </si>
  <si>
    <t>10.1</t>
  </si>
  <si>
    <t>DERIVATION DES EFFLUENTS</t>
  </si>
  <si>
    <t>Amenée, installation et repli du matériel d'obturation et de pompage</t>
  </si>
  <si>
    <t>10.1.1.1</t>
  </si>
  <si>
    <t>Pompe de débit &lt; 100 m3/h. Installation repli</t>
  </si>
  <si>
    <t>10.1.1.2</t>
  </si>
  <si>
    <t>Pompe de débit compris entre 100 et 300 m3/h. Installation repli</t>
  </si>
  <si>
    <t>10.1.1.3</t>
  </si>
  <si>
    <t>Pompe de débit compris entre 300 et 500 m3/h. Installation repli</t>
  </si>
  <si>
    <t>10.1.1.4</t>
  </si>
  <si>
    <t>Pompe de débit compris entre 500 et 800 m3/h. Installation repli</t>
  </si>
  <si>
    <t>Location et entretien du matériel d'obturation et de pompage</t>
  </si>
  <si>
    <t>10.1.2.1</t>
  </si>
  <si>
    <t xml:space="preserve">Pompe de débit &lt; 100 m3/h. </t>
  </si>
  <si>
    <t>10.1.2.2</t>
  </si>
  <si>
    <t xml:space="preserve">Pompe de débit compris entre 100 et 300 m3/h. </t>
  </si>
  <si>
    <t>10.1.2.3</t>
  </si>
  <si>
    <t xml:space="preserve">Pompe de débit compris entre 300 et 500 m3/h. </t>
  </si>
  <si>
    <t>10.1.2.4</t>
  </si>
  <si>
    <t>Pompe de débit compris entre 500 et 800 m3/h.</t>
  </si>
  <si>
    <t>Fonctionnement du matériel pompage</t>
  </si>
  <si>
    <t>10.1.3.1</t>
  </si>
  <si>
    <t>Pompe de débit &lt; 100 m3/h.</t>
  </si>
  <si>
    <t>H</t>
  </si>
  <si>
    <t>10.1.3.2</t>
  </si>
  <si>
    <t>Pompe de débit compris entre 100 et 300 m3/h</t>
  </si>
  <si>
    <t>10.1.3.3</t>
  </si>
  <si>
    <t>Pompe de débit compris entre 300 et 500 m3/h</t>
  </si>
  <si>
    <t>10.1.3.4</t>
  </si>
  <si>
    <t>Pompe de débit compris entre 500 et 800 m3/h</t>
  </si>
  <si>
    <t>10.2</t>
  </si>
  <si>
    <t>CURAGE HYDRODYNAMIQUE</t>
  </si>
  <si>
    <r>
      <t xml:space="preserve">Curage de canalisation Ø </t>
    </r>
    <r>
      <rPr>
        <sz val="10"/>
        <rFont val="Calibri"/>
        <family val="2"/>
      </rPr>
      <t>≤</t>
    </r>
    <r>
      <rPr>
        <sz val="10"/>
        <rFont val="Arial"/>
        <family val="2"/>
      </rPr>
      <t xml:space="preserve"> 200 mm</t>
    </r>
  </si>
  <si>
    <t>Curage de canalisation 200 mm &lt; Ø ≤ 300 mm</t>
  </si>
  <si>
    <r>
      <t>Curage de canalisation 300 mm &lt; Ø ≤</t>
    </r>
    <r>
      <rPr>
        <sz val="10"/>
        <rFont val="Arial Black"/>
        <family val="2"/>
      </rPr>
      <t xml:space="preserve"> </t>
    </r>
    <r>
      <rPr>
        <sz val="10"/>
        <rFont val="Arial"/>
        <family val="2"/>
      </rPr>
      <t>500 mm</t>
    </r>
  </si>
  <si>
    <t>10.2.4</t>
  </si>
  <si>
    <t>Curage de canalisation 500 mm &lt; Ø ≤ 700 mm</t>
  </si>
  <si>
    <t>10.2.5</t>
  </si>
  <si>
    <t>Curage de canalisation 700 mm &lt; Ø ≤ 1000 mm</t>
  </si>
  <si>
    <t>10.2.6</t>
  </si>
  <si>
    <t>Curage de canalisation 1000 mm &lt; Ø ≤ 1200 mm</t>
  </si>
  <si>
    <t>10.2.7</t>
  </si>
  <si>
    <t>Curage de canalisation 1200 mm &lt; Ø ≤ 1400 mm</t>
  </si>
  <si>
    <t>10.2.8</t>
  </si>
  <si>
    <t>Curage de canalisation 1400 mm &lt; Ø ≤ 1600 mm</t>
  </si>
  <si>
    <t>10.3</t>
  </si>
  <si>
    <t>INSPECTION TELEVISEE</t>
  </si>
  <si>
    <t>Inspection de canalisation Ø ≤ 200 mm</t>
  </si>
  <si>
    <t>Inspection de canalisation 200 mm &lt; Ø ≤ 300 mm</t>
  </si>
  <si>
    <t>Inspection de canalisation 300 mm &lt; Ø ≤ 500 mm</t>
  </si>
  <si>
    <t>Inspection de canalisation 500 mm &lt; Ø ≤ 700 mm</t>
  </si>
  <si>
    <t>Inspection de canalisation 700 mm &lt; Ø ≤ 1000 mm</t>
  </si>
  <si>
    <t>Inspection de canalisation 1000 mm &lt; Ø ≤ 1200 mm</t>
  </si>
  <si>
    <t>Inspection de canalisation 1200 mm &lt; Ø ≤ 1400 mm</t>
  </si>
  <si>
    <t>Inspection de canalisation 1400 mm &lt; Ø ≤ 1600 mm</t>
  </si>
  <si>
    <t>Inspection T100</t>
  </si>
  <si>
    <t>Inspection T130</t>
  </si>
  <si>
    <t>Inspection T150</t>
  </si>
  <si>
    <t>Inspection de branchement depuis la canalisation principale par caméra satellite</t>
  </si>
  <si>
    <t>10.4</t>
  </si>
  <si>
    <t>DECOUPE D'OBSTABLES</t>
  </si>
  <si>
    <t>Amené, repli et mise à disposition du matériel</t>
  </si>
  <si>
    <t>Découpe d'obstacles</t>
  </si>
  <si>
    <t>10.5</t>
  </si>
  <si>
    <t>CHEMISAGE PARTIEL</t>
  </si>
  <si>
    <t>10.5.1</t>
  </si>
  <si>
    <t>Amenée et repli du matériel pour chemisage partiel</t>
  </si>
  <si>
    <t>U/J</t>
  </si>
  <si>
    <t>10.5.2</t>
  </si>
  <si>
    <t>Fourniture et mise en œuvre de manchette en inox de type QUICK-LOCK ou similaire</t>
  </si>
  <si>
    <t>10.5.2.1</t>
  </si>
  <si>
    <r>
      <t xml:space="preserve">Chemisage partiel inox </t>
    </r>
    <r>
      <rPr>
        <sz val="10"/>
        <rFont val="Calibri"/>
        <family val="2"/>
      </rPr>
      <t>Ø</t>
    </r>
    <r>
      <rPr>
        <sz val="10"/>
        <rFont val="Arial"/>
        <family val="2"/>
      </rPr>
      <t xml:space="preserve"> </t>
    </r>
    <r>
      <rPr>
        <sz val="10"/>
        <rFont val="Calibri"/>
        <family val="2"/>
      </rPr>
      <t>≤</t>
    </r>
    <r>
      <rPr>
        <sz val="10"/>
        <rFont val="Arial"/>
        <family val="2"/>
      </rPr>
      <t xml:space="preserve"> 200 mm</t>
    </r>
  </si>
  <si>
    <t>10.5.2.2</t>
  </si>
  <si>
    <r>
      <t xml:space="preserve">Chemisage partiel inox 200 mm &lt; Ø </t>
    </r>
    <r>
      <rPr>
        <sz val="10"/>
        <rFont val="Calibri"/>
        <family val="2"/>
      </rPr>
      <t>≤</t>
    </r>
    <r>
      <rPr>
        <sz val="10"/>
        <rFont val="Arial"/>
        <family val="2"/>
      </rPr>
      <t xml:space="preserve"> 250 mm</t>
    </r>
  </si>
  <si>
    <t>10.5.2.3</t>
  </si>
  <si>
    <r>
      <t xml:space="preserve">Chemisage partiel inox 250 mm &lt; Ø </t>
    </r>
    <r>
      <rPr>
        <sz val="10"/>
        <rFont val="Calibri"/>
        <family val="2"/>
      </rPr>
      <t>≤</t>
    </r>
    <r>
      <rPr>
        <sz val="10"/>
        <rFont val="Arial"/>
        <family val="2"/>
      </rPr>
      <t xml:space="preserve"> 300 mm</t>
    </r>
  </si>
  <si>
    <t>10.5.2.4</t>
  </si>
  <si>
    <r>
      <t xml:space="preserve">Chemisage partiel inox 300 mm &lt; Ø </t>
    </r>
    <r>
      <rPr>
        <sz val="10"/>
        <rFont val="Calibri"/>
        <family val="2"/>
      </rPr>
      <t>≤</t>
    </r>
    <r>
      <rPr>
        <sz val="10"/>
        <rFont val="Arial"/>
        <family val="2"/>
      </rPr>
      <t xml:space="preserve"> 400 mm</t>
    </r>
  </si>
  <si>
    <t>10.5.2.5</t>
  </si>
  <si>
    <r>
      <t xml:space="preserve">Chemisage partiel inox 400 mm &lt; Ø </t>
    </r>
    <r>
      <rPr>
        <sz val="10"/>
        <rFont val="Calibri"/>
        <family val="2"/>
      </rPr>
      <t>≤</t>
    </r>
    <r>
      <rPr>
        <sz val="10"/>
        <rFont val="Arial"/>
        <family val="2"/>
      </rPr>
      <t xml:space="preserve"> 500 mm</t>
    </r>
  </si>
  <si>
    <t>10.5.2.6</t>
  </si>
  <si>
    <r>
      <t xml:space="preserve">Chemisage partiel inox 500 mm &lt; Ø </t>
    </r>
    <r>
      <rPr>
        <sz val="10"/>
        <rFont val="Calibri"/>
        <family val="2"/>
      </rPr>
      <t xml:space="preserve">≤ </t>
    </r>
    <r>
      <rPr>
        <sz val="10"/>
        <rFont val="Arial"/>
        <family val="2"/>
      </rPr>
      <t>600 mm</t>
    </r>
  </si>
  <si>
    <t>10.5.2.7</t>
  </si>
  <si>
    <r>
      <t xml:space="preserve">Chemisage partiel inox 600 mm &lt; Ø </t>
    </r>
    <r>
      <rPr>
        <sz val="10"/>
        <rFont val="Calibri"/>
        <family val="2"/>
      </rPr>
      <t>≤</t>
    </r>
    <r>
      <rPr>
        <sz val="10"/>
        <rFont val="Arial"/>
        <family val="2"/>
      </rPr>
      <t xml:space="preserve"> 700 mm</t>
    </r>
  </si>
  <si>
    <t>10.6</t>
  </si>
  <si>
    <t>REHABILITATION PAR CHEMISAGE CONTINU POLYMERISE EN PLACE</t>
  </si>
  <si>
    <t>10.6.1</t>
  </si>
  <si>
    <t>Amenée et repli de l'unité de chemisage continu polymérisé en place</t>
  </si>
  <si>
    <t>10.6.2</t>
  </si>
  <si>
    <t>Fourniture et mise en œuvre de chemisage continu polymérisé en place</t>
  </si>
  <si>
    <t>10.6.2.1</t>
  </si>
  <si>
    <t>Chemisage continu résine polyester isophtalique</t>
  </si>
  <si>
    <t>10.6.2.1.1</t>
  </si>
  <si>
    <r>
      <t xml:space="preserve">Chemisage continu polyester </t>
    </r>
    <r>
      <rPr>
        <sz val="10"/>
        <rFont val="Calibri"/>
        <family val="2"/>
      </rPr>
      <t>Ø</t>
    </r>
    <r>
      <rPr>
        <sz val="10"/>
        <rFont val="Arial"/>
        <family val="2"/>
      </rPr>
      <t xml:space="preserve"> </t>
    </r>
    <r>
      <rPr>
        <sz val="10"/>
        <rFont val="Calibri"/>
        <family val="2"/>
      </rPr>
      <t>≤</t>
    </r>
    <r>
      <rPr>
        <sz val="10"/>
        <rFont val="Arial"/>
        <family val="2"/>
      </rPr>
      <t xml:space="preserve"> 200 mm</t>
    </r>
  </si>
  <si>
    <t>10.6.2.1.2</t>
  </si>
  <si>
    <r>
      <t xml:space="preserve">Chemisage continu polyester 200 mm &lt; Ø </t>
    </r>
    <r>
      <rPr>
        <sz val="10"/>
        <rFont val="Calibri"/>
        <family val="2"/>
      </rPr>
      <t>≤</t>
    </r>
    <r>
      <rPr>
        <sz val="10"/>
        <rFont val="Arial"/>
        <family val="2"/>
      </rPr>
      <t xml:space="preserve"> 250 mm</t>
    </r>
  </si>
  <si>
    <t>10.6.2.1.3</t>
  </si>
  <si>
    <r>
      <t xml:space="preserve">Chemisage continu polyester 250 mm &lt; Ø </t>
    </r>
    <r>
      <rPr>
        <sz val="10"/>
        <rFont val="Calibri"/>
        <family val="2"/>
      </rPr>
      <t>≤</t>
    </r>
    <r>
      <rPr>
        <sz val="10"/>
        <rFont val="Arial"/>
        <family val="2"/>
      </rPr>
      <t xml:space="preserve"> 300 mm</t>
    </r>
  </si>
  <si>
    <t>10.6.2.1.4</t>
  </si>
  <si>
    <r>
      <t xml:space="preserve">Chemisage continu polyester 300 mm &lt; Ø </t>
    </r>
    <r>
      <rPr>
        <sz val="10"/>
        <rFont val="Calibri"/>
        <family val="2"/>
      </rPr>
      <t>≤</t>
    </r>
    <r>
      <rPr>
        <sz val="10"/>
        <rFont val="Arial"/>
        <family val="2"/>
      </rPr>
      <t xml:space="preserve"> 400 mm</t>
    </r>
  </si>
  <si>
    <t>10.6.2.1.5</t>
  </si>
  <si>
    <r>
      <t xml:space="preserve">Chemisage continu polyester 400 mm &lt; Ø </t>
    </r>
    <r>
      <rPr>
        <sz val="10"/>
        <rFont val="Calibri"/>
        <family val="2"/>
      </rPr>
      <t>≤</t>
    </r>
    <r>
      <rPr>
        <sz val="10"/>
        <rFont val="Arial"/>
        <family val="2"/>
      </rPr>
      <t xml:space="preserve"> 500 mm</t>
    </r>
  </si>
  <si>
    <t>10.6.2.1.6</t>
  </si>
  <si>
    <r>
      <t xml:space="preserve">Chemisage continu polyester 500 mm &lt; Ø </t>
    </r>
    <r>
      <rPr>
        <sz val="10"/>
        <rFont val="Calibri"/>
        <family val="2"/>
      </rPr>
      <t>≤</t>
    </r>
    <r>
      <rPr>
        <sz val="10"/>
        <rFont val="Arial"/>
        <family val="2"/>
      </rPr>
      <t xml:space="preserve"> 600 mm</t>
    </r>
  </si>
  <si>
    <t>10.6.2.1.7</t>
  </si>
  <si>
    <r>
      <t xml:space="preserve">Chemisage continu polyester 600 mm &lt; Ø </t>
    </r>
    <r>
      <rPr>
        <sz val="10"/>
        <rFont val="Calibri"/>
        <family val="2"/>
      </rPr>
      <t>≤</t>
    </r>
    <r>
      <rPr>
        <sz val="10"/>
        <rFont val="Arial"/>
        <family val="2"/>
      </rPr>
      <t xml:space="preserve"> 700 mm</t>
    </r>
  </si>
  <si>
    <t>10.6.2.1.8</t>
  </si>
  <si>
    <r>
      <t xml:space="preserve">Chemisage continu polyester 700 mm &lt; Ø </t>
    </r>
    <r>
      <rPr>
        <sz val="10"/>
        <rFont val="Calibri"/>
        <family val="2"/>
      </rPr>
      <t>≤</t>
    </r>
    <r>
      <rPr>
        <sz val="10"/>
        <rFont val="Arial"/>
        <family val="2"/>
      </rPr>
      <t xml:space="preserve"> 800 mm</t>
    </r>
  </si>
  <si>
    <t>10.6.2.1.9</t>
  </si>
  <si>
    <r>
      <t xml:space="preserve">Chemisage continu polyester 800 mm &lt; Ø </t>
    </r>
    <r>
      <rPr>
        <sz val="10"/>
        <rFont val="Calibri"/>
        <family val="2"/>
      </rPr>
      <t>≤</t>
    </r>
    <r>
      <rPr>
        <sz val="10"/>
        <rFont val="Arial"/>
        <family val="2"/>
      </rPr>
      <t xml:space="preserve"> 900 mm</t>
    </r>
  </si>
  <si>
    <t>10.6.2.1.10</t>
  </si>
  <si>
    <r>
      <t xml:space="preserve">Chemisage continu polyester 900 mm &lt; Ø </t>
    </r>
    <r>
      <rPr>
        <sz val="10"/>
        <rFont val="Calibri"/>
        <family val="2"/>
      </rPr>
      <t>≤</t>
    </r>
    <r>
      <rPr>
        <sz val="10"/>
        <rFont val="Arial"/>
        <family val="2"/>
      </rPr>
      <t xml:space="preserve"> 1000 mm</t>
    </r>
  </si>
  <si>
    <t>10.6.2.1.11</t>
  </si>
  <si>
    <r>
      <t xml:space="preserve">Chemisage continu polyester 1 000 mm &lt; Ø </t>
    </r>
    <r>
      <rPr>
        <sz val="10"/>
        <rFont val="Calibri"/>
        <family val="2"/>
      </rPr>
      <t>≤</t>
    </r>
    <r>
      <rPr>
        <sz val="10"/>
        <rFont val="Arial"/>
        <family val="2"/>
      </rPr>
      <t xml:space="preserve"> 1 1 00 mm</t>
    </r>
  </si>
  <si>
    <t>10.6.2.1.12</t>
  </si>
  <si>
    <r>
      <t xml:space="preserve">Chemisage continu polyester 1100 mm &lt; Ø </t>
    </r>
    <r>
      <rPr>
        <sz val="10"/>
        <rFont val="Calibri"/>
        <family val="2"/>
      </rPr>
      <t>≤</t>
    </r>
    <r>
      <rPr>
        <sz val="10"/>
        <rFont val="Arial"/>
        <family val="2"/>
      </rPr>
      <t xml:space="preserve"> 1200 mm</t>
    </r>
  </si>
  <si>
    <t>10.6.2.2</t>
  </si>
  <si>
    <t>Chemisage continu résine époxy</t>
  </si>
  <si>
    <t>10.6.2.2.1</t>
  </si>
  <si>
    <r>
      <t xml:space="preserve">Chemisage continu époxy </t>
    </r>
    <r>
      <rPr>
        <sz val="10"/>
        <rFont val="Calibri"/>
        <family val="2"/>
      </rPr>
      <t>Ø ≤</t>
    </r>
    <r>
      <rPr>
        <sz val="10"/>
        <rFont val="Arial"/>
        <family val="2"/>
      </rPr>
      <t xml:space="preserve"> 200 mm</t>
    </r>
  </si>
  <si>
    <t>10.6.2.2.2</t>
  </si>
  <si>
    <r>
      <t xml:space="preserve">Chemisage continu époxy 200 mm &lt; Ø </t>
    </r>
    <r>
      <rPr>
        <sz val="10"/>
        <rFont val="Calibri"/>
        <family val="2"/>
      </rPr>
      <t>≤</t>
    </r>
    <r>
      <rPr>
        <sz val="10"/>
        <rFont val="Arial"/>
        <family val="2"/>
      </rPr>
      <t xml:space="preserve"> 250 mm</t>
    </r>
  </si>
  <si>
    <t>10.6.2.2.3</t>
  </si>
  <si>
    <r>
      <t xml:space="preserve">Chemisage continu époxy 250 mm &lt; Ø </t>
    </r>
    <r>
      <rPr>
        <sz val="10"/>
        <rFont val="Calibri"/>
        <family val="2"/>
      </rPr>
      <t>≤</t>
    </r>
    <r>
      <rPr>
        <sz val="10"/>
        <rFont val="Arial"/>
        <family val="2"/>
      </rPr>
      <t xml:space="preserve"> 300 mm</t>
    </r>
  </si>
  <si>
    <t>10.6.2.2.4</t>
  </si>
  <si>
    <r>
      <t xml:space="preserve">Chemisage continu époxy 300 mm &lt; Ø </t>
    </r>
    <r>
      <rPr>
        <sz val="10"/>
        <rFont val="Calibri"/>
        <family val="2"/>
      </rPr>
      <t>≤</t>
    </r>
    <r>
      <rPr>
        <sz val="10"/>
        <rFont val="Arial"/>
        <family val="2"/>
      </rPr>
      <t xml:space="preserve"> 400 mm</t>
    </r>
  </si>
  <si>
    <t>10.6.2.2.5</t>
  </si>
  <si>
    <r>
      <t xml:space="preserve">Chemisage continu époxy 400 mm &lt; Ø </t>
    </r>
    <r>
      <rPr>
        <sz val="10"/>
        <rFont val="Calibri"/>
        <family val="2"/>
      </rPr>
      <t>≤</t>
    </r>
    <r>
      <rPr>
        <sz val="10"/>
        <rFont val="Arial"/>
        <family val="2"/>
      </rPr>
      <t xml:space="preserve"> 500 mm</t>
    </r>
  </si>
  <si>
    <t>10.6.2.2.6</t>
  </si>
  <si>
    <r>
      <t xml:space="preserve">Chemisage continu époxy 500 mm &lt; Ø </t>
    </r>
    <r>
      <rPr>
        <sz val="10"/>
        <rFont val="Calibri"/>
        <family val="2"/>
      </rPr>
      <t>≤</t>
    </r>
    <r>
      <rPr>
        <sz val="10"/>
        <rFont val="Arial"/>
        <family val="2"/>
      </rPr>
      <t xml:space="preserve"> 600 mm</t>
    </r>
  </si>
  <si>
    <t>10.6.2.2.7</t>
  </si>
  <si>
    <r>
      <t xml:space="preserve">Chemisage continu époxy 600 mm &lt; Ø </t>
    </r>
    <r>
      <rPr>
        <sz val="10"/>
        <rFont val="Calibri"/>
        <family val="2"/>
      </rPr>
      <t>≤</t>
    </r>
    <r>
      <rPr>
        <sz val="10"/>
        <rFont val="Arial"/>
        <family val="2"/>
      </rPr>
      <t xml:space="preserve"> 700 mm</t>
    </r>
  </si>
  <si>
    <t>10.6.2.2.8</t>
  </si>
  <si>
    <r>
      <t xml:space="preserve">Chemisage continu époxy 700 mm &lt; Ø </t>
    </r>
    <r>
      <rPr>
        <sz val="10"/>
        <rFont val="Calibri"/>
        <family val="2"/>
      </rPr>
      <t>≤</t>
    </r>
    <r>
      <rPr>
        <sz val="10"/>
        <rFont val="Arial"/>
        <family val="2"/>
      </rPr>
      <t xml:space="preserve"> 800 mm</t>
    </r>
  </si>
  <si>
    <t>10.6.2.2.9</t>
  </si>
  <si>
    <r>
      <t xml:space="preserve">Chemisage continu époxy 800 mm &lt; Ø </t>
    </r>
    <r>
      <rPr>
        <sz val="10"/>
        <rFont val="Calibri"/>
        <family val="2"/>
      </rPr>
      <t>≤</t>
    </r>
    <r>
      <rPr>
        <sz val="10"/>
        <rFont val="Arial"/>
        <family val="2"/>
      </rPr>
      <t xml:space="preserve"> 900 mm</t>
    </r>
  </si>
  <si>
    <t>10.6.2.2.10</t>
  </si>
  <si>
    <r>
      <t xml:space="preserve">Chemisage continu époxy 900 mm &lt; Ø </t>
    </r>
    <r>
      <rPr>
        <sz val="10"/>
        <rFont val="Calibri"/>
        <family val="2"/>
      </rPr>
      <t>≤</t>
    </r>
    <r>
      <rPr>
        <sz val="10"/>
        <rFont val="Arial"/>
        <family val="2"/>
      </rPr>
      <t xml:space="preserve"> 1000 mm</t>
    </r>
  </si>
  <si>
    <t>10.6.2.2.11</t>
  </si>
  <si>
    <r>
      <t xml:space="preserve">Chemisage continu époxy 1000 mm &lt; Ø </t>
    </r>
    <r>
      <rPr>
        <sz val="10"/>
        <rFont val="Calibri"/>
        <family val="2"/>
      </rPr>
      <t>≤</t>
    </r>
    <r>
      <rPr>
        <sz val="10"/>
        <rFont val="Arial"/>
        <family val="2"/>
      </rPr>
      <t xml:space="preserve"> 1100 mm</t>
    </r>
  </si>
  <si>
    <t>10.6.2.2.12</t>
  </si>
  <si>
    <r>
      <t xml:space="preserve">Chemisage continu époxy 1100 mm &lt; Ø </t>
    </r>
    <r>
      <rPr>
        <sz val="10"/>
        <rFont val="Calibri"/>
        <family val="2"/>
      </rPr>
      <t>≤</t>
    </r>
    <r>
      <rPr>
        <sz val="10"/>
        <rFont val="Arial"/>
        <family val="2"/>
      </rPr>
      <t xml:space="preserve"> 1200 mm</t>
    </r>
  </si>
  <si>
    <t>10.6.2.3</t>
  </si>
  <si>
    <t>Chemisage continu aux UV</t>
  </si>
  <si>
    <t>10.6.2.3.1</t>
  </si>
  <si>
    <r>
      <t xml:space="preserve">Chemisage continu aux UV </t>
    </r>
    <r>
      <rPr>
        <sz val="10"/>
        <rFont val="Calibri"/>
        <family val="2"/>
      </rPr>
      <t>Ø ≤</t>
    </r>
    <r>
      <rPr>
        <sz val="10"/>
        <rFont val="Arial"/>
        <family val="2"/>
      </rPr>
      <t xml:space="preserve"> 200 mm</t>
    </r>
  </si>
  <si>
    <t>10.6.2.3.2</t>
  </si>
  <si>
    <r>
      <t xml:space="preserve">Chemisage continu aux UV 200 mm &lt; Ø </t>
    </r>
    <r>
      <rPr>
        <sz val="10"/>
        <rFont val="Calibri"/>
        <family val="2"/>
      </rPr>
      <t>≤</t>
    </r>
    <r>
      <rPr>
        <sz val="10"/>
        <rFont val="Arial"/>
        <family val="2"/>
      </rPr>
      <t xml:space="preserve"> 250 mm</t>
    </r>
  </si>
  <si>
    <t>10.6.2.3.3</t>
  </si>
  <si>
    <r>
      <t xml:space="preserve">Chemisage continu aux UV 250 mm &lt; Ø </t>
    </r>
    <r>
      <rPr>
        <sz val="10"/>
        <rFont val="Calibri"/>
        <family val="2"/>
      </rPr>
      <t>≤</t>
    </r>
    <r>
      <rPr>
        <sz val="10"/>
        <rFont val="Arial"/>
        <family val="2"/>
      </rPr>
      <t xml:space="preserve"> 300 mm</t>
    </r>
  </si>
  <si>
    <t>10.6.2.3.4</t>
  </si>
  <si>
    <r>
      <t xml:space="preserve">Chemisage continu aux UV 300 mm &lt; Ø </t>
    </r>
    <r>
      <rPr>
        <sz val="10"/>
        <rFont val="Calibri"/>
        <family val="2"/>
      </rPr>
      <t>≤</t>
    </r>
    <r>
      <rPr>
        <sz val="10"/>
        <rFont val="Arial"/>
        <family val="2"/>
      </rPr>
      <t xml:space="preserve"> 400 mm</t>
    </r>
  </si>
  <si>
    <t>10.6.2.3.5</t>
  </si>
  <si>
    <r>
      <t xml:space="preserve">Chemisage continu aux UV 400 mm &lt; Ø </t>
    </r>
    <r>
      <rPr>
        <sz val="10"/>
        <rFont val="Calibri"/>
        <family val="2"/>
      </rPr>
      <t>≤</t>
    </r>
    <r>
      <rPr>
        <sz val="10"/>
        <rFont val="Arial"/>
        <family val="2"/>
      </rPr>
      <t xml:space="preserve"> 500 mm</t>
    </r>
  </si>
  <si>
    <t>10.6.2.3.6</t>
  </si>
  <si>
    <r>
      <t xml:space="preserve">Chemisage continu aux UV 500 mm &lt; Ø </t>
    </r>
    <r>
      <rPr>
        <sz val="10"/>
        <rFont val="Calibri"/>
        <family val="2"/>
      </rPr>
      <t>≤</t>
    </r>
    <r>
      <rPr>
        <sz val="10"/>
        <rFont val="Arial"/>
        <family val="2"/>
      </rPr>
      <t xml:space="preserve"> 600 mm</t>
    </r>
  </si>
  <si>
    <t>10.6.2.3.7</t>
  </si>
  <si>
    <r>
      <t xml:space="preserve">Chemisage continu aux UV 600 mm &lt; Ø </t>
    </r>
    <r>
      <rPr>
        <sz val="10"/>
        <rFont val="Calibri"/>
        <family val="2"/>
      </rPr>
      <t>≤</t>
    </r>
    <r>
      <rPr>
        <sz val="10"/>
        <rFont val="Arial"/>
        <family val="2"/>
      </rPr>
      <t xml:space="preserve"> 700 mm</t>
    </r>
  </si>
  <si>
    <t>10.6.2.3.8</t>
  </si>
  <si>
    <r>
      <t xml:space="preserve">Chemisage continu aux UV 700 mm &lt; Ø </t>
    </r>
    <r>
      <rPr>
        <sz val="10"/>
        <rFont val="Calibri"/>
        <family val="2"/>
      </rPr>
      <t>≤</t>
    </r>
    <r>
      <rPr>
        <sz val="10"/>
        <rFont val="Arial"/>
        <family val="2"/>
      </rPr>
      <t xml:space="preserve"> 800 mm</t>
    </r>
  </si>
  <si>
    <t>10.6.2.3.9</t>
  </si>
  <si>
    <r>
      <t xml:space="preserve">Chemisage continu aux UV 800 mm &lt; Ø </t>
    </r>
    <r>
      <rPr>
        <sz val="10"/>
        <rFont val="Calibri"/>
        <family val="2"/>
      </rPr>
      <t>≤</t>
    </r>
    <r>
      <rPr>
        <sz val="10"/>
        <rFont val="Arial"/>
        <family val="2"/>
      </rPr>
      <t xml:space="preserve"> 900 mm</t>
    </r>
  </si>
  <si>
    <t>10.6.2.3.10</t>
  </si>
  <si>
    <r>
      <t xml:space="preserve">Chemisage continu aux UV 900 mm &lt; Ø </t>
    </r>
    <r>
      <rPr>
        <sz val="10"/>
        <rFont val="Calibri"/>
        <family val="2"/>
      </rPr>
      <t>≤</t>
    </r>
    <r>
      <rPr>
        <sz val="10"/>
        <rFont val="Arial"/>
        <family val="2"/>
      </rPr>
      <t xml:space="preserve"> 1000 mm</t>
    </r>
  </si>
  <si>
    <t>10.6.2.3.11</t>
  </si>
  <si>
    <r>
      <t xml:space="preserve">Chemisage continu aux UV 1000 mm &lt; Ø </t>
    </r>
    <r>
      <rPr>
        <sz val="10"/>
        <rFont val="Calibri"/>
        <family val="2"/>
      </rPr>
      <t>≤</t>
    </r>
    <r>
      <rPr>
        <sz val="10"/>
        <rFont val="Arial"/>
        <family val="2"/>
      </rPr>
      <t xml:space="preserve"> 1100 mm</t>
    </r>
  </si>
  <si>
    <t>10.6.2.3.12</t>
  </si>
  <si>
    <r>
      <t xml:space="preserve">Chemisage continu aux UV 1100 mm &lt; Ø </t>
    </r>
    <r>
      <rPr>
        <sz val="10"/>
        <rFont val="Calibri"/>
        <family val="2"/>
      </rPr>
      <t>≤</t>
    </r>
    <r>
      <rPr>
        <sz val="10"/>
        <rFont val="Arial"/>
        <family val="2"/>
      </rPr>
      <t xml:space="preserve"> 1200 mm</t>
    </r>
  </si>
  <si>
    <t>10.7</t>
  </si>
  <si>
    <t>REHABILITATION PAR TUBAGE PAR TUYAUX CONTINUS SANS ESPACE ANNULAIRE</t>
  </si>
  <si>
    <t>10.7.1</t>
  </si>
  <si>
    <t xml:space="preserve">Amenée et repli du matériel de tubage par tuyaux continus sans espace annulaire </t>
  </si>
  <si>
    <t>10.7.2</t>
  </si>
  <si>
    <t>Tubage sans espace annulaire par tuyaux continus</t>
  </si>
  <si>
    <t>10.7.2.1</t>
  </si>
  <si>
    <t>Tuyaux Ø ≤ 250 mm</t>
  </si>
  <si>
    <t>10.7.2.2</t>
  </si>
  <si>
    <t>Tuyaux de 250 mm &lt; Ø ≤ 300 mm</t>
  </si>
  <si>
    <t>10.7.2.3</t>
  </si>
  <si>
    <t>Tuyaux de 300 mm &lt; Ø ≤ 400 mm</t>
  </si>
  <si>
    <t>10.7.2.4</t>
  </si>
  <si>
    <t>Tuyaux de 400 mm &lt; Ø ≤ 600 mm</t>
  </si>
  <si>
    <t>10.7.2.5</t>
  </si>
  <si>
    <t>Tuyaux de 600 mm &lt; Ø ≤ 800 mm</t>
  </si>
  <si>
    <t>10.7.2.6</t>
  </si>
  <si>
    <t>Tuyaux de 800 mm &lt; Ø ≤ 1000 mm</t>
  </si>
  <si>
    <t>10.7.2.7</t>
  </si>
  <si>
    <t>Tuyaux de 1000mm &lt; Ø ≤ 1200 mm</t>
  </si>
  <si>
    <t>10.8</t>
  </si>
  <si>
    <t>REHABILITATION PAR TUBAGE AVEC ESPACE ANNULAIRE</t>
  </si>
  <si>
    <t>10.8.1</t>
  </si>
  <si>
    <t xml:space="preserve">Amenée et repli du matériel de tubage avec espace annulaire </t>
  </si>
  <si>
    <t>10.8.2</t>
  </si>
  <si>
    <t xml:space="preserve">Tubage avec espace annulaire </t>
  </si>
  <si>
    <t>10.8.2.1</t>
  </si>
  <si>
    <t>10.8.2.2</t>
  </si>
  <si>
    <t>10.8.2.3</t>
  </si>
  <si>
    <t>10.8.2.4</t>
  </si>
  <si>
    <t>10.8.2.5</t>
  </si>
  <si>
    <t>10.8.2.6</t>
  </si>
  <si>
    <t>10.8.2.7</t>
  </si>
  <si>
    <t>Tuyaux de 1000 mm &lt; Ø &lt; 1200 mm</t>
  </si>
  <si>
    <t>10.9</t>
  </si>
  <si>
    <t>REOUVERTURE DES BRANCHEMENTS APRES GAINAGE/TUBAGE</t>
  </si>
  <si>
    <t>10.9.1</t>
  </si>
  <si>
    <t>Amenée, installation et repli du robot</t>
  </si>
  <si>
    <t>10.9.2</t>
  </si>
  <si>
    <t>Réouverture de branchement dans canalisation par Robot</t>
  </si>
  <si>
    <t>10.9.3</t>
  </si>
  <si>
    <t>Réouverture de branchement dans boite borgne par Robot</t>
  </si>
  <si>
    <t>10.10</t>
  </si>
  <si>
    <t>REPARATION DES DEFAUTS LOCALISES PAR ROBOT</t>
  </si>
  <si>
    <t>10.10.1</t>
  </si>
  <si>
    <t>Amenée, repli et mise à disposition du matériel</t>
  </si>
  <si>
    <t>10.10.2</t>
  </si>
  <si>
    <t>Réparation de trous, perforations, fissures localisées par Robot</t>
  </si>
  <si>
    <t>10.10.3</t>
  </si>
  <si>
    <t>Injection de résine</t>
  </si>
  <si>
    <t>L</t>
  </si>
  <si>
    <t>10.10.4</t>
  </si>
  <si>
    <t>Réparation de branchement pénétrant</t>
  </si>
  <si>
    <t>10.10.4.1</t>
  </si>
  <si>
    <t>Réparation de branchement pénétrant Ø ≤ 200 mm</t>
  </si>
  <si>
    <t>10.10.4.2</t>
  </si>
  <si>
    <t>Réparation de branchement pénétrant 200 &lt; Ø  ≤ 300 mm</t>
  </si>
  <si>
    <t xml:space="preserve">SOUS TOTAL REHABILITATION ET RENFORCEMENT STRUCTUREL DE CANALISATIONS NON VISITABLES </t>
  </si>
  <si>
    <t>11</t>
  </si>
  <si>
    <t>REHABILITATION ET RENFORCEMENT STRUCTUREL DE COLLECTEURS VISITABLES ET REGARDS DE VISITE</t>
  </si>
  <si>
    <t>11.1</t>
  </si>
  <si>
    <t>CURAGE - NETTOYAGE</t>
  </si>
  <si>
    <t>11.1.1</t>
  </si>
  <si>
    <t>Curage, extraction et évacuation de sables</t>
  </si>
  <si>
    <t>11.1.2</t>
  </si>
  <si>
    <t>Plus-value au prix 11.1.1 pour curage, extraction et évacuation de corps volumineux &gt; 30 dm3</t>
  </si>
  <si>
    <t>11.1.3</t>
  </si>
  <si>
    <t>Extraction de tous produits exceptés ceux de curage</t>
  </si>
  <si>
    <t>11.1.4</t>
  </si>
  <si>
    <t>Plus-value au prix 11.1.3 pour utilisation de big-bag avec accord du maître d'œuvre</t>
  </si>
  <si>
    <t>11.1.5</t>
  </si>
  <si>
    <t>Nettoyage général</t>
  </si>
  <si>
    <t>11.1.6</t>
  </si>
  <si>
    <t>Nettoyage des égouts après débordement</t>
  </si>
  <si>
    <t>11.1.7</t>
  </si>
  <si>
    <t>Installation et repli d'un chantier en égout</t>
  </si>
  <si>
    <t>11.2</t>
  </si>
  <si>
    <t xml:space="preserve">DÉPOSE DE CABLES, CONDUITES ET SUPPORTS EN COLLECTEUR D'ASSAINISSEMENT VISITABLE </t>
  </si>
  <si>
    <t>Démontage et évacuation des conduites et canalisation désaffectées</t>
  </si>
  <si>
    <t>11.2.1.1</t>
  </si>
  <si>
    <r>
      <t xml:space="preserve">Conduites </t>
    </r>
    <r>
      <rPr>
        <sz val="10"/>
        <rFont val="Calibri"/>
        <family val="2"/>
      </rPr>
      <t>Ø</t>
    </r>
    <r>
      <rPr>
        <sz val="10"/>
        <rFont val="Arial"/>
        <family val="2"/>
      </rPr>
      <t xml:space="preserve"> ≤ 100 mm</t>
    </r>
  </si>
  <si>
    <t>11.2.1.2</t>
  </si>
  <si>
    <r>
      <t xml:space="preserve">Conduites </t>
    </r>
    <r>
      <rPr>
        <sz val="10"/>
        <rFont val="Calibri"/>
        <family val="2"/>
      </rPr>
      <t>Ø</t>
    </r>
    <r>
      <rPr>
        <sz val="10"/>
        <rFont val="Arial"/>
        <family val="2"/>
      </rPr>
      <t xml:space="preserve"> &gt; 100 mm</t>
    </r>
  </si>
  <si>
    <t>Dépose de supports désaffectés</t>
  </si>
  <si>
    <t>11.2.2.1</t>
  </si>
  <si>
    <r>
      <t>Section inférieure à 2 cm</t>
    </r>
    <r>
      <rPr>
        <vertAlign val="superscript"/>
        <sz val="10"/>
        <rFont val="Arial"/>
        <family val="2"/>
      </rPr>
      <t xml:space="preserve">2 </t>
    </r>
  </si>
  <si>
    <t>11.2.2.2</t>
  </si>
  <si>
    <r>
      <t>Section comprise entre 2 et 5 cm</t>
    </r>
    <r>
      <rPr>
        <vertAlign val="superscript"/>
        <sz val="10"/>
        <rFont val="Arial"/>
        <family val="2"/>
      </rPr>
      <t>2</t>
    </r>
  </si>
  <si>
    <t>11.2.2.3</t>
  </si>
  <si>
    <r>
      <t>Section supérieure à 5 cm</t>
    </r>
    <r>
      <rPr>
        <vertAlign val="superscript"/>
        <sz val="10"/>
        <rFont val="Arial"/>
        <family val="2"/>
      </rPr>
      <t xml:space="preserve">2 </t>
    </r>
  </si>
  <si>
    <t>Dépose de câbles</t>
  </si>
  <si>
    <t>11.2.3.1</t>
  </si>
  <si>
    <t>Câbles Ø ≤ 5 cm ou "diamètre équivalent"</t>
  </si>
  <si>
    <t>11.2.3.2</t>
  </si>
  <si>
    <t>Câbles Ø &gt; 5 cm ou "diamètre équivalent"</t>
  </si>
  <si>
    <t>Dépose de chemin de câbles</t>
  </si>
  <si>
    <t>11.3</t>
  </si>
  <si>
    <t>MISE EN ŒUVRE DE PLANCHER PROVISOIRE</t>
  </si>
  <si>
    <t>Mise en place et enlèvement de plancher provisoire en égout</t>
  </si>
  <si>
    <t>Déplacement de plancher provisoire en égout</t>
  </si>
  <si>
    <t>Location de plancher</t>
  </si>
  <si>
    <t>M²/J</t>
  </si>
  <si>
    <t>11.4</t>
  </si>
  <si>
    <t>CONSOLIDATION DES OUVRAGES PAR INJECTION</t>
  </si>
  <si>
    <t>Forages et perforations</t>
  </si>
  <si>
    <t>11.4.1.1</t>
  </si>
  <si>
    <t>Amenée et repli de l'installation d'un atelier de forage</t>
  </si>
  <si>
    <t>11.4.1.1.1</t>
  </si>
  <si>
    <t>Pour forages depuis la surface</t>
  </si>
  <si>
    <t>11.4.1.1.2</t>
  </si>
  <si>
    <t>Pour forages depuis l'intérieur d'un collecteur</t>
  </si>
  <si>
    <t>11.4.1.2</t>
  </si>
  <si>
    <t xml:space="preserve">Forages pour injection de traitement de terrain </t>
  </si>
  <si>
    <t>11.4.1.2.1</t>
  </si>
  <si>
    <t>Forages depuis la surface</t>
  </si>
  <si>
    <t>11.4.1.2.2</t>
  </si>
  <si>
    <t>Forages depuis le radier du collecteur</t>
  </si>
  <si>
    <t>11.4.1.3</t>
  </si>
  <si>
    <t>Fourniture et mise en oeuvre tube lisse ou à manchette y compris le coulis de gaine</t>
  </si>
  <si>
    <t>11.4.1.4</t>
  </si>
  <si>
    <t>Perforation de la structure du collecteur pour injection (autre qu'injection de traitement de terrain) jusqu'à 0,40m de profondeur</t>
  </si>
  <si>
    <t>11.4.1.4.1</t>
  </si>
  <si>
    <t>˗ dans un ouvrage en meulière</t>
  </si>
  <si>
    <t>11.4.1.4.2</t>
  </si>
  <si>
    <t>˗ dans un ouvrage en béton</t>
  </si>
  <si>
    <t>11.4.1.5</t>
  </si>
  <si>
    <t>Plus-value aux deux prix 11.4.1.4 par tranche de 10 cm</t>
  </si>
  <si>
    <t>11.4.1.5.1</t>
  </si>
  <si>
    <t>plus-value au prix 11.4.1.4.1</t>
  </si>
  <si>
    <t>11.4.1.5.2</t>
  </si>
  <si>
    <t>plus-value au prix 11.4.1.4.2</t>
  </si>
  <si>
    <t>11.4.1.6</t>
  </si>
  <si>
    <t>Plus-value aux prix 11.4.1.4 pour perforation dans un collecteur de hauteur &lt; 1,60 m</t>
  </si>
  <si>
    <t>11.4.1.7</t>
  </si>
  <si>
    <t>Reforage de forages déjà injectés</t>
  </si>
  <si>
    <t>11.4.1.8</t>
  </si>
  <si>
    <t>Equipement de tête de forage</t>
  </si>
  <si>
    <t>11.4.1.9</t>
  </si>
  <si>
    <t xml:space="preserve">Equipement des fissures au moyen de canules </t>
  </si>
  <si>
    <t>11.4.2</t>
  </si>
  <si>
    <t>Injections</t>
  </si>
  <si>
    <t>Centrale d'injection à 4 presses</t>
  </si>
  <si>
    <t>Plus-value ou moins-value au prix 11.4.2.1 par presse en plus ou en moins</t>
  </si>
  <si>
    <t>Location de la centrale d'injection</t>
  </si>
  <si>
    <t>MOIS</t>
  </si>
  <si>
    <t>Plus-value ou moins-value au prix 11.4.2.3 par presse en plus ou en moins</t>
  </si>
  <si>
    <t>Installation et repli d'un conduit de transport de coulis</t>
  </si>
  <si>
    <t>11.4.2.6</t>
  </si>
  <si>
    <t>Installation sur le point injection</t>
  </si>
  <si>
    <t>11.4.2.7</t>
  </si>
  <si>
    <t>Injection de coulis à base de ciment</t>
  </si>
  <si>
    <t>11.4.2.7.1</t>
  </si>
  <si>
    <t>Injections de traitement de terrain (débit inf. à 1000l/h)</t>
  </si>
  <si>
    <t>11.4.2.7.2</t>
  </si>
  <si>
    <t>Injection de collage et/ou régénération (débit inf. à 800 l/h)</t>
  </si>
  <si>
    <t>11.4.2.7.3</t>
  </si>
  <si>
    <t>Injection de remplissage de vides (débit &gt; 800 l/h)</t>
  </si>
  <si>
    <t>11.4.2.7.4</t>
  </si>
  <si>
    <t>Injection d'espace annulaire dans le cadre de travaux de tubage</t>
  </si>
  <si>
    <t>11.4.2.8</t>
  </si>
  <si>
    <t>Plus-value aux prix 11.4.2.7 pour injection dans un collecteur de hauteur &lt; 1,60m</t>
  </si>
  <si>
    <t>11.4.2.9</t>
  </si>
  <si>
    <t>Injection de produit chimique</t>
  </si>
  <si>
    <t>11.4.2.10</t>
  </si>
  <si>
    <t xml:space="preserve">Injection de fissures à la pompe à main sur demande de maître d'œuvre </t>
  </si>
  <si>
    <t>11.4.2.10.1</t>
  </si>
  <si>
    <t>Sans venue d'eau ou humide</t>
  </si>
  <si>
    <t>LITRE</t>
  </si>
  <si>
    <t>11.4.2.10.2</t>
  </si>
  <si>
    <t>En présence d'eau libre ou sous pression</t>
  </si>
  <si>
    <t>11.4.2.11</t>
  </si>
  <si>
    <t>Fourniture des matériaux pour coulis d'injection</t>
  </si>
  <si>
    <t>11.4.2.11.1</t>
  </si>
  <si>
    <t>Ciment en sac</t>
  </si>
  <si>
    <t>11.4.2.11.2</t>
  </si>
  <si>
    <t>Ciment en vrac</t>
  </si>
  <si>
    <t>11.4.2.11.3</t>
  </si>
  <si>
    <t>Ciment ultra-fin</t>
  </si>
  <si>
    <t>11.4.2.11.4</t>
  </si>
  <si>
    <t>Bentonite</t>
  </si>
  <si>
    <t>11.4.2.11.5</t>
  </si>
  <si>
    <t>Silicate</t>
  </si>
  <si>
    <t>11.4.2.11.6</t>
  </si>
  <si>
    <t>Réactif organique</t>
  </si>
  <si>
    <t>11.4.2.11.7</t>
  </si>
  <si>
    <t>Adjuvants, superplastifiants ou fluidifiants</t>
  </si>
  <si>
    <t>11.4.2.12</t>
  </si>
  <si>
    <t>Carottage de contrôle</t>
  </si>
  <si>
    <t>11.4.2.13</t>
  </si>
  <si>
    <t>Gestion informatisée des injections pour la gestion de 4 pompes</t>
  </si>
  <si>
    <t>11.4.2.14</t>
  </si>
  <si>
    <r>
      <t xml:space="preserve">Plus-value ou moins-value au prix 11.4.2.13 pour la gestion d'une pompe </t>
    </r>
    <r>
      <rPr>
        <b/>
        <sz val="10"/>
        <rFont val="Arial"/>
        <family val="2"/>
      </rPr>
      <t>en + ou en -</t>
    </r>
  </si>
  <si>
    <t>11.5</t>
  </si>
  <si>
    <t>REFECTION DES PAREMENTS</t>
  </si>
  <si>
    <t>Réfection ponctuelle des parements</t>
  </si>
  <si>
    <t>11.5.1.1</t>
  </si>
  <si>
    <t>Réparation de fissures</t>
  </si>
  <si>
    <t>11.5.1.1.1</t>
  </si>
  <si>
    <t>Réparation de fissures d'ouverture inférieure ou égale à 1 mm</t>
  </si>
  <si>
    <t>11.5.1.1.2</t>
  </si>
  <si>
    <t>Réparation de fissure d’ouverture supérieure à 1 mm ou de joint</t>
  </si>
  <si>
    <t>11.5.1.1.3</t>
  </si>
  <si>
    <t>Plus-value aux prix 11.5.1.1.1 et 11.5.1.1.2 pour étanchement de fissure ou de joint avec venue d’eau</t>
  </si>
  <si>
    <t>11.5.1.2</t>
  </si>
  <si>
    <t>Réfection manuelle d'enduit</t>
  </si>
  <si>
    <t>11.5.1.2.1</t>
  </si>
  <si>
    <t>Démolition d'enduit jusqu'à 3 cm d'épaisseur</t>
  </si>
  <si>
    <t>11.5.1.2.2</t>
  </si>
  <si>
    <t>Pus-value au prix 11.5.1.2.1 par cm d'épaisseur supplémentaire de démolition</t>
  </si>
  <si>
    <t>M2/CM</t>
  </si>
  <si>
    <t>11.5.1.2.3</t>
  </si>
  <si>
    <t>Exécution manuelle d'enduit jusqu'à 3 cm d'épaisseur</t>
  </si>
  <si>
    <t>11.5.1.2.4</t>
  </si>
  <si>
    <t xml:space="preserve">Pus value au prix 11.5.1.2.3 par cm d'épaisseur supplémentaire </t>
  </si>
  <si>
    <t>11.5.1.3</t>
  </si>
  <si>
    <t>Bouchage de trou</t>
  </si>
  <si>
    <t>11.5.1.3.1</t>
  </si>
  <si>
    <t>Trou de section comprise entre 0,10 x 0,10 m et 0,20 x 0,20 m</t>
  </si>
  <si>
    <t>11.5.1.3.2</t>
  </si>
  <si>
    <t>Trou de section comprise entre 0,20 x 0,20 m et 0,30 x 0,30 m</t>
  </si>
  <si>
    <t>11.5.1.4</t>
  </si>
  <si>
    <t>Réfection ponctuelle de maçonnerie de meulière ou de béton non armé</t>
  </si>
  <si>
    <t>Réfection des maçonnerie par béton projeté</t>
  </si>
  <si>
    <t>11.5.2.1</t>
  </si>
  <si>
    <t>Ouverture des fissures pour préparation du support</t>
  </si>
  <si>
    <t>11.5.2.2</t>
  </si>
  <si>
    <t>Plus-value au prix 11.5.2.1 pour étanchement de fissure avec venue d’eau</t>
  </si>
  <si>
    <t>11.5.2.3</t>
  </si>
  <si>
    <t>Démolition mécanique d'enduit en voûte et piédroits d'épaisseur inférieure ou égale à 3 cm</t>
  </si>
  <si>
    <t>11.5.2.4</t>
  </si>
  <si>
    <t>Pus value au prix 11.5.2.3 par cm d'épaisseur supplémentaire de démolition</t>
  </si>
  <si>
    <t>11.5.2.5</t>
  </si>
  <si>
    <t>Amenée et repli du matériel de projection de béton</t>
  </si>
  <si>
    <t>11.5.2.6</t>
  </si>
  <si>
    <t>Fourniture et mise en œuvre de béton projeté fibré sur 3 cm d'épaisseur</t>
  </si>
  <si>
    <t>11.5.2.7</t>
  </si>
  <si>
    <t xml:space="preserve">Pus value au prix 11.5.2.6 par cm d'épaisseur supplémentaire </t>
  </si>
  <si>
    <t>11.5.2.8</t>
  </si>
  <si>
    <t xml:space="preserve">Plus-value au prix 11.5.2.6 pour projection sur armatures </t>
  </si>
  <si>
    <t>11.5.2.9</t>
  </si>
  <si>
    <t>Fourniture et pose d'armatures traitées anti-corrosion</t>
  </si>
  <si>
    <t>Fourniture et mise en œuvre d'un produit de protection contre l'hydrogène sulfuré</t>
  </si>
  <si>
    <t>11.5.3.1</t>
  </si>
  <si>
    <t>Fourniture et mise en œuvre d'un mortier de protection composé à 100% d'aluminate de calcium</t>
  </si>
  <si>
    <t>11.5.3.2</t>
  </si>
  <si>
    <t>Fourniture et mise en œuvre d'un produit de protection à base de résines époxydes ou de polymères fluorés</t>
  </si>
  <si>
    <t>11.6</t>
  </si>
  <si>
    <t>REPROFILAGE ET REFECTION DU RADIER OU DE LA CUNETTE</t>
  </si>
  <si>
    <t>11.6.1</t>
  </si>
  <si>
    <t>Préparation du support</t>
  </si>
  <si>
    <t>Démolition d'enduit en radier ou de cunette</t>
  </si>
  <si>
    <t>11.6.1.1.1</t>
  </si>
  <si>
    <t>Démolition d'enduit en radier (ou de cunette) jusqu'à 3 cm d'épaisseur</t>
  </si>
  <si>
    <t>11.6.1.1.2</t>
  </si>
  <si>
    <t>Pus value au prix 11.6.1.1.1 par cm d'épaisseur supplémentaire de démolition</t>
  </si>
  <si>
    <t>Démolition de maçonnerie ou de béton pour reprofilage du radier</t>
  </si>
  <si>
    <t>Démolition de maçonnerie ou de béton non armé</t>
  </si>
  <si>
    <t>Démolition de béton armé</t>
  </si>
  <si>
    <t>11.6.2</t>
  </si>
  <si>
    <t>Reprofilage et réfection du radier ou de la cunette</t>
  </si>
  <si>
    <t>Fourniture et mise en œuvre de béton pour reprofilage du radier</t>
  </si>
  <si>
    <t>Fourniture et mise en œuvre d'acier pour béton armé</t>
  </si>
  <si>
    <t>Fourniture et mise en œuvre d'un enduit anti-abrasif en radier ou cunette d'indice CNR &lt; 2</t>
  </si>
  <si>
    <t>11.6.2.3.1</t>
  </si>
  <si>
    <t>Fourniture et mise en œuvre d'un enduit antiabrasif d'indice CNR &lt; 2  sur 3 cm d'épaisseur</t>
  </si>
  <si>
    <t>11.6.2.3.2</t>
  </si>
  <si>
    <t>Plus-value au prix 11.6.2.3.1 par cm d'épaisseur supplémentaire</t>
  </si>
  <si>
    <t>Fourniture et pose d'un revêtement de radier / cunette de type coque préfabriquée</t>
  </si>
  <si>
    <t>11.6.2.4.1</t>
  </si>
  <si>
    <t>Fourniture et pose de coque PRV en radier ou cunette</t>
  </si>
  <si>
    <t>11.6.2.4.2</t>
  </si>
  <si>
    <t>Fourniture et pose de coque PVC en radier ou cunette</t>
  </si>
  <si>
    <t>11.6.2.4.3</t>
  </si>
  <si>
    <t>Fourniture et pose de coque PEHD en radier ou cunette</t>
  </si>
  <si>
    <t>11.7</t>
  </si>
  <si>
    <t>FOURNITURE ET POSE DE REGARDS DE VISITES EN PRV SUR OUVRAGE DE STOKAGE</t>
  </si>
  <si>
    <t>Fourniture et pose d'élément de fond adapté à l'ouvrage de diamètre intérieur 2 100 mm</t>
  </si>
  <si>
    <t>Fourniture et pose de cheminée de regard adapté à l'ouvrage de diamètre intérieur 2 100 mm</t>
  </si>
  <si>
    <t>Dalle de couverture pour regard adaptée à l'ouvrage de diamètre intérieur 2 100 mm</t>
  </si>
  <si>
    <t>11.7.4</t>
  </si>
  <si>
    <t>Fourniture et pose d'élément de fond adapté à l'ouvrage de section intérieure 1,90 x 3,50 m</t>
  </si>
  <si>
    <t>11.7.5</t>
  </si>
  <si>
    <t>Fourniture et pose de cheminée de regard adaptée à l'ouvrage de section intérieure 1,90 x 3,50 m</t>
  </si>
  <si>
    <t>11.7.6</t>
  </si>
  <si>
    <t>Dalle de couverture pour regard adaptée à l'ouvrage de section intérieure 1,90 x 3,50 m</t>
  </si>
  <si>
    <t>11.8</t>
  </si>
  <si>
    <t>FOURNITURE ET POSE D'OUVRAGE DE STOCKAGE EN PRV</t>
  </si>
  <si>
    <t>Fourniture et pose d'ouvrage de stockage de diamètre intérieur 2 100 mm</t>
  </si>
  <si>
    <t xml:space="preserve">Fourniture et pose d'ouvrage de stockage de section intérieure 1,90 x 3,50 m </t>
  </si>
  <si>
    <t>11.9</t>
  </si>
  <si>
    <t>FOURNITURE ET POSE D'OUVRAGE DE STOCKAGE EN BETON ARME</t>
  </si>
  <si>
    <t>11.9.1</t>
  </si>
  <si>
    <t>Fourniture et pose d'ouvrage de stockage de section intérieure 1,80 x 1,80 m</t>
  </si>
  <si>
    <t>11.9.2</t>
  </si>
  <si>
    <t xml:space="preserve">Fourniture et pose d'ouvrage de stockage de section intérieure 1,90 x 2,00 m </t>
  </si>
  <si>
    <t>11.10</t>
  </si>
  <si>
    <t>FOURNITURE ET POSE DE REGARDS DE VISITE SUR OUVRAGE DE STOCKAGE</t>
  </si>
  <si>
    <t>11.10.1</t>
  </si>
  <si>
    <t>Fourniture et pose d'élément de fond en béton préfabriqué de section intérieure 2,50 x 1,50 m</t>
  </si>
  <si>
    <t>11.10.2</t>
  </si>
  <si>
    <t>Fourniture et pose de cheminée de regard en béton préfabriqué de section intérieure 2,50 x 1,50 m</t>
  </si>
  <si>
    <t>11.10.3</t>
  </si>
  <si>
    <t>Dalle de couverture pour regard en béton préfabriqué de section intérieure 2,50 x 1,50 m</t>
  </si>
  <si>
    <t>11.10.4</t>
  </si>
  <si>
    <t>Fourniture et pose d'élément de fond en béton préfabriqué de section intérieure 1,90 x 2,00 m</t>
  </si>
  <si>
    <t>11.10.5</t>
  </si>
  <si>
    <t>Fourniture et pose de cheminée de regard en béton préfabriqué de section intérieure 1,90 x 2,00 m</t>
  </si>
  <si>
    <t>11.10.6</t>
  </si>
  <si>
    <t>Dalle de couverture pour regard en béton préfabriqué de section intérieure 1,90 x 2,00 m</t>
  </si>
  <si>
    <t>11.10.7</t>
  </si>
  <si>
    <t>Fourniture et pose d'élément de fond en béton préfabriqué de section intérieure 1,80 x 1,80 m</t>
  </si>
  <si>
    <t>11.10.8</t>
  </si>
  <si>
    <t>Fourniture et pose de cheminée de regard en béton préfabriqué de section intérieure 1,80 x 1,80 m</t>
  </si>
  <si>
    <t>11.10.9</t>
  </si>
  <si>
    <t>Dalle de couverture pour regard en béton préfabriqué de section intérieure 1,80 x 1,80 m</t>
  </si>
  <si>
    <t>SOUS TOTAL REHABILITATION ET RENFORCEMENT STRUCTUREL DE COLLECTEURS VISITABLES ET REGARDS DE VISITE</t>
  </si>
  <si>
    <t>12</t>
  </si>
  <si>
    <t>TRAVAUX DE MAÇONNERIE - GENIE CIVIL</t>
  </si>
  <si>
    <t>12.1</t>
  </si>
  <si>
    <t>FOURNITURE ET MISE EN ŒUVRE DE COFFRAGE</t>
  </si>
  <si>
    <t>Coffrage plan vertical</t>
  </si>
  <si>
    <t>12.1.1.1</t>
  </si>
  <si>
    <t>En tranchée</t>
  </si>
  <si>
    <t>12.1.1.2</t>
  </si>
  <si>
    <t>En puits</t>
  </si>
  <si>
    <t>12.1.1.3</t>
  </si>
  <si>
    <t>Coffrage plan horizontal</t>
  </si>
  <si>
    <t>12.1.2.1</t>
  </si>
  <si>
    <t>12.1.2.2</t>
  </si>
  <si>
    <t>12.1.2.3</t>
  </si>
  <si>
    <t>Coffrage courbe</t>
  </si>
  <si>
    <t>12.1.3.1</t>
  </si>
  <si>
    <t>12.1.3.2</t>
  </si>
  <si>
    <t>12.1.3.3</t>
  </si>
  <si>
    <t>12.2</t>
  </si>
  <si>
    <t>FOURNITURE ET POSE D'ARMATURES</t>
  </si>
  <si>
    <t>12.2.1</t>
  </si>
  <si>
    <t>Acier Adx</t>
  </si>
  <si>
    <t>Mis en place en élévation</t>
  </si>
  <si>
    <t>Mis en place en tranchée ou en puits</t>
  </si>
  <si>
    <t>Mis en place en souterrain</t>
  </si>
  <si>
    <t>12.2.2</t>
  </si>
  <si>
    <t>Acier HA</t>
  </si>
  <si>
    <t>Treillis soudé</t>
  </si>
  <si>
    <t>12.2.3.1</t>
  </si>
  <si>
    <t>12.2.3.2</t>
  </si>
  <si>
    <t>12.2.3.3</t>
  </si>
  <si>
    <t>12.3</t>
  </si>
  <si>
    <t>FOURNITURE ET MISE EN ŒUVRE DE BETON</t>
  </si>
  <si>
    <t>Béton de propreté C20/25 dosé à 250 kg/m3</t>
  </si>
  <si>
    <t>Béton C30/37 dosé à 350 kg/m3</t>
  </si>
  <si>
    <t>Béton C35/45 XA2 dosé à 350 kg/m3</t>
  </si>
  <si>
    <t>Béton C40/50 XA3 dosé à 385 kg/m3</t>
  </si>
  <si>
    <t>12.3.5</t>
  </si>
  <si>
    <t>Plus-value aux prix de béton pour mise en œuvre en souterrain</t>
  </si>
  <si>
    <t>12.3.6</t>
  </si>
  <si>
    <t>Plus-value aux prix de béton pour mise en œuvre de béton à la pompe</t>
  </si>
  <si>
    <t>12.4</t>
  </si>
  <si>
    <t>FOURNITURE ET MISE EN ŒUVRE DE PARPAINGS</t>
  </si>
  <si>
    <t>Fourniture et mise en œuvre de parpaing à bancher</t>
  </si>
  <si>
    <t>Fourniture et mise en œuvre de parpaing creux</t>
  </si>
  <si>
    <t>Fourniture et mise en œuvre de parpaing plein</t>
  </si>
  <si>
    <t>12.5</t>
  </si>
  <si>
    <t>FOURNITURE ET POSE DE JOINTS</t>
  </si>
  <si>
    <t>Fourniture et pose d'une bande d'arrêt d'eau type Waterstop ou similaire</t>
  </si>
  <si>
    <t>Fourniture et pose d'un joint hydrogonflant</t>
  </si>
  <si>
    <t>Réalisation d'un joint à la pompe</t>
  </si>
  <si>
    <t>12.6</t>
  </si>
  <si>
    <t>CREATION DE REGARDS DE VISITE</t>
  </si>
  <si>
    <t>Fourniture et pose de cunette en béton préfabriqué ou coulée en place</t>
  </si>
  <si>
    <t>12.6.1.1</t>
  </si>
  <si>
    <t xml:space="preserve">Cunette béton pour regard de visite simple de section intérieure Ø 1000 mm ou 1,00 x 1,00 m </t>
  </si>
  <si>
    <t>12.6.1.1.1</t>
  </si>
  <si>
    <r>
      <t xml:space="preserve">Sur Ø </t>
    </r>
    <r>
      <rPr>
        <sz val="10"/>
        <rFont val="Calibri"/>
        <family val="2"/>
      </rPr>
      <t>≤</t>
    </r>
    <r>
      <rPr>
        <sz val="7"/>
        <rFont val="Arial"/>
        <family val="2"/>
      </rPr>
      <t xml:space="preserve"> </t>
    </r>
    <r>
      <rPr>
        <sz val="10"/>
        <rFont val="Arial"/>
        <family val="2"/>
      </rPr>
      <t>500 mm</t>
    </r>
  </si>
  <si>
    <t>12.6.1.1.2</t>
  </si>
  <si>
    <t>Sur Ø &gt;500 mm</t>
  </si>
  <si>
    <t>12.6.1.2</t>
  </si>
  <si>
    <t xml:space="preserve">Cunette béton pour regard de visite simple de section intérieure Ø 1200 mm ou 1,20 x 1,20 m </t>
  </si>
  <si>
    <t>12.6.1.2.1</t>
  </si>
  <si>
    <t>12.6.1.2.2</t>
  </si>
  <si>
    <t>12.6.1.3</t>
  </si>
  <si>
    <t xml:space="preserve">Cunette béton pour regard de visite double de section intérieure Ø 1200 mm ou 1,00 x 2,25 m </t>
  </si>
  <si>
    <t>12.6.1.4</t>
  </si>
  <si>
    <t>Elément de fond de regard de visite de section intérieure Ø 2500 mm</t>
  </si>
  <si>
    <t>Fourniture et pose de cheminée de regard en béton préfabriqué ou coulée en place</t>
  </si>
  <si>
    <t>12.6.2.1</t>
  </si>
  <si>
    <t xml:space="preserve">Cheminée de regard de visite simple de section intérieure Ø 1000 mm ou 1,00 x 1,00 m </t>
  </si>
  <si>
    <t>12.6.2.2</t>
  </si>
  <si>
    <t xml:space="preserve">Cheminée de regard de visite simple de section intérieure Ø 1200 mm ou 1,20 x 1,20 m </t>
  </si>
  <si>
    <t>12.6.2.3</t>
  </si>
  <si>
    <t xml:space="preserve">Cheminée de regard de visite double de section intérieure Ø 1200 mm ou 1,00 x 2,25 m </t>
  </si>
  <si>
    <t>12.6.2.4</t>
  </si>
  <si>
    <t>Cheminée de regard de visite de section intérieure Ø 2500 mm</t>
  </si>
  <si>
    <t>12.6.2.5</t>
  </si>
  <si>
    <t xml:space="preserve">Dalle de couverture pour regard de visite double de section intérieure Ø 1200 mm ou 1,00 x 2,25 m </t>
  </si>
  <si>
    <t>12.6.2.6</t>
  </si>
  <si>
    <t>Dalle de couverture pour regard de visite double de section intérieure Ø 2500 m</t>
  </si>
  <si>
    <t>12.7</t>
  </si>
  <si>
    <t>CREATION DE BOITE DE BRANCHEMENT EN BETON PREFABRIQUE</t>
  </si>
  <si>
    <t>Cunette en béton préfabriqué pour boîte de branchement</t>
  </si>
  <si>
    <t>12.7.1.1</t>
  </si>
  <si>
    <t>Cunette 30 x 30 cm</t>
  </si>
  <si>
    <t>12.7.1.2</t>
  </si>
  <si>
    <t>Cunette 40 x 40 cm</t>
  </si>
  <si>
    <t>12.7.1.3</t>
  </si>
  <si>
    <t>Cunette 60 x 60 cm</t>
  </si>
  <si>
    <t>12.7.1.4</t>
  </si>
  <si>
    <t>Cunette 80 x 80 cm</t>
  </si>
  <si>
    <t>Eléments de réhausse en béton préfabriqué pour boîte de branchement</t>
  </si>
  <si>
    <t>12.7.2.1</t>
  </si>
  <si>
    <t>Elément de réhausse 30 x 30 cm</t>
  </si>
  <si>
    <t>12.7.2.2</t>
  </si>
  <si>
    <t>Elément de réhausse 40 x 40 cm</t>
  </si>
  <si>
    <t>12.7.2.3</t>
  </si>
  <si>
    <t>Elément de réhausse 60 x 60 cm</t>
  </si>
  <si>
    <t>12.7.2.4</t>
  </si>
  <si>
    <t>Elément de réhausse 80 x 80 cm</t>
  </si>
  <si>
    <t>Elément de réduction en béton préfabriqué</t>
  </si>
  <si>
    <t>12.7.3.1</t>
  </si>
  <si>
    <t>Elément de réduction 60 x 60 cm en 30 x 30 cm</t>
  </si>
  <si>
    <t>12.7.3.2</t>
  </si>
  <si>
    <t>Elément de réduction 60 x 60 cm en 40 x 40 cm</t>
  </si>
  <si>
    <t>12.7.3.3</t>
  </si>
  <si>
    <t>Elément de réduction 80 x 80 cm en 40 x 40 cm</t>
  </si>
  <si>
    <t>Dalle sous tampon d'ouverture minimum 40 X 40 cm</t>
  </si>
  <si>
    <t>12.8</t>
  </si>
  <si>
    <t>TABOURET DE BRANCHEMENT PVC</t>
  </si>
  <si>
    <t>Tabouret de branchement PVC Ø 250 mm hors rehausse</t>
  </si>
  <si>
    <t>Tabouret de branchement PVC Ø 315 mm hors rehausse</t>
  </si>
  <si>
    <t>Tabouret de branchement PVC Ø 400 mm hors rehausse</t>
  </si>
  <si>
    <t>Rehausse PVC pour tabouret Ø 250 mm</t>
  </si>
  <si>
    <t>12.8.5</t>
  </si>
  <si>
    <t>Rehausse PVC pour tabouret Ø 315 mm</t>
  </si>
  <si>
    <t>12.8.6</t>
  </si>
  <si>
    <t>Rehausse PVC pour tabouret Ø 400 mm</t>
  </si>
  <si>
    <t>12.9</t>
  </si>
  <si>
    <t>OUVRAGES DE RECUPERATION DES EAUX PLUVIALES</t>
  </si>
  <si>
    <t>12.9.1</t>
  </si>
  <si>
    <t>Création d'ouvrage de récupération des eaux pluviales</t>
  </si>
  <si>
    <t>Cheminée et cunette d'ouverture 300 mm x 300 mm</t>
  </si>
  <si>
    <t>Cheminée et cunette d'ouverture 400 mm x 400 mm</t>
  </si>
  <si>
    <t>Cheminée et cunette d'ouverture 500 mm x 500 mm</t>
  </si>
  <si>
    <t>Cheminée et cunette d'ouverture 600 mm x 600 mm</t>
  </si>
  <si>
    <t>Cheminée et cunette d'ouverture 700 mm x 700 mm</t>
  </si>
  <si>
    <t>12.9.1.6</t>
  </si>
  <si>
    <t>Cheminée et cunette d'ouverture 800 mm x 800 mm</t>
  </si>
  <si>
    <t>12.9.1.7</t>
  </si>
  <si>
    <t>Cheminée et cunette d'ouverture 1000 mm x 700 mm</t>
  </si>
  <si>
    <t>12.9.1.8</t>
  </si>
  <si>
    <t>Cheminée et cunette d'ouverture 1000 mm x 1000 mm</t>
  </si>
  <si>
    <t>12.9.1.9</t>
  </si>
  <si>
    <t>Création d'un puisard</t>
  </si>
  <si>
    <t>12.10</t>
  </si>
  <si>
    <t>COMBLEMENT D'OUVRAGE</t>
  </si>
  <si>
    <t>Réalisation d'un mur masque</t>
  </si>
  <si>
    <t>Comblement d'ouvrage existant abandonné (autre que canalisation non visitable)</t>
  </si>
  <si>
    <t>12.11</t>
  </si>
  <si>
    <t>REHAUSSE / MISE A LA COTE D'OUVRAGE DE GENIE CIVIL EXISTANT (Y COMPRIS TAMPON)</t>
  </si>
  <si>
    <t>Rehausse d'ouvrage de génie civil 30 x 30 cm</t>
  </si>
  <si>
    <t>Rehausse d'ouvrage de génie civil 40 x 40 cm</t>
  </si>
  <si>
    <t>Rehausse d'ouvrage de génie civil 50 x 50 cm</t>
  </si>
  <si>
    <t>Rehausse d'ouvrage de génie civil 60 x 60 cm</t>
  </si>
  <si>
    <t>12.11.5</t>
  </si>
  <si>
    <t>Rehausse d'ouvrage de génie civil 80 x 80 cm ou Ø800</t>
  </si>
  <si>
    <t>12.11.6</t>
  </si>
  <si>
    <t>Rehausse d'ouvrage de génie civil 1,00m x 1,00m ou Ø1000</t>
  </si>
  <si>
    <t>12.11.7</t>
  </si>
  <si>
    <t xml:space="preserve">Rehausse d'ouvrage de génie civil 1,20m x 1,20m </t>
  </si>
  <si>
    <t>12.11.8</t>
  </si>
  <si>
    <t xml:space="preserve">Rehausse d'ouvrage de génie civil 0,80m x 1,00m </t>
  </si>
  <si>
    <t>12.11.9</t>
  </si>
  <si>
    <t xml:space="preserve">Rehausse d'ouvrage de génie civil 0,80m x 1,20m </t>
  </si>
  <si>
    <t>12.11.10</t>
  </si>
  <si>
    <t xml:space="preserve">Rehausse d'ouvrage de génie civil 1,00m x 1,50m </t>
  </si>
  <si>
    <t>12.11.11</t>
  </si>
  <si>
    <t xml:space="preserve">Rehausse d'ouvrage de génie civil 1,00m x 2,25m </t>
  </si>
  <si>
    <t>12.11.12</t>
  </si>
  <si>
    <t>Réhausse de chambre L0T</t>
  </si>
  <si>
    <t>12.11.13</t>
  </si>
  <si>
    <t>Réhausse de chambre L1T</t>
  </si>
  <si>
    <t>12.11.14</t>
  </si>
  <si>
    <t>Réhausse de chambre L2T</t>
  </si>
  <si>
    <t>12.11.15</t>
  </si>
  <si>
    <t>Réhausse de chambre L3T</t>
  </si>
  <si>
    <t>12.11.16</t>
  </si>
  <si>
    <t>Réhausse de chambre L4T</t>
  </si>
  <si>
    <t>12.11.17</t>
  </si>
  <si>
    <t>Réhausse de chambre L5T</t>
  </si>
  <si>
    <t>12.11.18</t>
  </si>
  <si>
    <t>Réhausse de chambre L6T</t>
  </si>
  <si>
    <t>12.11.19</t>
  </si>
  <si>
    <t>Réhausse de chambre K1C</t>
  </si>
  <si>
    <t>12.11.20</t>
  </si>
  <si>
    <t>Réhausse de chambre K2C</t>
  </si>
  <si>
    <t>12.11.21</t>
  </si>
  <si>
    <t>Réhausse de chambre K3C</t>
  </si>
  <si>
    <t>12.12</t>
  </si>
  <si>
    <t>FOURNITURE ET POSE D'UN REGARD D'ECLAIRAGE 60X60 CM Y COMPRIS TERRASSEMENT, CADRE ET TAMPON DE FERMETURE EN ACIER GALVANISE C250 ET PERCEMENT DE VOILE</t>
  </si>
  <si>
    <t xml:space="preserve">   12.12.1</t>
  </si>
  <si>
    <t>Plue value au prix 12.12 pour remplacement tampon acier galvanisé en tampon fonte</t>
  </si>
  <si>
    <t>12.13</t>
  </si>
  <si>
    <t>FOURNITURE ET POSE D'UN CADRE EN BETON ARME POUR TRAPPE CIRCULAIRE</t>
  </si>
  <si>
    <t>12.13.1</t>
  </si>
  <si>
    <t>Fourniture et pose d'un cadre en béton armé de 15 cm d'épaisseur pour trappe circulaire</t>
  </si>
  <si>
    <t>12.13.2</t>
  </si>
  <si>
    <t>Fourniture et pose d'un cadre en béton armé de 20 cm d'épaisseur pour trappe circulaire</t>
  </si>
  <si>
    <t>12.14</t>
  </si>
  <si>
    <t>PERCEMENT DE VOILE</t>
  </si>
  <si>
    <t>12.15</t>
  </si>
  <si>
    <t>FOURNITURE ET MISE EN ŒUVRE DE MUR DE SOUTENEMENT PREFABRIQUE</t>
  </si>
  <si>
    <t>12.15.1</t>
  </si>
  <si>
    <t>Mur de soutènement hauteur inférieure ou égale à 1 m</t>
  </si>
  <si>
    <t>12.15.2</t>
  </si>
  <si>
    <t>Mur de soutènement hauteur comprise entre 1 m (exclus) et 2 m (inclus)</t>
  </si>
  <si>
    <t>12.15.3</t>
  </si>
  <si>
    <t>Mur de soutènement hauteur comprise entre 2 m (exclus) et 4 m (inclus)</t>
  </si>
  <si>
    <t>12.15.4</t>
  </si>
  <si>
    <t>Mur de soutènement hauteur comprise entre 4 m (exclus) et 6 m (inclus)</t>
  </si>
  <si>
    <t>12.16</t>
  </si>
  <si>
    <t>REALISATION D'UN SOUTENEMENT EN MEULIERES LARGEUR 0,40 m, HAUTEUR 2,60 à 3,50m</t>
  </si>
  <si>
    <t>12.17</t>
  </si>
  <si>
    <t>REALISATION D'UN SOUTENEMENT EN MEULIERES LARGEUR 0,60 m, HAUTEUR 0,50 à 2,90m</t>
  </si>
  <si>
    <t>12.18</t>
  </si>
  <si>
    <t>REALISATION D'UN SOUTENEMENT EN PIERRES RECUPEREES LARGEUR 0,60 m, HAUTEUR 1,00 à 1,30m</t>
  </si>
  <si>
    <t>12.19</t>
  </si>
  <si>
    <t>FOURNITURE ET POSE DE GABIONS</t>
  </si>
  <si>
    <t>12.20</t>
  </si>
  <si>
    <t>REALISATION D'UN SOUTENEMENT EN RONDINS DE BOIS H=1,00m (y/c terrassements)</t>
  </si>
  <si>
    <t>SOUS TOTAL TRAVAUX DE MAÇONNERIE - GENIE CIVIL</t>
  </si>
  <si>
    <t>13</t>
  </si>
  <si>
    <t>EQUIPEMENT</t>
  </si>
  <si>
    <t>13.1</t>
  </si>
  <si>
    <t>DEPOSE D'EQUIPEMENT</t>
  </si>
  <si>
    <t>Dépose de tampon</t>
  </si>
  <si>
    <t>Dépose de bouche avaloir</t>
  </si>
  <si>
    <t>Dépose de grille</t>
  </si>
  <si>
    <t>Dépose d'équipement de sécurité</t>
  </si>
  <si>
    <t>13.1.4.1</t>
  </si>
  <si>
    <t>Dépose d'échelon</t>
  </si>
  <si>
    <t>13.1.4.2</t>
  </si>
  <si>
    <t>Dépose d'échelle</t>
  </si>
  <si>
    <t>13.1.4.3</t>
  </si>
  <si>
    <t>Dépose de crosse</t>
  </si>
  <si>
    <t>Dépose d'accessoire d'assainissement</t>
  </si>
  <si>
    <t>13.2</t>
  </si>
  <si>
    <t>FOURNITURE ET POSE D'EQUIPEMENTS</t>
  </si>
  <si>
    <t>Fourniture et pose de tampon fonte de classe D400 articulé</t>
  </si>
  <si>
    <t>13.2.1.1</t>
  </si>
  <si>
    <t>Tampon fonte ductile articulé classe D400 ouverture libre Ø 600 mm</t>
  </si>
  <si>
    <t>13.2.1.1.1</t>
  </si>
  <si>
    <t>A cadre circulaire</t>
  </si>
  <si>
    <t>13.2.1.1.2</t>
  </si>
  <si>
    <t>A cadre carré</t>
  </si>
  <si>
    <t>13.2.1.2</t>
  </si>
  <si>
    <t>Tampon fonte ductile articulé classe D400 ouverture libre Ø 700 mm</t>
  </si>
  <si>
    <t>13.2.1.2.1</t>
  </si>
  <si>
    <t>13.2.1.2.2</t>
  </si>
  <si>
    <t>13.2.1.3</t>
  </si>
  <si>
    <t>Tampon fonte ductile articulé classe D400 ouverture libre Ø 800 mm</t>
  </si>
  <si>
    <t>13.2.1.3.1</t>
  </si>
  <si>
    <t>13.2.1.3.2</t>
  </si>
  <si>
    <t xml:space="preserve">Fourniture et pose de tampon fonte de classe C250 </t>
  </si>
  <si>
    <t>13.2.2.1</t>
  </si>
  <si>
    <t>Tampon fonte ductile articulé classe C250 ouverture Ø 600 mm</t>
  </si>
  <si>
    <t>13.2.2.2</t>
  </si>
  <si>
    <t>Tampon fonte ductile non articulé classe C250 ouverture Ø 600 mm</t>
  </si>
  <si>
    <t>13.2.2.3</t>
  </si>
  <si>
    <t>Tampon fonte ductile articulé classe C250 ouverture Ø 800 mm</t>
  </si>
  <si>
    <t>13.2.2.4</t>
  </si>
  <si>
    <t>Tampon fonte ductile non articulé classe C250 ouverture Ø 800 mm</t>
  </si>
  <si>
    <t>Fourniture et pose de tampon fonte sur boîte de branchement</t>
  </si>
  <si>
    <t>13.2.3.1</t>
  </si>
  <si>
    <t>Tampon à fermeture hydraulique 300 x 300 mm ouverture minimale 230 mm Classe B125</t>
  </si>
  <si>
    <t>13.2.3.2</t>
  </si>
  <si>
    <t>Tampon à fermeture hydraulique 415 x 415  mm ouverture minimale 300 mm Classe B125</t>
  </si>
  <si>
    <t>13.2.3.3</t>
  </si>
  <si>
    <t>Tampon à fermeture hydraulique 520 x 520 mm ouverture minimale 400 mm Classe B125</t>
  </si>
  <si>
    <t>13.2.3.4</t>
  </si>
  <si>
    <t>Tampon  à fermeture hydraulique 600 x 600 mm ouverture minimale 500 mm Classe B125</t>
  </si>
  <si>
    <t>13.2.3.5</t>
  </si>
  <si>
    <r>
      <t xml:space="preserve">Tampon à fermeture hydraulique </t>
    </r>
    <r>
      <rPr>
        <sz val="10"/>
        <rFont val="Calibri"/>
        <family val="2"/>
      </rPr>
      <t xml:space="preserve">Ø </t>
    </r>
    <r>
      <rPr>
        <sz val="10"/>
        <rFont val="Arial"/>
        <family val="2"/>
      </rPr>
      <t>360 mm ouverture minimale 220 mm Classe C250</t>
    </r>
  </si>
  <si>
    <t>13.2.3.6</t>
  </si>
  <si>
    <t>Tampon à fermeture hydraulique 450 x 430 mm ouverture minimale 300 mm Classe C250</t>
  </si>
  <si>
    <t>13.2.3.7</t>
  </si>
  <si>
    <t>Tampon à fermeture hydraulique 550 x 530 mm ouverture minimale 400 mm Classe C250</t>
  </si>
  <si>
    <t>13.2.3.8</t>
  </si>
  <si>
    <t>Tampon à fermeture hydraulique 650 x 630 ouverture minimale 500 mm Classe C250</t>
  </si>
  <si>
    <t>Fourniture et pose de tampon fonte sur tabouret de branchement</t>
  </si>
  <si>
    <t>13.2.4.1</t>
  </si>
  <si>
    <t>Tampon articulé classe C250 sur tabouret Ø 250 mm</t>
  </si>
  <si>
    <t>13.2.4.2</t>
  </si>
  <si>
    <t>Tampon articulé classe C250 sur tabouret Ø 315 mm</t>
  </si>
  <si>
    <t>13.2.4.3</t>
  </si>
  <si>
    <t>Tampon articulé classe C250 sur tabouret Ø 400 mm</t>
  </si>
  <si>
    <t>Fourniture et pose de couverture d'éléments de bouche d'avaloir</t>
  </si>
  <si>
    <t>13.2.5.1</t>
  </si>
  <si>
    <t>Fourniture et pose de couronnement en béton armé préfabriqué</t>
  </si>
  <si>
    <t>13.2.5.2</t>
  </si>
  <si>
    <t>Fourniture et pose de couronnement en granit</t>
  </si>
  <si>
    <t>13.2.5.3</t>
  </si>
  <si>
    <t>Fourniture et pose de bavettes en béton armé préfabriqué</t>
  </si>
  <si>
    <t>13.2.5.4</t>
  </si>
  <si>
    <t>Fourniture et pose de bavettes en granit</t>
  </si>
  <si>
    <t>13.2.5.5</t>
  </si>
  <si>
    <t>Fourniture et pose de grille avaloir type SELECTA 500</t>
  </si>
  <si>
    <t>13.2.5.5.1</t>
  </si>
  <si>
    <t>Profil A classe C250</t>
  </si>
  <si>
    <t>13.2.5.5.2</t>
  </si>
  <si>
    <t>Profil A classe D400</t>
  </si>
  <si>
    <t>13.2.5.5.3</t>
  </si>
  <si>
    <t>Profil T classe C250</t>
  </si>
  <si>
    <t>13.2.5.5.4</t>
  </si>
  <si>
    <t>Profil T classe D400</t>
  </si>
  <si>
    <t>13.2.5.6</t>
  </si>
  <si>
    <t>Fourniture et pose de grille avaloir type SELECTA maxi</t>
  </si>
  <si>
    <t>13.2.5.6.1</t>
  </si>
  <si>
    <t>13.2.5.6.2</t>
  </si>
  <si>
    <t>13.2.5.6.3</t>
  </si>
  <si>
    <t>13.2.5.6.4</t>
  </si>
  <si>
    <t>Fourniture et pose d'un clapet anti-odeur DN300 dans un avaloir ou une grille</t>
  </si>
  <si>
    <t>Fourniture et pose de grille fonte verrouillable plate ou concave classe C250</t>
  </si>
  <si>
    <t>13.2.7.1</t>
  </si>
  <si>
    <t>Ouverture 320 x 320 mm</t>
  </si>
  <si>
    <t>13.2.7.2</t>
  </si>
  <si>
    <t>Ouverture 420 x 420 mm</t>
  </si>
  <si>
    <t>13.2.7.3</t>
  </si>
  <si>
    <t>Ouverture 520 x 520 mm</t>
  </si>
  <si>
    <t>13.2.7.4</t>
  </si>
  <si>
    <t>Ouverture 620 x 620 mm</t>
  </si>
  <si>
    <t>13.2.7.5</t>
  </si>
  <si>
    <t>Ouverture 720 x 720 mm</t>
  </si>
  <si>
    <t>13.2.7.6</t>
  </si>
  <si>
    <t>Ouverture 750 x 300 mm</t>
  </si>
  <si>
    <t>13.2.7.7</t>
  </si>
  <si>
    <t>Ouverture 820 x 820 mm</t>
  </si>
  <si>
    <t>Fourniture et pose de caniveau à grille</t>
  </si>
  <si>
    <t>13.2.8.1</t>
  </si>
  <si>
    <t>Caniveau largeur 0,10 m type Acodrain</t>
  </si>
  <si>
    <t>13.2.8.2</t>
  </si>
  <si>
    <t>Caniveau largeur 0,15 m type Acodrain</t>
  </si>
  <si>
    <t>13.2.8.3</t>
  </si>
  <si>
    <t>Caniveau largeur 0,20 m type Acodrain</t>
  </si>
  <si>
    <t>13.2.8.4</t>
  </si>
  <si>
    <r>
      <t xml:space="preserve">Caniveau type M ou I largeur 0,10 m, hauteur </t>
    </r>
    <r>
      <rPr>
        <sz val="10"/>
        <rFont val="Calibri"/>
        <family val="2"/>
      </rPr>
      <t>≤</t>
    </r>
    <r>
      <rPr>
        <sz val="10"/>
        <rFont val="Arial"/>
        <family val="2"/>
      </rPr>
      <t xml:space="preserve"> 0,15 m classe C250 ou D400</t>
    </r>
  </si>
  <si>
    <t>13.2.8.5</t>
  </si>
  <si>
    <r>
      <t xml:space="preserve">Caniveau type M ou I largeur 0,15 m, hauteur </t>
    </r>
    <r>
      <rPr>
        <sz val="10"/>
        <rFont val="Calibri"/>
        <family val="2"/>
      </rPr>
      <t>≤</t>
    </r>
    <r>
      <rPr>
        <sz val="10"/>
        <rFont val="Arial"/>
        <family val="2"/>
      </rPr>
      <t xml:space="preserve"> 0,20 m classe C250 ou D400</t>
    </r>
  </si>
  <si>
    <t>13.2.8.6</t>
  </si>
  <si>
    <r>
      <t xml:space="preserve">Caniveau type M ou I largeur 0,20 m, hauteur </t>
    </r>
    <r>
      <rPr>
        <sz val="10"/>
        <rFont val="Calibri"/>
        <family val="2"/>
      </rPr>
      <t>≤</t>
    </r>
    <r>
      <rPr>
        <sz val="10"/>
        <rFont val="Arial"/>
        <family val="2"/>
      </rPr>
      <t xml:space="preserve"> 0,30 m classe C250 ou D400</t>
    </r>
  </si>
  <si>
    <t>13.2.8.7</t>
  </si>
  <si>
    <r>
      <t xml:space="preserve">Caniveau type M ou I largeur 0,25 m, hauteur </t>
    </r>
    <r>
      <rPr>
        <sz val="10"/>
        <rFont val="Calibri"/>
        <family val="2"/>
      </rPr>
      <t>≤</t>
    </r>
    <r>
      <rPr>
        <sz val="10"/>
        <rFont val="Arial"/>
        <family val="2"/>
      </rPr>
      <t xml:space="preserve"> 0,30 m classe C250 ou D400</t>
    </r>
  </si>
  <si>
    <t>Fourniture et pose de gargouille sous trottoir</t>
  </si>
  <si>
    <t>13.2.9.1</t>
  </si>
  <si>
    <t>Dépose et repose de gargouille existante</t>
  </si>
  <si>
    <t>13.2.9.2</t>
  </si>
  <si>
    <t>Fourniture et pose de tête/sabot de gargouille en fonte profil A</t>
  </si>
  <si>
    <t>13.2.9.3</t>
  </si>
  <si>
    <t>Fourniture et pose de tête/sabot de gargouille en fonte profil T</t>
  </si>
  <si>
    <t>13.2.9.4</t>
  </si>
  <si>
    <t>Fourniture et pose de gargouille plate</t>
  </si>
  <si>
    <t>13.2.9.5</t>
  </si>
  <si>
    <t>Fourniture et pose de canalisation en fonte DN80/100</t>
  </si>
  <si>
    <t>13.2.9.6</t>
  </si>
  <si>
    <t>Fourniture et pose de canalisation en PVC DN80/100</t>
  </si>
  <si>
    <t>13.2.9.7</t>
  </si>
  <si>
    <t>Fourniture et pose de canalisation en acier DN80/100</t>
  </si>
  <si>
    <t>13.2.9.8</t>
  </si>
  <si>
    <t>Fourniture et pose de raccord entre la descente de gouttière et la canalisation sous trottoir DN80/100</t>
  </si>
  <si>
    <t>13.2.9.9</t>
  </si>
  <si>
    <t>Fourniture et pose de boîte 20x20 cm (y compris tampon fonte C250 adapté)</t>
  </si>
  <si>
    <t>Fourniture et pose d'équipements de sécurité</t>
  </si>
  <si>
    <t>13.2.10.1</t>
  </si>
  <si>
    <t>Fourniture et pose d'échelon</t>
  </si>
  <si>
    <t>13.2.10.2</t>
  </si>
  <si>
    <t>Fourniture et pose d'échelle</t>
  </si>
  <si>
    <t>13.2.10.3</t>
  </si>
  <si>
    <t>Fourniture et pose de crosse</t>
  </si>
  <si>
    <t>13.2.10.4</t>
  </si>
  <si>
    <t>Fourniture et pose d'accessoire d'assainissement en acier galvanisé</t>
  </si>
  <si>
    <t>SOUS TOTAL EQUIPEMENT</t>
  </si>
  <si>
    <t>POSTE DE POMPAGE ET REFOULEMENT</t>
  </si>
  <si>
    <t>14.1</t>
  </si>
  <si>
    <t>CHAMBRE DE POMPAGE</t>
  </si>
  <si>
    <t>14.1.1</t>
  </si>
  <si>
    <t>Chambre de pompage de diamètre intérieur Ø 1500 mm</t>
  </si>
  <si>
    <t>14.1.1.1</t>
  </si>
  <si>
    <t>Elément de fond</t>
  </si>
  <si>
    <t>14.1.1.2</t>
  </si>
  <si>
    <t>Eléments de réhausse</t>
  </si>
  <si>
    <t>14.1.1.3</t>
  </si>
  <si>
    <t>Dalle de couverture</t>
  </si>
  <si>
    <t>14.1.2</t>
  </si>
  <si>
    <t>Chambre de pompage de diamètre intérieur Ø 1600 mm</t>
  </si>
  <si>
    <t>14.1.2.1</t>
  </si>
  <si>
    <t>14.1.2.2</t>
  </si>
  <si>
    <t>14.1.2.3</t>
  </si>
  <si>
    <t>14.1.3</t>
  </si>
  <si>
    <t>Chambre de pompage de diamètre intérieur Ø 1800 mm</t>
  </si>
  <si>
    <t>14.1.3.1</t>
  </si>
  <si>
    <t>14.1.3.2</t>
  </si>
  <si>
    <t>14.1.3.3</t>
  </si>
  <si>
    <t>14.1.4</t>
  </si>
  <si>
    <t>Chambre de pompage de diamètre intérieur Ø 2000 mm</t>
  </si>
  <si>
    <t>14.1.4.1</t>
  </si>
  <si>
    <t>14.1.4.2</t>
  </si>
  <si>
    <t>14.1.4.3</t>
  </si>
  <si>
    <t>14.1.5</t>
  </si>
  <si>
    <t>Chambre de pompage de diamètre intérieur Ø 2500 mm</t>
  </si>
  <si>
    <t>14.1.5.1</t>
  </si>
  <si>
    <t>14.1.5.2</t>
  </si>
  <si>
    <t>14.1.5.3</t>
  </si>
  <si>
    <t>14.1.6</t>
  </si>
  <si>
    <t>Chambre de pompage de diamètre intérieur Ø 3000 mm</t>
  </si>
  <si>
    <t>14.1.6.1</t>
  </si>
  <si>
    <t>14.1.6.2</t>
  </si>
  <si>
    <t>14.1.6.3</t>
  </si>
  <si>
    <t>14.2</t>
  </si>
  <si>
    <t>CHAMBRE DE VANNE</t>
  </si>
  <si>
    <t>14.2.1</t>
  </si>
  <si>
    <t>Chambre de vanne de dimensions intérieures 1000 x 1500 mm</t>
  </si>
  <si>
    <t>14.2.1.1</t>
  </si>
  <si>
    <t>14.2.1.2</t>
  </si>
  <si>
    <t>14.2.1.3</t>
  </si>
  <si>
    <t>14.2.2</t>
  </si>
  <si>
    <t>Chambre de vanne de dimensions intérieures 1000 x 2000 mm</t>
  </si>
  <si>
    <t>14.2.2.1</t>
  </si>
  <si>
    <t>14.2.2.2</t>
  </si>
  <si>
    <t>14.2.2.3</t>
  </si>
  <si>
    <t>14.2.3</t>
  </si>
  <si>
    <t>Chambre de vanne de dimensions intérieures 1500 x 2000 mm</t>
  </si>
  <si>
    <t>14.2.3.1</t>
  </si>
  <si>
    <t>14.2.3.2</t>
  </si>
  <si>
    <t>14.2.3.3</t>
  </si>
  <si>
    <t>14.2.4</t>
  </si>
  <si>
    <t>Chambre de vanne de dimensions intérieures 1500 x 2500 mm</t>
  </si>
  <si>
    <t>14.2.4.1</t>
  </si>
  <si>
    <t>14.2.4.2</t>
  </si>
  <si>
    <t>14.2.4.3</t>
  </si>
  <si>
    <t>14.2.5</t>
  </si>
  <si>
    <t>Chambre de vanne de dimensions intérieures 1500 x 3000 mm</t>
  </si>
  <si>
    <t>14.2.5.1</t>
  </si>
  <si>
    <t>14.2.5.2</t>
  </si>
  <si>
    <t>14.2.5.3</t>
  </si>
  <si>
    <t>14.2.6</t>
  </si>
  <si>
    <t>Chambre de vanne de dimensions intérieures 2000 x 3000 mm</t>
  </si>
  <si>
    <t>14.2.6.1</t>
  </si>
  <si>
    <t>14.2.6.2</t>
  </si>
  <si>
    <t>14.2.6.3</t>
  </si>
  <si>
    <t>14.2.7</t>
  </si>
  <si>
    <t>Chambre de vanne de dimensions intérieures 2000 x 3500 mm</t>
  </si>
  <si>
    <t>14.2.7.1</t>
  </si>
  <si>
    <t>14.2.7.2</t>
  </si>
  <si>
    <t>14.2.7.3</t>
  </si>
  <si>
    <t>14.3</t>
  </si>
  <si>
    <t>POMPES ET ACCESSOIRES</t>
  </si>
  <si>
    <t>14.3.1</t>
  </si>
  <si>
    <r>
      <t xml:space="preserve">Pompe de puissance P </t>
    </r>
    <r>
      <rPr>
        <sz val="10"/>
        <rFont val="Calibri"/>
        <family val="2"/>
      </rPr>
      <t>≤</t>
    </r>
    <r>
      <rPr>
        <sz val="10"/>
        <rFont val="Arial"/>
        <family val="2"/>
      </rPr>
      <t xml:space="preserve"> 1,5 KW</t>
    </r>
  </si>
  <si>
    <t>14.3.2</t>
  </si>
  <si>
    <r>
      <t xml:space="preserve">Pompe de puissance 1,5 KW &lt; P </t>
    </r>
    <r>
      <rPr>
        <sz val="10"/>
        <rFont val="Calibri"/>
        <family val="2"/>
      </rPr>
      <t>≤</t>
    </r>
    <r>
      <rPr>
        <sz val="10"/>
        <rFont val="Arial"/>
        <family val="2"/>
      </rPr>
      <t xml:space="preserve"> 3 KW</t>
    </r>
  </si>
  <si>
    <t>14.3.3</t>
  </si>
  <si>
    <r>
      <t xml:space="preserve">Pompe de puissance 3 KW &lt; P </t>
    </r>
    <r>
      <rPr>
        <sz val="10"/>
        <rFont val="Calibri"/>
        <family val="2"/>
      </rPr>
      <t>≤</t>
    </r>
    <r>
      <rPr>
        <sz val="10"/>
        <rFont val="Arial"/>
        <family val="2"/>
      </rPr>
      <t xml:space="preserve"> 5 KW</t>
    </r>
  </si>
  <si>
    <t>14.3.4</t>
  </si>
  <si>
    <r>
      <t xml:space="preserve">Pompe de puissance 5 KW &lt; P </t>
    </r>
    <r>
      <rPr>
        <sz val="10"/>
        <rFont val="Calibri"/>
        <family val="2"/>
      </rPr>
      <t>≤</t>
    </r>
    <r>
      <rPr>
        <sz val="10"/>
        <rFont val="Arial"/>
        <family val="2"/>
      </rPr>
      <t xml:space="preserve"> 7,5 KW</t>
    </r>
  </si>
  <si>
    <t>14.3.5</t>
  </si>
  <si>
    <r>
      <t xml:space="preserve">Pompe de puissance 7,5 KW &lt; P </t>
    </r>
    <r>
      <rPr>
        <sz val="10"/>
        <rFont val="Calibri"/>
        <family val="2"/>
      </rPr>
      <t>≤</t>
    </r>
    <r>
      <rPr>
        <sz val="10"/>
        <rFont val="Arial"/>
        <family val="2"/>
      </rPr>
      <t xml:space="preserve"> 10 KW</t>
    </r>
  </si>
  <si>
    <t>14.4</t>
  </si>
  <si>
    <t>TUYAUX ET ACCESSOIRES DANS LA CHAMBRE DE POMPAGE</t>
  </si>
  <si>
    <t>14.4.1</t>
  </si>
  <si>
    <t>Tuyau PEHD et accessoires PN10</t>
  </si>
  <si>
    <t>14.4.1.1</t>
  </si>
  <si>
    <t>Tuyaux diamètre Ø ≤ 100 mm</t>
  </si>
  <si>
    <t>14.4.1.2</t>
  </si>
  <si>
    <t>Tuyaux diamètre Ø ≤ 150 mm</t>
  </si>
  <si>
    <t>14.4.1.3</t>
  </si>
  <si>
    <t>Tuyaux diamètre Ø ≤ 200 mm</t>
  </si>
  <si>
    <t>14.4.1.4</t>
  </si>
  <si>
    <t>Tuyaux diamètre Ø ≤ 315 mm</t>
  </si>
  <si>
    <t>14.4.2</t>
  </si>
  <si>
    <t>Tuyau PEHD et accessoires PN16</t>
  </si>
  <si>
    <t>14.4.2.1</t>
  </si>
  <si>
    <t>14.4.2.2</t>
  </si>
  <si>
    <t>14.4.2.3</t>
  </si>
  <si>
    <t>14.4.2.4</t>
  </si>
  <si>
    <t>14.4.3</t>
  </si>
  <si>
    <t>Tuyau PVC et accessoires PN10</t>
  </si>
  <si>
    <t>14.4.3.1</t>
  </si>
  <si>
    <t>14.4.3.2</t>
  </si>
  <si>
    <t>14.4.3.3</t>
  </si>
  <si>
    <t>14.4.3.4</t>
  </si>
  <si>
    <t>14.4.4</t>
  </si>
  <si>
    <t>Tuyau PVC et accessoires PN16</t>
  </si>
  <si>
    <t>14.4.4.1</t>
  </si>
  <si>
    <t>14.4.4.2</t>
  </si>
  <si>
    <t>14.4.4.3</t>
  </si>
  <si>
    <t>14.4.4.4</t>
  </si>
  <si>
    <t>14.4.5</t>
  </si>
  <si>
    <t>Tuyau en acier galvanisé et accessoires PN10</t>
  </si>
  <si>
    <t>14.4.5.1</t>
  </si>
  <si>
    <t>14.4.5.2</t>
  </si>
  <si>
    <t>14.4.5.3</t>
  </si>
  <si>
    <t>14.4.5.4</t>
  </si>
  <si>
    <t>14.4.6</t>
  </si>
  <si>
    <t>Tuyau en acier galvanisé et accessoires PN16</t>
  </si>
  <si>
    <t>14.4.6.1</t>
  </si>
  <si>
    <t>14.4.6.2</t>
  </si>
  <si>
    <t>14.4.6.3</t>
  </si>
  <si>
    <t>14.4.6.4</t>
  </si>
  <si>
    <t>14.5</t>
  </si>
  <si>
    <t>TUYAUX DE REFOULEMENT EN TRANCHEE</t>
  </si>
  <si>
    <t>14.5.1</t>
  </si>
  <si>
    <t>14.5.1.1</t>
  </si>
  <si>
    <t>14.5.1.2</t>
  </si>
  <si>
    <t>14.5.1.3</t>
  </si>
  <si>
    <t>14.5.1.4</t>
  </si>
  <si>
    <t>14.5.1.5</t>
  </si>
  <si>
    <t>Tuyaux diamètre Ø ≤ 400 mm</t>
  </si>
  <si>
    <t>14.5.2</t>
  </si>
  <si>
    <t>14.5.2.1</t>
  </si>
  <si>
    <t>14.5.2.2</t>
  </si>
  <si>
    <t>14.5.2.3</t>
  </si>
  <si>
    <t>14.5.2.4</t>
  </si>
  <si>
    <t>14.5.2.5</t>
  </si>
  <si>
    <t>14.5.3</t>
  </si>
  <si>
    <t>14.5.3.1</t>
  </si>
  <si>
    <t>14.5.3.2</t>
  </si>
  <si>
    <t>14.5.3.3</t>
  </si>
  <si>
    <t>14.5.3.4</t>
  </si>
  <si>
    <t>14.5.3.5</t>
  </si>
  <si>
    <t>14.5.4</t>
  </si>
  <si>
    <t>14.5.4.1</t>
  </si>
  <si>
    <t>14.5.4.2</t>
  </si>
  <si>
    <t>14.5.4.3</t>
  </si>
  <si>
    <t>14.5.4.4</t>
  </si>
  <si>
    <t>14.5.4.5</t>
  </si>
  <si>
    <t>14.5.5</t>
  </si>
  <si>
    <t>Tuyau en Fonte et accessoires PN10</t>
  </si>
  <si>
    <t>14.5.5.1</t>
  </si>
  <si>
    <t>14.5.5.2</t>
  </si>
  <si>
    <t>14.5.5.3</t>
  </si>
  <si>
    <t>14.5.5.4</t>
  </si>
  <si>
    <t>Tuyaux diamètre Ø ≤ 300 mm</t>
  </si>
  <si>
    <t>14.5.5.5</t>
  </si>
  <si>
    <t>14.5.6</t>
  </si>
  <si>
    <t>Tuyau en Fonte et accessoires PN16</t>
  </si>
  <si>
    <t>14.5.6.1</t>
  </si>
  <si>
    <t>14.5.6.2</t>
  </si>
  <si>
    <t>14.5.6.3</t>
  </si>
  <si>
    <t>14.5.6.4</t>
  </si>
  <si>
    <t>14.5.6.5</t>
  </si>
  <si>
    <t>14.6</t>
  </si>
  <si>
    <t>CLAPETS ET VANNES</t>
  </si>
  <si>
    <t>14.6.1</t>
  </si>
  <si>
    <t>Clapets anti-retour à boule sur tuyau de refoulement PN10</t>
  </si>
  <si>
    <t>14.6.1.1</t>
  </si>
  <si>
    <t>Sur tuyaux de diamètre Ø ≤ 100 mm</t>
  </si>
  <si>
    <t>14.6.1.2</t>
  </si>
  <si>
    <t>Sur tuyau diamètre Ø ≤ 150 mm</t>
  </si>
  <si>
    <t>14.6.1.3</t>
  </si>
  <si>
    <t>Sur tuyau de diamètre Ø ≤ 200 mm</t>
  </si>
  <si>
    <t>14.6.1.4</t>
  </si>
  <si>
    <t>Sur tuyau de diamètre Ø ≤ 315 mm</t>
  </si>
  <si>
    <t>14.6.1.5</t>
  </si>
  <si>
    <t>Sur tuyau de diamètre Ø ≤ 400 mm</t>
  </si>
  <si>
    <t>14.6.2</t>
  </si>
  <si>
    <t>Clapets anti-retour à boule sur tuyau de refoulement PN16</t>
  </si>
  <si>
    <t>14.6.2.1</t>
  </si>
  <si>
    <t>Sur tuyaux de diamètre Ø ≤ 100mm</t>
  </si>
  <si>
    <t>14.6.2.2</t>
  </si>
  <si>
    <t>Sur tuyau diamètre Ø ≤ 150mm</t>
  </si>
  <si>
    <t>14.6.2.3</t>
  </si>
  <si>
    <t>Sur tuyau de diamètre Ø ≤ 200mm</t>
  </si>
  <si>
    <t>14.6.2.4</t>
  </si>
  <si>
    <t>Sur tuyau de diamètre Ø ≤ 315mm</t>
  </si>
  <si>
    <t>14.6.2.5</t>
  </si>
  <si>
    <t>14.6.3</t>
  </si>
  <si>
    <t>Clapets anti-retour à battant sur tuyau de refoulement PN10</t>
  </si>
  <si>
    <t>14.6.3.1</t>
  </si>
  <si>
    <t>14.6.3.2</t>
  </si>
  <si>
    <t>14.6.3.3</t>
  </si>
  <si>
    <t>14.6.3.4</t>
  </si>
  <si>
    <t>14.6.3.5</t>
  </si>
  <si>
    <t>14.6.4</t>
  </si>
  <si>
    <t>Clapets anti-retour à battant sur tuyau de refoulement PN16</t>
  </si>
  <si>
    <t>14.6.4.1</t>
  </si>
  <si>
    <t>14.6.4.2</t>
  </si>
  <si>
    <t>14.6.4.3</t>
  </si>
  <si>
    <t>14.6.4.4</t>
  </si>
  <si>
    <t>14.6.4.5</t>
  </si>
  <si>
    <t>14.6.5</t>
  </si>
  <si>
    <t>Vannes d’isolement sur tuyau de refoulement PN10</t>
  </si>
  <si>
    <t>14.6.5.1</t>
  </si>
  <si>
    <t>14.6.5.2</t>
  </si>
  <si>
    <t>14.6.5.3</t>
  </si>
  <si>
    <t>14.6.5.4</t>
  </si>
  <si>
    <t>14.6.5.5</t>
  </si>
  <si>
    <t>14.6.6</t>
  </si>
  <si>
    <t>Vannes d’isolement sur tuyau de refoulement PN16</t>
  </si>
  <si>
    <t>14.6.6.1</t>
  </si>
  <si>
    <t>14.6.6.2</t>
  </si>
  <si>
    <t>14.6.6.3</t>
  </si>
  <si>
    <t>14.6.6.4</t>
  </si>
  <si>
    <t>14.6.6.5</t>
  </si>
  <si>
    <t>14.6.7</t>
  </si>
  <si>
    <t>Vannes de sectionnement en entrée de poste / chambre de pompage (y compris tube de guidage et bouche à clé)</t>
  </si>
  <si>
    <t>14.6.7.1</t>
  </si>
  <si>
    <t>Vanne DN200</t>
  </si>
  <si>
    <t>14.6.7.2</t>
  </si>
  <si>
    <t>Vanne DN300</t>
  </si>
  <si>
    <t>14.6.7.3</t>
  </si>
  <si>
    <t>Vanne DN400</t>
  </si>
  <si>
    <t>14.6.7.4</t>
  </si>
  <si>
    <t>Vanne DN500</t>
  </si>
  <si>
    <t>14.6.7.5</t>
  </si>
  <si>
    <t>Vanne DN600</t>
  </si>
  <si>
    <t>14.7</t>
  </si>
  <si>
    <t>PANNIER DEGRILLEUR EN ENTREE DE POSTE</t>
  </si>
  <si>
    <t>14.7.1</t>
  </si>
  <si>
    <t>Panier dégrilleur en entrée de poste pour canalisation d'alimentation de diamètre Ø ≤ 300 mm</t>
  </si>
  <si>
    <t>14.7.2</t>
  </si>
  <si>
    <t>Panier dégrilleur en entrée de poste pour canalisation d'alimentation de diamètre 300 mm &lt; Ø ≤ 500 mm</t>
  </si>
  <si>
    <t>14.7.3</t>
  </si>
  <si>
    <t>Panier dégrilleur en entrée de poste pour canalisation d'alimentation de diamètre 500 mm &lt; Ø ≤ 600 mm</t>
  </si>
  <si>
    <t>14.8</t>
  </si>
  <si>
    <t>METROLOGIE</t>
  </si>
  <si>
    <t>14.8.1</t>
  </si>
  <si>
    <t>Poire de niveau</t>
  </si>
  <si>
    <t>14.8.2</t>
  </si>
  <si>
    <t>Capteur de hauteur</t>
  </si>
  <si>
    <t>14.8.2.1</t>
  </si>
  <si>
    <t>Sonde de hauteur de type piézométrique</t>
  </si>
  <si>
    <t>14.8.2.2</t>
  </si>
  <si>
    <t>Sonde de hauteur de type ultra-son</t>
  </si>
  <si>
    <t>14.8.3</t>
  </si>
  <si>
    <t>Détecteur de gaz</t>
  </si>
  <si>
    <t>14.8.4</t>
  </si>
  <si>
    <t>Débitmètre</t>
  </si>
  <si>
    <t>14.9</t>
  </si>
  <si>
    <t>EQUIPEMENTS ELECTRIQUES ET CABLAGE</t>
  </si>
  <si>
    <t>14.9.1</t>
  </si>
  <si>
    <t>Armoire de commande</t>
  </si>
  <si>
    <t>14.9.1.1</t>
  </si>
  <si>
    <t>Pour groupe de pompage de puissance P ≤ 1,5 KW</t>
  </si>
  <si>
    <t>14.9.1.2</t>
  </si>
  <si>
    <t>Pour groupe de pompage de puissance 1,5 KW &lt; P ≤ 3 KW</t>
  </si>
  <si>
    <t>14.9.1.3</t>
  </si>
  <si>
    <t>Pour groupe de pompage de puissance 3 KW &lt; P ≤ 5 KW</t>
  </si>
  <si>
    <t>14.9.1.4</t>
  </si>
  <si>
    <t>Pour groupe de pompage de puissance 5 KW &lt; P ≤ 7,5 KW</t>
  </si>
  <si>
    <t>14.9.1.5</t>
  </si>
  <si>
    <t>Pour groupe de pompage de puissance 7,5 KW &lt; P ≤ 10 KW</t>
  </si>
  <si>
    <t>14.9.2</t>
  </si>
  <si>
    <t>Raccordement EDF</t>
  </si>
  <si>
    <t>14.9.3</t>
  </si>
  <si>
    <t>Câble BT</t>
  </si>
  <si>
    <t>14.9.3.1</t>
  </si>
  <si>
    <t>Câble 4x25² cuivre</t>
  </si>
  <si>
    <t>14.9.3.2</t>
  </si>
  <si>
    <t>Câble 4x35² ALU</t>
  </si>
  <si>
    <t>14.9.3.3</t>
  </si>
  <si>
    <t>Câble 4x35² cuivre</t>
  </si>
  <si>
    <t>14.9.4</t>
  </si>
  <si>
    <t>Câble Puissance</t>
  </si>
  <si>
    <t>14.9.4.1</t>
  </si>
  <si>
    <t>Câble 4x1,5mm²</t>
  </si>
  <si>
    <t>14.9.4.2</t>
  </si>
  <si>
    <t>Câble 4x2,5mm²</t>
  </si>
  <si>
    <t>14.9.4.3</t>
  </si>
  <si>
    <t>Câble 4x4mm²</t>
  </si>
  <si>
    <t>14.9.4.4</t>
  </si>
  <si>
    <t>Câble 4x6mm²</t>
  </si>
  <si>
    <t>14.9.4.5</t>
  </si>
  <si>
    <t>Câble 4x10mm²</t>
  </si>
  <si>
    <t>14.9.4.6</t>
  </si>
  <si>
    <t>Câble 4x16mm²</t>
  </si>
  <si>
    <t>14.9.5</t>
  </si>
  <si>
    <t>Câble d’information</t>
  </si>
  <si>
    <t>14.10</t>
  </si>
  <si>
    <t>TRAPPES</t>
  </si>
  <si>
    <t>14.10.1</t>
  </si>
  <si>
    <t>Trappes en acier galvanisé</t>
  </si>
  <si>
    <t>14.10.1.1</t>
  </si>
  <si>
    <t>de classe B125</t>
  </si>
  <si>
    <t>14.10.1.2</t>
  </si>
  <si>
    <t>de classe C250</t>
  </si>
  <si>
    <t>14.10.1.3</t>
  </si>
  <si>
    <t>de classe D400</t>
  </si>
  <si>
    <t>14.10.2</t>
  </si>
  <si>
    <t>Trappes en fonte</t>
  </si>
  <si>
    <t>14.10.2.1</t>
  </si>
  <si>
    <t>14.10.2.2</t>
  </si>
  <si>
    <t>14.10.2.3</t>
  </si>
  <si>
    <t>14.11</t>
  </si>
  <si>
    <t>FOURNITURE ET POSE D'UN CAILLEBOTIS</t>
  </si>
  <si>
    <t>SOUS TOTAL POSTE DE POMPAGE ET REFOULEMENT</t>
  </si>
  <si>
    <t>15</t>
  </si>
  <si>
    <t>MISE A SEC</t>
  </si>
  <si>
    <t>15.1</t>
  </si>
  <si>
    <t>MISE A SEC PAR POMPAGE</t>
  </si>
  <si>
    <t>15.1.1</t>
  </si>
  <si>
    <t>Amenée, installation et repli d'un groupe de pompage de puissance inférieure à 10 kW</t>
  </si>
  <si>
    <t>15.1.2</t>
  </si>
  <si>
    <t>Amenée, installation et repli d'un groupe de pompage de puissance comprise entre 10 et 30 kW</t>
  </si>
  <si>
    <t>15.1.3</t>
  </si>
  <si>
    <t>Amenée, installation et repli d'un groupe de pompage de puissance comprise entre 30 et 50 kW</t>
  </si>
  <si>
    <t>15.1.4</t>
  </si>
  <si>
    <t>Location et entretien d'un groupe de pompage de puissance inférieure à 10 kW</t>
  </si>
  <si>
    <t>15.1.5</t>
  </si>
  <si>
    <t>Location et entretien d'un groupe de pompage  de puissance comprise entre 10 et 30 kW</t>
  </si>
  <si>
    <t>15.1.6</t>
  </si>
  <si>
    <t>Location et entretien d'un groupe de pompage de puissance comprise entre 30 et 50 kW</t>
  </si>
  <si>
    <t>15.1.7</t>
  </si>
  <si>
    <t>Fonctionnement d'un groupe de pompage de puissance inférieure à 10 kW</t>
  </si>
  <si>
    <t>15.1.8</t>
  </si>
  <si>
    <t>Fonctionnement d'un groupe de pompage de puissance comprise entre 10 et 30 kW</t>
  </si>
  <si>
    <t>15.1.9</t>
  </si>
  <si>
    <t>Fonctionnement d'un groupe de pompage de puissance comprise entre 30 et 50 kW</t>
  </si>
  <si>
    <t>15.1.10</t>
  </si>
  <si>
    <t>Tuyau de refoulement pour groupe de pompage provisoire</t>
  </si>
  <si>
    <t>15.1.10.1</t>
  </si>
  <si>
    <t>15.1.10.2</t>
  </si>
  <si>
    <t>15.1.10.3</t>
  </si>
  <si>
    <t>15.2</t>
  </si>
  <si>
    <t>MISE EN ŒUVRE, ENTRETIEN ET DEPOSE D'UN BARRAGE</t>
  </si>
  <si>
    <t>15.2.1</t>
  </si>
  <si>
    <t>Barrage maçonné</t>
  </si>
  <si>
    <t>15.2.2</t>
  </si>
  <si>
    <t>Barrage à poutrelles</t>
  </si>
  <si>
    <t>15.3</t>
  </si>
  <si>
    <t>AMENEE, MISE EN PLACE ET REPLIEMENT DE BUSAGE</t>
  </si>
  <si>
    <t>15.3.1</t>
  </si>
  <si>
    <r>
      <t xml:space="preserve">Buse de diamètre </t>
    </r>
    <r>
      <rPr>
        <sz val="10"/>
        <rFont val="Symbol"/>
        <family val="1"/>
        <charset val="2"/>
      </rPr>
      <t xml:space="preserve">Æ </t>
    </r>
    <r>
      <rPr>
        <sz val="10"/>
        <rFont val="Arial"/>
        <family val="2"/>
      </rPr>
      <t>200 mm</t>
    </r>
  </si>
  <si>
    <t>15.3.2</t>
  </si>
  <si>
    <r>
      <t xml:space="preserve">Buse de diamètre </t>
    </r>
    <r>
      <rPr>
        <sz val="10"/>
        <rFont val="Symbol"/>
        <family val="1"/>
        <charset val="2"/>
      </rPr>
      <t xml:space="preserve">Æ </t>
    </r>
    <r>
      <rPr>
        <sz val="10"/>
        <rFont val="Arial"/>
        <family val="2"/>
      </rPr>
      <t>300 mm</t>
    </r>
  </si>
  <si>
    <t>15.3.3</t>
  </si>
  <si>
    <r>
      <t xml:space="preserve">Buse de diamètre &gt; </t>
    </r>
    <r>
      <rPr>
        <sz val="10"/>
        <rFont val="Symbol"/>
        <family val="1"/>
        <charset val="2"/>
      </rPr>
      <t xml:space="preserve">Æ </t>
    </r>
    <r>
      <rPr>
        <sz val="10"/>
        <rFont val="Arial"/>
        <family val="2"/>
      </rPr>
      <t>300 mm</t>
    </r>
  </si>
  <si>
    <t>15.4</t>
  </si>
  <si>
    <t>RACCORDEMENT DES BRANCHEMENTS, AVALOIRS ET EGOUTS AFFLUENTS</t>
  </si>
  <si>
    <t>15.4.1</t>
  </si>
  <si>
    <t>Raccordement sur un busage Ø ≤ 300</t>
  </si>
  <si>
    <t>15.4.2</t>
  </si>
  <si>
    <t>Raccordement sur un busage 300 &lt; Ø ≤ 500</t>
  </si>
  <si>
    <t>15.4.3</t>
  </si>
  <si>
    <t>Raccordement sur un busage Ø &gt; 500</t>
  </si>
  <si>
    <t>15.5</t>
  </si>
  <si>
    <t>LOCATION DE BUSAGE</t>
  </si>
  <si>
    <t>15.5.1</t>
  </si>
  <si>
    <t>15.5.2</t>
  </si>
  <si>
    <t>15.5.3</t>
  </si>
  <si>
    <t>15.6</t>
  </si>
  <si>
    <t>DEPLACEMENT DE BUSAGE</t>
  </si>
  <si>
    <t>15.6.1</t>
  </si>
  <si>
    <t>15.6.2</t>
  </si>
  <si>
    <t>15.6.3</t>
  </si>
  <si>
    <t>15.7</t>
  </si>
  <si>
    <t>AMENEE, MISE EN PLACE, LOCATION ET REPLIEMENT D'OBTURATEUR</t>
  </si>
  <si>
    <t>15.7.1</t>
  </si>
  <si>
    <t>Obturateur de diamètre Ø ≤ 200 mm</t>
  </si>
  <si>
    <t>15.7.2</t>
  </si>
  <si>
    <t>Obturateur de diamètre 200 mm &lt; Ø ≤ 400 mm</t>
  </si>
  <si>
    <t>15.7.3</t>
  </si>
  <si>
    <t>Obturateur de diamètre 400 mm &lt; Ø ≤ 600 mm</t>
  </si>
  <si>
    <t>15.7.4</t>
  </si>
  <si>
    <t>Obturateur de diamètre Ø &gt; 600 mm</t>
  </si>
  <si>
    <t>15.8</t>
  </si>
  <si>
    <t>RABATTEMENT DE NAPPE</t>
  </si>
  <si>
    <t>15.8.1</t>
  </si>
  <si>
    <t>Amenée et repli du matériel de rabattement</t>
  </si>
  <si>
    <t>15.8.2</t>
  </si>
  <si>
    <t>Forage et mise en place des pointes filtrantes</t>
  </si>
  <si>
    <t>15.8.3</t>
  </si>
  <si>
    <t>Location et fonctionnement du matériel</t>
  </si>
  <si>
    <t>15.8.4</t>
  </si>
  <si>
    <t>Pose d'un collecteur de surface</t>
  </si>
  <si>
    <t>15.9</t>
  </si>
  <si>
    <t>FOURNITURE ET MISE EN ŒUVRE DE CAILLOUX POUR DRAINAGE</t>
  </si>
  <si>
    <t>15.9.1</t>
  </si>
  <si>
    <t>Gravillons silico-calcaires roulés lavés 4/20</t>
  </si>
  <si>
    <t>15.9.2</t>
  </si>
  <si>
    <t>Cailloux calcaires concassés 20/40</t>
  </si>
  <si>
    <t>15.9.3</t>
  </si>
  <si>
    <t>Cailloux 40/60</t>
  </si>
  <si>
    <t>15.10</t>
  </si>
  <si>
    <t>FOURNITURE ET POSE D'UN REGULATEUR DE DEBIT</t>
  </si>
  <si>
    <t>15.10.1</t>
  </si>
  <si>
    <t>Fourniture et pose d'un régulateur de débit ≤ 5 l/s</t>
  </si>
  <si>
    <t>15.10.2</t>
  </si>
  <si>
    <t>Fourniture et pose d'un régulateur 5 l/s &lt; débit ≤ 10 l/s</t>
  </si>
  <si>
    <t>15.10.3</t>
  </si>
  <si>
    <t>Fourniture et pose d'un régulateur 10 l/s &lt; débit ≤ 15 l/s</t>
  </si>
  <si>
    <t>SOUS TOTAL MISE A SEC</t>
  </si>
  <si>
    <t>16</t>
  </si>
  <si>
    <t>TRAVAUX EN PRESENCE D'AMIANTE</t>
  </si>
  <si>
    <t>16.1</t>
  </si>
  <si>
    <t>MODE OPERATOIRE</t>
  </si>
  <si>
    <t>16.2</t>
  </si>
  <si>
    <t>PLAN DE RETRAIT</t>
  </si>
  <si>
    <t>16.3</t>
  </si>
  <si>
    <t>INSTALLATION ET REPLI DE CHANTIER POUR LA DEPOSE DE TUYAUX CONTENANT DE L'AMIANTE Y COMPRIS EPI, EPC ET CONTROLES</t>
  </si>
  <si>
    <t>16.4</t>
  </si>
  <si>
    <t>LOCATION D'INSTALLATION POUR LA DEPOSE DE TUYAUX CONTENANT DE L'AMIANTE</t>
  </si>
  <si>
    <t>16.5</t>
  </si>
  <si>
    <t>INSTALLATION ET REPLI DE CHANTIER POUR LA DEPOSE D'ENROBE CONTENANT DE L'AMIANTE Y COMPRIS EPI, EPC ET CONTROLES</t>
  </si>
  <si>
    <t>16.6</t>
  </si>
  <si>
    <t>LOCATION D'INSTALLATION POUR LA DEPOSE D'ENROBE CONTENANT DE L'AMIANTE</t>
  </si>
  <si>
    <t>16.7</t>
  </si>
  <si>
    <t>MESURE D'EMPOUSSIEREMENT</t>
  </si>
  <si>
    <t>16.8</t>
  </si>
  <si>
    <t>DEPOSE DE CANALISATION AMIANTEE</t>
  </si>
  <si>
    <t>16.8.1</t>
  </si>
  <si>
    <t>Dépose de canalisation amiantée  Ø ≤ 200mm</t>
  </si>
  <si>
    <t>16.8.2</t>
  </si>
  <si>
    <t>Dépose de canalisation amiantée 200mm &lt; Ø ≤ 400mm</t>
  </si>
  <si>
    <t>16.8.3</t>
  </si>
  <si>
    <t>Dépose de canalisation amiantée 400mm &lt; Ø ≤ 600mm</t>
  </si>
  <si>
    <t>16.8.4</t>
  </si>
  <si>
    <t>Dépose de canalisation amiantée Ø &gt; 600mm</t>
  </si>
  <si>
    <t>16.9</t>
  </si>
  <si>
    <t>DEPOSE D'ENROBE AMIANTE</t>
  </si>
  <si>
    <t>16.9.1</t>
  </si>
  <si>
    <t>Dépose manuelle</t>
  </si>
  <si>
    <t>16.9.2</t>
  </si>
  <si>
    <t>Dépose mécanique</t>
  </si>
  <si>
    <t>16.10</t>
  </si>
  <si>
    <t>INTERVENTION SUR MATERIAUX, EQUIPEMENTS, MATERIELS OU ARTICLES SUSCEPTIBLES DE PROVOQUER L'EMISSION DE FIBRES D'AMIANTE</t>
  </si>
  <si>
    <t>16.11</t>
  </si>
  <si>
    <t>EVACUATION DES CANALISATIONS AMIANTEES</t>
  </si>
  <si>
    <t>16.12</t>
  </si>
  <si>
    <t>EVACUATION DES ENROBES AMIANTES</t>
  </si>
  <si>
    <t>SOUS TOTAL TRAVAUX EN PRESENCE D'AMIANTE</t>
  </si>
  <si>
    <t>FOURNITURE DE MATERIAUX A PIED D'ŒUVRE</t>
  </si>
  <si>
    <t>17.1</t>
  </si>
  <si>
    <t>GRANULATS</t>
  </si>
  <si>
    <t>17.1.1</t>
  </si>
  <si>
    <t>Sables 0/5</t>
  </si>
  <si>
    <t>17.1.2</t>
  </si>
  <si>
    <t>Gravillons 4/8</t>
  </si>
  <si>
    <t>17.1.3</t>
  </si>
  <si>
    <t>Gravillons 4/20</t>
  </si>
  <si>
    <t>17.1.4</t>
  </si>
  <si>
    <t>Cailloux concassés 20/40</t>
  </si>
  <si>
    <t>17.1.5</t>
  </si>
  <si>
    <t>Cailloux concassés 40/60</t>
  </si>
  <si>
    <t>17.2</t>
  </si>
  <si>
    <t>REMBLAIS DE BONNE QUALITE, NON ARGILEUX ET EXEMPT DE GRAVATS</t>
  </si>
  <si>
    <t>17.2.1</t>
  </si>
  <si>
    <t>Grave naturelle 0/31.5</t>
  </si>
  <si>
    <t>17.2.2</t>
  </si>
  <si>
    <t>Grave industrielle 0/31.5</t>
  </si>
  <si>
    <t>17.2.3</t>
  </si>
  <si>
    <t>Grave de béton concassé 0/31.5</t>
  </si>
  <si>
    <t>17.2.4</t>
  </si>
  <si>
    <t>Terres de déblai triées, criblées et traitées à la chaux à 2%</t>
  </si>
  <si>
    <t>17.2.5</t>
  </si>
  <si>
    <t>Terres de déblai triées, criblées et traitées à la chaux à 2% et au ciment à 5%</t>
  </si>
  <si>
    <t>17.3</t>
  </si>
  <si>
    <t>LIANTS HYDRAULIQUES</t>
  </si>
  <si>
    <t>17.3.1</t>
  </si>
  <si>
    <t>Ciment CEM I 52,5 R en sacs de 25 Kg</t>
  </si>
  <si>
    <t>17.3.2</t>
  </si>
  <si>
    <t>Ciment CEM II 32,5 en sacs de 25 Kg</t>
  </si>
  <si>
    <t>17.3.3</t>
  </si>
  <si>
    <t>Ciment CEM III 32,5 R en sacs de 25 Kg</t>
  </si>
  <si>
    <t>17.3.4</t>
  </si>
  <si>
    <t>Ciment Fondu en sacs de 25 Kg</t>
  </si>
  <si>
    <t>17.3.5</t>
  </si>
  <si>
    <t>Ciment sans retrait à prise rapide pour scellement en sac de 25 kg</t>
  </si>
  <si>
    <t>17.4</t>
  </si>
  <si>
    <t>PRODUITS MANUFACTURES</t>
  </si>
  <si>
    <t>17.4.1</t>
  </si>
  <si>
    <t>Parpaings creux en béton de ciment 10/20/50</t>
  </si>
  <si>
    <t>17.4.2</t>
  </si>
  <si>
    <t>Parpaings creux en béton de ciment 15/20/50</t>
  </si>
  <si>
    <t>17.4.3</t>
  </si>
  <si>
    <t>Parpaings creux en béton de ciment 20/20/50</t>
  </si>
  <si>
    <t>17.4.4</t>
  </si>
  <si>
    <t>Parpaings pleins en béton de ciment 10/20/50</t>
  </si>
  <si>
    <t>17.4.5</t>
  </si>
  <si>
    <t>Parpaings pleins en béton de ciment 15/20/50</t>
  </si>
  <si>
    <t>17.4.6</t>
  </si>
  <si>
    <t>Parpaings pleins en béton de ciment 20/20/50</t>
  </si>
  <si>
    <t>17.4.7</t>
  </si>
  <si>
    <t>Briques pleines ordinaires 5,5/11/22</t>
  </si>
  <si>
    <t>17.5</t>
  </si>
  <si>
    <t>DISPOSITIFS DE FERMETURE</t>
  </si>
  <si>
    <t>17.5.1</t>
  </si>
  <si>
    <t>Tampon fonte ductile classe D400 à cadre rond ouverture libre Ø 600</t>
  </si>
  <si>
    <t>17.5.2</t>
  </si>
  <si>
    <t>Tampon fonte ductile classe D400 à cadre carré ouverture libre Ø 600</t>
  </si>
  <si>
    <t>17.5.3</t>
  </si>
  <si>
    <t>Tampon fonte ductile classe D400 à cadre rond ouverture libre Ø 800</t>
  </si>
  <si>
    <t>17.5.4</t>
  </si>
  <si>
    <t>Tampon fonte ductile classe D400 à cadre carré ouverture libre Ø 800</t>
  </si>
  <si>
    <t>17.6</t>
  </si>
  <si>
    <t>CADRE EN BETON ARME</t>
  </si>
  <si>
    <t>17.6.1</t>
  </si>
  <si>
    <t>Fourniture d'un cadre en béton armé de 15 cm d'épaisseur pour trappe circulaire</t>
  </si>
  <si>
    <t>17.6.2</t>
  </si>
  <si>
    <t>Fourniture d'un cadre en béton armé de 20 cm d'épaisseur pour trappe circulaire</t>
  </si>
  <si>
    <t>SOUS TOTAL FOURNITURES DE MATERIAUX A PIED D'ŒUVRE</t>
  </si>
  <si>
    <t>MISE A DISPOSITION DE MAIN D'ŒUVRE</t>
  </si>
  <si>
    <t>18.1</t>
  </si>
  <si>
    <t>MISE A DISPOSITION DE PERSONNEL AVEC PETIT OUTILLAGE, EN SEMAINE ENTRE 8H ET 17H</t>
  </si>
  <si>
    <t>18.1.1</t>
  </si>
  <si>
    <t>Chef de chantier</t>
  </si>
  <si>
    <t>18.1.2</t>
  </si>
  <si>
    <t>Chef d'équipe avec camionnette</t>
  </si>
  <si>
    <t>18.1.3</t>
  </si>
  <si>
    <t>Ouvrier N2 P1 ou N2 P2</t>
  </si>
  <si>
    <t>18.1.4</t>
  </si>
  <si>
    <t>Ouvrier N1 P1 ou N1 P2</t>
  </si>
  <si>
    <t>18.1.5</t>
  </si>
  <si>
    <t>Géomètre</t>
  </si>
  <si>
    <t>18.2</t>
  </si>
  <si>
    <t>MISE A DISPOSITION DE PERSONNEL AVEC PETIT OUTILLAGE, EN SEMAINE ENTRE 17H ET 21H ET ENTRE 6H ET 8H</t>
  </si>
  <si>
    <t>18.2.1</t>
  </si>
  <si>
    <t>18.2.2</t>
  </si>
  <si>
    <t>18.2.3</t>
  </si>
  <si>
    <t>18.3</t>
  </si>
  <si>
    <t>MISE A DISPOSITION DE PERSONNEL AVEC PETIT OUTILLAGE, EN SEMAINE ENTRE 21H ET 6H</t>
  </si>
  <si>
    <t>18.3.1</t>
  </si>
  <si>
    <t>18.3.2</t>
  </si>
  <si>
    <t>18.3.3</t>
  </si>
  <si>
    <t>18.4</t>
  </si>
  <si>
    <t>PLUS VALUE AUX PRIX CI-AVANT POUR MISE A DISPOSITION DE PERSONNEL LE DIMANCHE ET LES JOURS FERIES</t>
  </si>
  <si>
    <t>18.4.1</t>
  </si>
  <si>
    <t>18.4.2</t>
  </si>
  <si>
    <t>18.4.3</t>
  </si>
  <si>
    <t>18.5</t>
  </si>
  <si>
    <t>MISE EN ASTREINTE D'UNE EQUIPE COMPRENANT UN CHEF D'EQUIPE, DEUX OUVRIERS N2 P1 ou N2 P2, UN OUVRIER N1 P1 ou N1 P2, UNE CAMIONETTE, UN COMPRESSEUR, UN GROUPE ELECTROGENE ET LE PETIT OUTILLAGE</t>
  </si>
  <si>
    <t>18.5.1</t>
  </si>
  <si>
    <t>Astreinte d'une durée de 15h les nuits de semaine du lundi au vendredi de 17h à 8h le lendemain, pendant la période d'astreinte notifiée à l'entreprise</t>
  </si>
  <si>
    <t>NUIT</t>
  </si>
  <si>
    <t>18.5.2</t>
  </si>
  <si>
    <t>Astreinte d'une durée de 24h les samedi, dimanche, jours fériés et chômés de 8h à 8h le lendemain, pendant la période d'astreinte notifiée à l'entreprise</t>
  </si>
  <si>
    <t>JOURNEE</t>
  </si>
  <si>
    <t>SOUS TOTAL MISE A DISPOSITION DE MAIN D'ŒUVRE</t>
  </si>
  <si>
    <t>19.1</t>
  </si>
  <si>
    <t>MATERIEL Y COMPRIS CONDUCTEUR, FOURNITURE D'ENTRETIEN ET DE FONCTIONNEMENT</t>
  </si>
  <si>
    <t>19.1.1</t>
  </si>
  <si>
    <t>Camion benne jusqu'à 4 tonnes de charge utile</t>
  </si>
  <si>
    <t>19.1.2</t>
  </si>
  <si>
    <t>Camion benne au-delà de 4 tonnes et jusqu'à 8 tonnes de charge utile</t>
  </si>
  <si>
    <t>19.1.3</t>
  </si>
  <si>
    <t>Camion benne au-delà de 8 tonnes et jusqu'à 15 tonnes de charge utile</t>
  </si>
  <si>
    <t>19.1.4</t>
  </si>
  <si>
    <t>Camion benne au-delà de 15 tonnes et jusqu'à 26 tonnes de charge utile</t>
  </si>
  <si>
    <t>19.1.5</t>
  </si>
  <si>
    <t>Plus value aux prix des camions benne pour utilisation d'un bras de levage</t>
  </si>
  <si>
    <t>19.1.6</t>
  </si>
  <si>
    <t>Semi remorque plateau porte engin jusqu'à 26 tonnes de charge utile</t>
  </si>
  <si>
    <t>19.1.7</t>
  </si>
  <si>
    <t>Pelle automotrice avec godet jusqu'à 450 litres de capacité</t>
  </si>
  <si>
    <t>19.1.8</t>
  </si>
  <si>
    <t>Pelle automotrice avec brise roche hydraulique jusqu'à 0,550 tonnes</t>
  </si>
  <si>
    <t>19.1.9</t>
  </si>
  <si>
    <t>Pelle automotrice avec godet de capacité comprise entre 450 et 800 litres</t>
  </si>
  <si>
    <t>19.1.10</t>
  </si>
  <si>
    <t>Pelle automotrice avec brise roche hydraulique supérieur à 0,550 tonnes</t>
  </si>
  <si>
    <t>19.1.11</t>
  </si>
  <si>
    <t>Autochargeur automoteur sur chenilles ou pneumatiques avec godet jusqu'à 500 litres de capacité</t>
  </si>
  <si>
    <t>19.1.12</t>
  </si>
  <si>
    <t>Autochargeur automoteur sur chenilles ou pneumatiques avec godet de capacité comprise entre 500 et 1500 litres</t>
  </si>
  <si>
    <t>19.1.13</t>
  </si>
  <si>
    <t>Autochargeur automoteur sur chenilles ou pneumatiques avec godet de capacité comprise entre 1500 et 2000 litres</t>
  </si>
  <si>
    <t>19.1.14</t>
  </si>
  <si>
    <t>Amenée ou repliement de matériel nécessitant un porte engin</t>
  </si>
  <si>
    <t>19.2</t>
  </si>
  <si>
    <t>MATERIEL SANS PERSONNEL MAIS AVEC LES FOURNITURES D'ENTRETIEN ET DE FONCTIONNEMENT</t>
  </si>
  <si>
    <t>19.2.1</t>
  </si>
  <si>
    <t>Fourgon automobile jusqu'à 3,5 tonnes de charge utile</t>
  </si>
  <si>
    <t>19.2.2</t>
  </si>
  <si>
    <t>Pilonneuse ou plaque vibrante d'un poids inférieur à 150 kg</t>
  </si>
  <si>
    <t>19.2.3</t>
  </si>
  <si>
    <t>Plaque vibrante d'un poids supérieur à 150 kg</t>
  </si>
  <si>
    <t>19.2.4</t>
  </si>
  <si>
    <t>Compresseur 3000 l/mn avec tuyaux et deux marteaux pneumatiques</t>
  </si>
  <si>
    <t>19.2.5</t>
  </si>
  <si>
    <t>Groupe électrogène de puissance inférieure à 50 kVA</t>
  </si>
  <si>
    <t>19.3</t>
  </si>
  <si>
    <t>LEVE TOPOGRAPHIQUE</t>
  </si>
  <si>
    <t>RECAPITULATIF</t>
  </si>
  <si>
    <t>TOTAL GENERAL HT</t>
  </si>
  <si>
    <t>TVA 20%</t>
  </si>
  <si>
    <t>TOTAL GENERAL TTC</t>
  </si>
  <si>
    <t>Montant total général HT</t>
  </si>
  <si>
    <t>Montant total général TTC</t>
  </si>
  <si>
    <t>Nom de l'entreprise :</t>
  </si>
  <si>
    <t>Montant du chantier compris entre 2 000 001 et 4 000 000€ HT</t>
  </si>
  <si>
    <t>Fourniture et pose de revêtement de dalles quelle que soit l'épaisseur</t>
  </si>
  <si>
    <t>MISE EN ŒUVRE DE DEBLAIS DUSITE EN REMBLAIS</t>
  </si>
  <si>
    <t xml:space="preserve">CHARGEMENT-DECHARGEMENT-TRANSPORT ET MISE EN ŒUVRE DE REMBLAI FOURNIS SUR SITE </t>
  </si>
  <si>
    <t xml:space="preserve">Fourniture et pose d'un coffret compteur pour arrosage type borne SETHA </t>
  </si>
  <si>
    <t xml:space="preserve">Fourniture et pose d'ouvrage de stockage de section intérieure 1,80 x 1,80 m </t>
  </si>
  <si>
    <t>Montant du chantier compris entre  2 000 001 et 4 000 000€ HT</t>
  </si>
  <si>
    <t>Amenée, mise en place et repli de séparateurs de voies plastiques</t>
  </si>
  <si>
    <t>Fourniture  et pose de potelet fixe PMR Jupiter des Ets Seri ou similaire</t>
  </si>
  <si>
    <t>Fourniture  et pose de potelet amovible Jupiter des Ets Seri ou similaire</t>
  </si>
  <si>
    <t>Fourniture  et pose de potelet amovible PMR Jupiter des Ets Seri ou similaire</t>
  </si>
  <si>
    <t>Fourniture  et pose de potelet rabattable PMR Jupiter des Ets Seri ou similaire</t>
  </si>
  <si>
    <t>Fourniture  et pose de banquette large type IDYLLE des Ets SINEUGRAFF ou similaire</t>
  </si>
  <si>
    <t xml:space="preserve">Réalisation  d'une jardinière en meulières largeur 0,40m, hauteur 0,25 à 0,60 m  </t>
  </si>
  <si>
    <t>Fourniture de corbeille Tulip</t>
  </si>
  <si>
    <t>Fourniture d'appui  moto Lucine des Ets Séri ou similaire</t>
  </si>
  <si>
    <t>Fourniture et pose de bordures  calcaire 15/25  y compris béton de fondation et solin</t>
  </si>
  <si>
    <t>Fourniture et pose de bloc marche  en béton coulé en  place</t>
  </si>
  <si>
    <t>BARRIERES DE TYPE HERAS DE 2,00 M DE HAUTEUR (maille 100 x 250 mm)</t>
  </si>
  <si>
    <t>1.10.3</t>
  </si>
  <si>
    <t>1.11.4</t>
  </si>
  <si>
    <t>1.11.5</t>
  </si>
  <si>
    <t>1.11.6</t>
  </si>
  <si>
    <t>1.11.7</t>
  </si>
  <si>
    <t>1.11.8</t>
  </si>
  <si>
    <t>1.11.9</t>
  </si>
  <si>
    <t>1.11.10</t>
  </si>
  <si>
    <t>1.11.11</t>
  </si>
  <si>
    <t>1.11.12</t>
  </si>
  <si>
    <t>1.11.13</t>
  </si>
  <si>
    <t>Fourniture et mise en œuvre de grille d'arbre 1500x1500 quel qu'en soit le modèle</t>
  </si>
  <si>
    <t>Fourniture et mise en eouvre de grille d'arbre 1225x1225 quel qu'en soit le modèle</t>
  </si>
  <si>
    <t>Dépose de gabions (quel que soit le type)</t>
  </si>
  <si>
    <t>Dépose de gabions (quel que soit le modèle)</t>
  </si>
  <si>
    <t>Fourniture et pose de pavés granit 14x20x14 à joints gravillonnés</t>
  </si>
  <si>
    <t>Fourniture et pose de pavé en grès 14x20</t>
  </si>
  <si>
    <t>4.11.11.1</t>
  </si>
  <si>
    <t>4.11.11.2</t>
  </si>
  <si>
    <t>Fourniture et pose de pavés grès 14x20 à joints engazonnés</t>
  </si>
  <si>
    <t>Fourniture et pose de pavés grès 14x20 à joints gravillonnés</t>
  </si>
  <si>
    <t>Fourniture et pose de pavés grès14x20 à joints engazonnés</t>
  </si>
  <si>
    <t>Fourniture et pose de pavés collés sur chaussée et trottoir</t>
  </si>
  <si>
    <t>6.13.4</t>
  </si>
  <si>
    <t>Canalisation à raccorder sur un ovoïde quel que soit le diamètre de raccordement</t>
  </si>
  <si>
    <t>4.11.11.3</t>
  </si>
  <si>
    <t>Fourniture et pose de pavés grès 14x20 à joints ciment</t>
  </si>
  <si>
    <t>FOURNITURE ET POSE EN TRANCHEE DE CANALISATION PVC ASSAINISSEMENT CLASSE SN8 ET DE SES ACCESSOIRES</t>
  </si>
  <si>
    <t>FOURNITURE ET POSE EN TRANCHEE DE CANALISATION PVC ASSAINISSEMENT CLASSE SN16 ET DE SES ACCESSOIRES</t>
  </si>
  <si>
    <t>Potelet fixe à boule, diamètre 76 mm, PMR, hauteur hors sol 1200mm</t>
  </si>
  <si>
    <t>Fourniture de barrière fixe pointe diamant 1m à sceller</t>
  </si>
  <si>
    <t>Fourniture de barrière fixe pointe diamant 2m à sceller</t>
  </si>
  <si>
    <t>Fourniture de corbeille avec sceau 30l à spiter</t>
  </si>
  <si>
    <t>Fourniture de potelet fixe à boule, diamètre 76 mm, PMR, hauteur hors sol 1200mm</t>
  </si>
  <si>
    <t>2.2.9.51</t>
  </si>
  <si>
    <t>2.2.9.52</t>
  </si>
  <si>
    <t>2.2.9.53</t>
  </si>
  <si>
    <t>2.2.9.54</t>
  </si>
  <si>
    <t>2.2.9.55</t>
  </si>
  <si>
    <t>2.2.9.56</t>
  </si>
  <si>
    <t>2.2.9.57</t>
  </si>
  <si>
    <t>2.2.9.58</t>
  </si>
  <si>
    <t>2.2.9.59</t>
  </si>
  <si>
    <t>2.2.9.60</t>
  </si>
  <si>
    <t>2.2.9.61</t>
  </si>
  <si>
    <t>2.2.9.62</t>
  </si>
  <si>
    <t>2.2.9.63</t>
  </si>
  <si>
    <t>2.2.9.64</t>
  </si>
  <si>
    <t>2.2.9.65</t>
  </si>
  <si>
    <t>Fourniture de barrière Croix Saint-André L=0,83m</t>
  </si>
  <si>
    <t xml:space="preserve">Fourniture de barrière Croix Saint-André L=1,63m, grillagée </t>
  </si>
  <si>
    <t>Fourniture de barrière Croix Saint-André L=1,63m</t>
  </si>
  <si>
    <t>Fourniture de barrière Croix Saint-André, double lisse, avec anneaux L= 1m</t>
  </si>
  <si>
    <t>Fourniture de barrière Croix Saint-André, double lisse, avec anneaux L= 2m</t>
  </si>
  <si>
    <t>Fourniture de barrières type Bourg la Reine double lisse pointe diamant 1m</t>
  </si>
  <si>
    <t>Fourniture de barrières type Bourg la Reine double lisse pointe diamant 2m</t>
  </si>
  <si>
    <t>Fourniture de support véloépingle type robiga, largeur 580 mm, hauteur totale 1150 mm</t>
  </si>
  <si>
    <t>Fourniture de potelet à tête pyramidale, diamètre 76mm, hauteur hors sol 900mm</t>
  </si>
  <si>
    <t>Fourniture de potelet fixe colonne bombé à mémoire de forme, diamètre 76 mm, hauteur hors sol 1200 mm</t>
  </si>
  <si>
    <t>Fourniture de potelet fixe colonne, diamètre 76 mm, hauteur hors sol 900 mm</t>
  </si>
  <si>
    <t>Fourniture de potelet fixe à boule, diamètre 76 mm, hauteur hors sol 900 mm</t>
  </si>
  <si>
    <t>Fourniture de potelet fixe 3 gorges diamètre 101,6 mm, hauteur hors sol 800 mm, hauteur hors tout 1100 mm</t>
  </si>
  <si>
    <t>Fourniture de barrière Croix Saint-André L=1,63m, grillagée</t>
  </si>
  <si>
    <t>2.2.9.66</t>
  </si>
  <si>
    <t>2.2.9.66.1</t>
  </si>
  <si>
    <t>2.2.9.66.2</t>
  </si>
  <si>
    <t>Canalisation à raccorder de diamètre supérieur à 600mm</t>
  </si>
  <si>
    <t>LOCATION DE MATERIEL &amp; PRESTATIONS DIVERSES</t>
  </si>
  <si>
    <t>SOUS TOTAL LOCATION DE MATERIEL &amp; PRESTATIONS DIVERSES</t>
  </si>
  <si>
    <t>Etude de cas n°1</t>
  </si>
  <si>
    <t>20</t>
  </si>
  <si>
    <t>COEFFICIENT DE REVENTE DES MATERIELS ET FOURNITURES</t>
  </si>
  <si>
    <t>20.1</t>
  </si>
  <si>
    <t>Si le prix de vente de la pièce est compris entre 1,00 € HT et 500,00 € HT</t>
  </si>
  <si>
    <t>%</t>
  </si>
  <si>
    <t>20.2</t>
  </si>
  <si>
    <t>Si le prix de vente de la pièce est compris entre 500,01 € HT et 1 000,00 € HT</t>
  </si>
  <si>
    <t>20.3</t>
  </si>
  <si>
    <t>Si le prix de vente de la pièce est compris entre 1 000,01 € HT et 1 500,00 € HT</t>
  </si>
  <si>
    <t>20.4</t>
  </si>
  <si>
    <t>Si le prix de vente de la pièce est supérieur à 1 500,01 € HT</t>
  </si>
  <si>
    <t>SOUS TOTAL COEFFICIENT DE REVENTE DES MATERIELS ET FOURNITURES</t>
  </si>
  <si>
    <t>Levé topographique</t>
  </si>
  <si>
    <t>2 - Les entreprises rempliront les cellules de la colonne PU. Seules ces cellules sont dévérouillées pour permettre la saisie.</t>
  </si>
  <si>
    <r>
      <rPr>
        <b/>
        <u/>
        <sz val="10"/>
        <color rgb="FF000000"/>
        <rFont val="Arial"/>
      </rPr>
      <t xml:space="preserve">Nom de l'Entreprise :
</t>
    </r>
    <r>
      <rPr>
        <sz val="10"/>
        <color rgb="FF000000"/>
        <rFont val="Arial"/>
      </rPr>
      <t>Les entreprises doivent renseigner leur nom dans la cellule surlignée en jaune</t>
    </r>
  </si>
  <si>
    <t>Les candidats devront saisir la quantité 1 liée au chantier par tranche de montants de travaux. La saisie se fait dans la colonne où les cellules sont surlignées en bleu . Cette quantité sera reportée automatiquement dans le DQE de l'opération.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</si>
</sst>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 ##0.00"/>
    <numFmt numFmtId="165" formatCode="0.000"/>
    <numFmt numFmtId="166" formatCode="#,##0.00\ &quot;€&quot;"/>
    <numFmt numFmtId="167" formatCode="#,##0.00\ &quot;F&quot;"/>
    <numFmt numFmtId="168" formatCode="_-* #,##0.00\ [$€]_-;\-* #,##0.00\ [$€]_-;_-* &quot;-&quot;??\ [$€]_-;_-@_-"/>
  </numFmts>
  <fonts count="38" x14ac:knownFonts="1">
    <font>
      <sz val="10"/>
      <name val="Arial"/>
    </font>
    <font>
      <sz val="10"/>
      <name val="Arial"/>
      <family val="2"/>
    </font>
    <font>
      <sz val="10"/>
      <name val="Arial"/>
      <family val="2"/>
    </font>
    <font>
      <sz val="9"/>
      <name val="Arial"/>
      <family val="2"/>
    </font>
    <font>
      <b/>
      <sz val="9"/>
      <name val="Arial"/>
      <family val="2"/>
    </font>
    <font>
      <b/>
      <i/>
      <sz val="9"/>
      <name val="Arial"/>
      <family val="2"/>
    </font>
    <font>
      <sz val="10"/>
      <name val="Arial"/>
      <family val="2"/>
    </font>
    <font>
      <i/>
      <sz val="9"/>
      <name val="Arial"/>
      <family val="2"/>
    </font>
    <font>
      <b/>
      <sz val="10"/>
      <name val="Arial"/>
      <family val="2"/>
    </font>
    <font>
      <b/>
      <i/>
      <sz val="10"/>
      <name val="Arial"/>
      <family val="2"/>
    </font>
    <font>
      <b/>
      <sz val="11"/>
      <name val="Arial"/>
      <family val="2"/>
    </font>
    <font>
      <b/>
      <sz val="12"/>
      <name val="Arial"/>
      <family val="2"/>
    </font>
    <font>
      <sz val="8"/>
      <name val="Arial"/>
      <family val="2"/>
    </font>
    <font>
      <sz val="10"/>
      <name val="Symbol"/>
      <family val="1"/>
      <charset val="2"/>
    </font>
    <font>
      <b/>
      <sz val="8"/>
      <name val="Arial"/>
      <family val="2"/>
    </font>
    <font>
      <i/>
      <sz val="10"/>
      <name val="Arial"/>
      <family val="2"/>
    </font>
    <font>
      <sz val="10"/>
      <name val="Calibri"/>
      <family val="2"/>
    </font>
    <font>
      <b/>
      <u/>
      <sz val="10"/>
      <name val="Arial"/>
      <family val="2"/>
    </font>
    <font>
      <sz val="10"/>
      <name val="Arial Black"/>
      <family val="2"/>
    </font>
    <font>
      <b/>
      <sz val="10"/>
      <color indexed="12"/>
      <name val="Arial"/>
      <family val="2"/>
    </font>
    <font>
      <sz val="10"/>
      <name val="Wingdings"/>
      <charset val="2"/>
    </font>
    <font>
      <vertAlign val="superscript"/>
      <sz val="10"/>
      <name val="Arial"/>
      <family val="2"/>
    </font>
    <font>
      <sz val="7"/>
      <name val="Arial"/>
      <family val="2"/>
    </font>
    <font>
      <sz val="10"/>
      <name val="Arial"/>
      <family val="2"/>
    </font>
    <font>
      <sz val="9"/>
      <name val="Arial"/>
      <family val="2"/>
    </font>
    <font>
      <b/>
      <sz val="9"/>
      <name val="Arial"/>
      <family val="2"/>
    </font>
    <font>
      <b/>
      <sz val="10"/>
      <name val="Arial"/>
      <family val="2"/>
    </font>
    <font>
      <b/>
      <i/>
      <sz val="10"/>
      <name val="Arial"/>
      <family val="2"/>
    </font>
    <font>
      <b/>
      <i/>
      <sz val="9"/>
      <name val="Arial"/>
      <family val="2"/>
    </font>
    <font>
      <i/>
      <sz val="10"/>
      <name val="Arial"/>
      <family val="2"/>
    </font>
    <font>
      <b/>
      <sz val="9"/>
      <color rgb="FFFF0000"/>
      <name val="Arial"/>
      <family val="2"/>
    </font>
    <font>
      <sz val="9"/>
      <color rgb="FFFF0000"/>
      <name val="Arial"/>
      <family val="2"/>
    </font>
    <font>
      <sz val="8"/>
      <color rgb="FFFF0000"/>
      <name val="Arial"/>
      <family val="2"/>
    </font>
    <font>
      <sz val="10"/>
      <color rgb="FF000000"/>
      <name val="Arial"/>
      <family val="2"/>
    </font>
    <font>
      <b/>
      <sz val="10"/>
      <color rgb="FF000000"/>
      <name val="Arial"/>
      <family val="2"/>
    </font>
    <font>
      <b/>
      <u/>
      <sz val="10"/>
      <color rgb="FF000000"/>
      <name val="Arial"/>
    </font>
    <font>
      <sz val="10"/>
      <color rgb="FF000000"/>
      <name val="Arial"/>
    </font>
    <font>
      <b/>
      <u/>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indexed="42"/>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rgb="FF00B0F0"/>
        <bgColor indexed="64"/>
      </patternFill>
    </fill>
    <fill>
      <patternFill patternType="solid">
        <fgColor theme="3"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style="thin">
        <color indexed="64"/>
      </right>
      <top style="thin">
        <color indexed="64"/>
      </top>
      <bottom style="thin">
        <color indexed="64"/>
      </bottom>
      <diagonal/>
    </border>
    <border>
      <left/>
      <right style="medium">
        <color rgb="FF000000"/>
      </right>
      <top/>
      <bottom/>
      <diagonal/>
    </border>
    <border>
      <left style="thin">
        <color indexed="64"/>
      </left>
      <right style="thin">
        <color indexed="64"/>
      </right>
      <top/>
      <bottom/>
      <diagonal/>
    </border>
  </borders>
  <cellStyleXfs count="7">
    <xf numFmtId="0" fontId="0" fillId="0" borderId="0" applyNumberFormat="0" applyFont="0" applyFill="0" applyBorder="0" applyAlignment="0" applyProtection="0">
      <alignment vertical="top"/>
    </xf>
    <xf numFmtId="168" fontId="6" fillId="0" borderId="0" applyFont="0" applyFill="0" applyBorder="0" applyAlignment="0" applyProtection="0"/>
    <xf numFmtId="0" fontId="6" fillId="0" borderId="0" applyNumberFormat="0" applyFont="0" applyFill="0" applyBorder="0" applyAlignment="0" applyProtection="0">
      <alignment vertical="top"/>
    </xf>
    <xf numFmtId="0" fontId="6" fillId="0" borderId="0"/>
    <xf numFmtId="0" fontId="1" fillId="0" borderId="0"/>
    <xf numFmtId="0" fontId="1" fillId="0" borderId="0"/>
    <xf numFmtId="0" fontId="6" fillId="0" borderId="0" applyNumberFormat="0" applyFont="0" applyFill="0" applyBorder="0" applyAlignment="0" applyProtection="0">
      <alignment vertical="top"/>
    </xf>
  </cellStyleXfs>
  <cellXfs count="303">
    <xf numFmtId="0" fontId="2" fillId="0" borderId="0" xfId="0" applyNumberFormat="1" applyFont="1" applyFill="1" applyBorder="1" applyAlignment="1" applyProtection="1">
      <alignment vertical="top"/>
    </xf>
    <xf numFmtId="0" fontId="6" fillId="0" borderId="0" xfId="0" applyFont="1" applyFill="1" applyBorder="1" applyAlignment="1">
      <alignment vertical="top"/>
    </xf>
    <xf numFmtId="0" fontId="4" fillId="0" borderId="0" xfId="0" applyNumberFormat="1" applyFont="1" applyFill="1" applyBorder="1" applyAlignment="1" applyProtection="1">
      <alignment horizontal="justify" vertical="center" wrapText="1" shrinkToFit="1"/>
    </xf>
    <xf numFmtId="4" fontId="8" fillId="0" borderId="0"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justify" vertical="center" wrapText="1" shrinkToFit="1"/>
    </xf>
    <xf numFmtId="0" fontId="3" fillId="0" borderId="0"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left" vertical="top" wrapText="1" shrinkToFit="1"/>
    </xf>
    <xf numFmtId="0" fontId="6" fillId="0" borderId="0" xfId="0" applyNumberFormat="1" applyFont="1" applyFill="1" applyBorder="1" applyAlignment="1" applyProtection="1">
      <alignment horizontal="justify" vertical="center" wrapText="1" shrinkToFit="1"/>
    </xf>
    <xf numFmtId="0" fontId="5" fillId="0" borderId="0" xfId="0" applyNumberFormat="1" applyFont="1" applyFill="1" applyBorder="1" applyAlignment="1" applyProtection="1">
      <alignment horizontal="justify" vertical="center" wrapText="1" shrinkToFit="1"/>
    </xf>
    <xf numFmtId="0" fontId="1" fillId="0" borderId="0" xfId="4"/>
    <xf numFmtId="0" fontId="1" fillId="0" borderId="0" xfId="5"/>
    <xf numFmtId="0" fontId="1" fillId="0" borderId="0" xfId="5" applyAlignment="1">
      <alignment vertical="center"/>
    </xf>
    <xf numFmtId="44" fontId="1" fillId="0" borderId="1" xfId="5" applyNumberFormat="1" applyBorder="1" applyAlignment="1">
      <alignment vertical="center"/>
    </xf>
    <xf numFmtId="0" fontId="8" fillId="0" borderId="1" xfId="5" applyFont="1" applyBorder="1" applyAlignment="1">
      <alignment horizontal="center" vertical="center" wrapText="1"/>
    </xf>
    <xf numFmtId="49" fontId="8" fillId="0" borderId="0" xfId="5" applyNumberFormat="1" applyFont="1"/>
    <xf numFmtId="0" fontId="6" fillId="0" borderId="0" xfId="0" applyFont="1" applyFill="1" applyBorder="1" applyAlignment="1">
      <alignment vertical="center"/>
    </xf>
    <xf numFmtId="0" fontId="6" fillId="0" borderId="0" xfId="6" applyNumberFormat="1" applyFont="1" applyFill="1" applyBorder="1" applyAlignment="1" applyProtection="1">
      <alignment horizontal="justify" vertical="top" wrapText="1"/>
    </xf>
    <xf numFmtId="0" fontId="8" fillId="0" borderId="0" xfId="0" applyNumberFormat="1" applyFont="1" applyFill="1" applyBorder="1" applyAlignment="1" applyProtection="1">
      <alignment horizontal="justify" vertical="top" wrapText="1" shrinkToFit="1"/>
    </xf>
    <xf numFmtId="0" fontId="8" fillId="0" borderId="0" xfId="0" applyNumberFormat="1" applyFont="1" applyFill="1" applyBorder="1" applyAlignment="1" applyProtection="1">
      <alignment horizontal="justify" vertical="center" wrapText="1" shrinkToFit="1"/>
    </xf>
    <xf numFmtId="0" fontId="9" fillId="0" borderId="0" xfId="0" applyNumberFormat="1" applyFont="1" applyFill="1" applyBorder="1" applyAlignment="1" applyProtection="1">
      <alignment horizontal="justify" vertical="top" wrapText="1" shrinkToFit="1"/>
    </xf>
    <xf numFmtId="0" fontId="6" fillId="0" borderId="0" xfId="0" applyNumberFormat="1" applyFont="1" applyFill="1" applyBorder="1" applyAlignment="1" applyProtection="1">
      <alignment horizontal="justify" vertical="top" wrapText="1" shrinkToFit="1"/>
    </xf>
    <xf numFmtId="44" fontId="8" fillId="0" borderId="0" xfId="0" applyNumberFormat="1" applyFont="1" applyFill="1" applyBorder="1" applyAlignment="1" applyProtection="1">
      <alignment horizontal="center" vertical="top" wrapText="1" shrinkToFit="1"/>
    </xf>
    <xf numFmtId="1" fontId="10" fillId="0" borderId="0" xfId="0" applyNumberFormat="1" applyFont="1" applyFill="1" applyBorder="1" applyAlignment="1" applyProtection="1">
      <alignment horizontal="center" vertical="center"/>
    </xf>
    <xf numFmtId="167" fontId="11" fillId="0" borderId="0" xfId="0" applyNumberFormat="1" applyFont="1" applyFill="1" applyBorder="1" applyAlignment="1">
      <alignment horizontal="center" vertical="center"/>
    </xf>
    <xf numFmtId="0" fontId="6" fillId="0" borderId="0" xfId="3" applyAlignment="1">
      <alignment vertical="center"/>
    </xf>
    <xf numFmtId="44" fontId="8" fillId="0" borderId="0" xfId="3" applyNumberFormat="1" applyFont="1" applyAlignment="1">
      <alignment horizontal="center" vertical="top" wrapText="1"/>
    </xf>
    <xf numFmtId="4" fontId="3" fillId="0" borderId="0" xfId="0" applyNumberFormat="1" applyFont="1" applyFill="1" applyBorder="1" applyAlignment="1" applyProtection="1">
      <alignment horizontal="justify" vertical="center" wrapText="1" shrinkToFit="1"/>
    </xf>
    <xf numFmtId="49" fontId="8" fillId="0" borderId="0" xfId="0" applyNumberFormat="1" applyFont="1" applyFill="1" applyBorder="1" applyAlignment="1" applyProtection="1">
      <alignment horizontal="left" vertical="top" wrapText="1" shrinkToFit="1"/>
    </xf>
    <xf numFmtId="49" fontId="8" fillId="0" borderId="0" xfId="0" applyNumberFormat="1" applyFont="1" applyFill="1" applyBorder="1" applyAlignment="1" applyProtection="1">
      <alignment horizontal="justify" vertical="top" wrapText="1" shrinkToFit="1"/>
    </xf>
    <xf numFmtId="49" fontId="8" fillId="3" borderId="0" xfId="0" applyNumberFormat="1" applyFont="1" applyFill="1" applyBorder="1" applyAlignment="1" applyProtection="1">
      <alignment horizontal="left" vertical="top" wrapText="1" indent="1" shrinkToFit="1"/>
    </xf>
    <xf numFmtId="4" fontId="8" fillId="3" borderId="0" xfId="0" applyNumberFormat="1" applyFont="1" applyFill="1" applyBorder="1" applyAlignment="1" applyProtection="1">
      <alignment horizontal="left" vertical="center" wrapText="1" shrinkToFit="1"/>
    </xf>
    <xf numFmtId="0" fontId="8" fillId="3" borderId="0" xfId="0" applyNumberFormat="1" applyFont="1" applyFill="1" applyBorder="1" applyAlignment="1" applyProtection="1">
      <alignment horizontal="center" vertical="top" wrapText="1" shrinkToFit="1"/>
    </xf>
    <xf numFmtId="4" fontId="8" fillId="3" borderId="0" xfId="0" applyNumberFormat="1" applyFont="1" applyFill="1" applyBorder="1" applyAlignment="1" applyProtection="1">
      <alignment horizontal="justify" vertical="center" wrapText="1" shrinkToFit="1"/>
    </xf>
    <xf numFmtId="1" fontId="10" fillId="0" borderId="0" xfId="0" applyNumberFormat="1" applyFont="1" applyFill="1" applyBorder="1" applyAlignment="1" applyProtection="1">
      <alignment vertical="center"/>
    </xf>
    <xf numFmtId="167" fontId="11" fillId="0" borderId="0" xfId="0" applyNumberFormat="1" applyFont="1" applyFill="1" applyBorder="1" applyAlignment="1">
      <alignment vertical="center"/>
    </xf>
    <xf numFmtId="0" fontId="8" fillId="0" borderId="0" xfId="4" applyFont="1" applyAlignment="1">
      <alignment horizontal="right" vertical="top"/>
    </xf>
    <xf numFmtId="0" fontId="1" fillId="0" borderId="0" xfId="4" applyAlignment="1">
      <alignment wrapText="1"/>
    </xf>
    <xf numFmtId="0" fontId="1" fillId="0" borderId="0" xfId="4" applyAlignment="1">
      <alignment vertical="top" wrapText="1"/>
    </xf>
    <xf numFmtId="0" fontId="1" fillId="0" borderId="0" xfId="4" applyAlignment="1">
      <alignment horizontal="left" vertical="top" wrapText="1" indent="1"/>
    </xf>
    <xf numFmtId="0" fontId="19" fillId="0" borderId="0" xfId="4" applyFont="1" applyAlignment="1">
      <alignment horizontal="center"/>
    </xf>
    <xf numFmtId="0" fontId="6" fillId="0" borderId="0" xfId="4" applyFont="1" applyAlignment="1">
      <alignment wrapText="1"/>
    </xf>
    <xf numFmtId="0" fontId="17" fillId="0" borderId="0" xfId="4" applyFont="1" applyAlignment="1">
      <alignment wrapText="1"/>
    </xf>
    <xf numFmtId="0" fontId="20" fillId="0" borderId="0" xfId="4" applyFont="1" applyAlignment="1">
      <alignment horizontal="left" vertical="top" wrapText="1" indent="1"/>
    </xf>
    <xf numFmtId="0" fontId="3" fillId="0" borderId="0" xfId="0" applyNumberFormat="1" applyFont="1" applyFill="1" applyBorder="1" applyAlignment="1" applyProtection="1">
      <alignment horizontal="justify" vertical="center" wrapText="1" shrinkToFit="1"/>
    </xf>
    <xf numFmtId="0" fontId="3" fillId="0" borderId="0" xfId="0" applyNumberFormat="1" applyFont="1" applyFill="1" applyBorder="1" applyAlignment="1" applyProtection="1">
      <alignment horizontal="center" vertical="center" wrapText="1" shrinkToFit="1"/>
    </xf>
    <xf numFmtId="4" fontId="3" fillId="0" borderId="0" xfId="0" applyNumberFormat="1" applyFont="1" applyFill="1" applyBorder="1" applyAlignment="1" applyProtection="1">
      <alignment horizontal="center" vertical="center" wrapText="1" shrinkToFit="1"/>
    </xf>
    <xf numFmtId="4" fontId="3" fillId="0" borderId="0" xfId="0" applyNumberFormat="1" applyFont="1" applyFill="1" applyBorder="1" applyAlignment="1" applyProtection="1">
      <alignment horizontal="center" vertical="center" wrapText="1" shrinkToFit="1"/>
      <protection locked="0"/>
    </xf>
    <xf numFmtId="49" fontId="3" fillId="0" borderId="0" xfId="0" applyNumberFormat="1" applyFont="1" applyFill="1" applyBorder="1" applyAlignment="1" applyProtection="1">
      <alignment horizontal="center" vertical="center" wrapText="1" shrinkToFit="1"/>
    </xf>
    <xf numFmtId="4" fontId="10" fillId="0" borderId="8" xfId="0" applyNumberFormat="1" applyFont="1" applyFill="1" applyBorder="1" applyAlignment="1" applyProtection="1">
      <alignment horizontal="justify" vertical="center" wrapText="1" shrinkToFit="1"/>
    </xf>
    <xf numFmtId="0" fontId="10" fillId="0" borderId="8" xfId="0" applyNumberFormat="1" applyFont="1" applyFill="1" applyBorder="1" applyAlignment="1" applyProtection="1">
      <alignment horizontal="center" vertical="center" wrapText="1"/>
    </xf>
    <xf numFmtId="44" fontId="10" fillId="0" borderId="9" xfId="0" applyNumberFormat="1" applyFont="1" applyFill="1" applyBorder="1" applyAlignment="1" applyProtection="1">
      <alignment horizontal="center" vertical="center" wrapText="1"/>
    </xf>
    <xf numFmtId="44" fontId="4" fillId="0" borderId="10" xfId="0" applyNumberFormat="1" applyFont="1" applyFill="1" applyBorder="1" applyAlignment="1" applyProtection="1">
      <alignment horizontal="center" vertical="center" wrapText="1" shrinkToFit="1"/>
    </xf>
    <xf numFmtId="4" fontId="3" fillId="4" borderId="0" xfId="0" applyNumberFormat="1" applyFont="1" applyFill="1" applyBorder="1" applyAlignment="1" applyProtection="1">
      <alignment horizontal="center" vertical="center" wrapText="1" shrinkToFit="1"/>
      <protection locked="0"/>
    </xf>
    <xf numFmtId="4" fontId="3" fillId="4" borderId="0" xfId="0" applyNumberFormat="1" applyFont="1" applyFill="1" applyBorder="1" applyAlignment="1" applyProtection="1">
      <alignment horizontal="center" vertical="center" wrapText="1" shrinkToFit="1"/>
    </xf>
    <xf numFmtId="0" fontId="4"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justify" vertical="center" wrapText="1"/>
    </xf>
    <xf numFmtId="0" fontId="4" fillId="3" borderId="0" xfId="0" applyNumberFormat="1" applyFont="1" applyFill="1" applyBorder="1" applyAlignment="1" applyProtection="1">
      <alignment horizontal="center" vertical="center" wrapText="1" shrinkToFit="1"/>
    </xf>
    <xf numFmtId="44" fontId="4" fillId="3" borderId="10" xfId="0" applyNumberFormat="1" applyFont="1" applyFill="1" applyBorder="1" applyAlignment="1" applyProtection="1">
      <alignment horizontal="center" vertical="center" wrapText="1" shrinkToFit="1"/>
    </xf>
    <xf numFmtId="0" fontId="3" fillId="0" borderId="0" xfId="6" applyNumberFormat="1" applyFont="1" applyFill="1" applyBorder="1" applyAlignment="1" applyProtection="1">
      <alignment horizontal="justify" vertical="center" wrapText="1"/>
    </xf>
    <xf numFmtId="4" fontId="3" fillId="4" borderId="0" xfId="6" applyNumberFormat="1" applyFont="1" applyFill="1" applyBorder="1" applyAlignment="1" applyProtection="1">
      <alignment horizontal="center" vertical="center" wrapText="1" shrinkToFit="1"/>
    </xf>
    <xf numFmtId="44" fontId="4" fillId="0" borderId="10" xfId="6" applyNumberFormat="1" applyFont="1" applyFill="1" applyBorder="1" applyAlignment="1" applyProtection="1">
      <alignment horizontal="center" vertical="center" wrapText="1" shrinkToFit="1"/>
    </xf>
    <xf numFmtId="0" fontId="7" fillId="0" borderId="0" xfId="0" applyNumberFormat="1" applyFont="1" applyFill="1" applyBorder="1" applyAlignment="1" applyProtection="1">
      <alignment horizontal="justify" vertical="center" wrapText="1" shrinkToFit="1"/>
    </xf>
    <xf numFmtId="44" fontId="14" fillId="0" borderId="10" xfId="0" applyNumberFormat="1" applyFont="1" applyFill="1" applyBorder="1" applyAlignment="1" applyProtection="1">
      <alignment horizontal="center" vertical="center" wrapText="1" shrinkToFit="1"/>
    </xf>
    <xf numFmtId="44" fontId="6" fillId="0" borderId="0" xfId="3" applyNumberFormat="1" applyAlignment="1">
      <alignment vertical="center"/>
    </xf>
    <xf numFmtId="0" fontId="3" fillId="0" borderId="0" xfId="0" applyNumberFormat="1" applyFont="1" applyFill="1" applyBorder="1" applyAlignment="1" applyProtection="1">
      <alignment horizontal="left" vertical="center" wrapText="1"/>
    </xf>
    <xf numFmtId="4" fontId="3" fillId="0" borderId="0" xfId="0" applyNumberFormat="1" applyFont="1" applyFill="1" applyBorder="1" applyAlignment="1" applyProtection="1">
      <alignment horizontal="center" vertical="center" wrapText="1"/>
    </xf>
    <xf numFmtId="44" fontId="4" fillId="0" borderId="0" xfId="0" applyNumberFormat="1" applyFont="1" applyFill="1" applyBorder="1" applyAlignment="1" applyProtection="1">
      <alignment horizontal="center" vertical="center" wrapText="1"/>
    </xf>
    <xf numFmtId="44" fontId="3" fillId="0" borderId="0" xfId="0" applyNumberFormat="1" applyFont="1" applyFill="1" applyBorder="1" applyAlignment="1" applyProtection="1">
      <alignment horizontal="justify" vertical="center" wrapText="1"/>
    </xf>
    <xf numFmtId="1" fontId="4" fillId="2" borderId="0" xfId="0" applyNumberFormat="1" applyFont="1" applyFill="1" applyBorder="1" applyAlignment="1" applyProtection="1">
      <alignment horizontal="right" vertical="center"/>
      <protection locked="0"/>
    </xf>
    <xf numFmtId="167" fontId="3" fillId="2" borderId="0" xfId="0" applyNumberFormat="1" applyFont="1" applyFill="1" applyBorder="1" applyAlignment="1">
      <alignment horizontal="center" vertical="center"/>
    </xf>
    <xf numFmtId="0" fontId="4" fillId="2" borderId="0" xfId="0" applyNumberFormat="1" applyFont="1" applyFill="1" applyBorder="1" applyAlignment="1" applyProtection="1">
      <alignment horizontal="center" vertical="center" wrapText="1"/>
    </xf>
    <xf numFmtId="0" fontId="4" fillId="2" borderId="0" xfId="0" applyNumberFormat="1" applyFont="1" applyFill="1" applyBorder="1" applyAlignment="1" applyProtection="1">
      <alignment vertical="center" wrapText="1"/>
    </xf>
    <xf numFmtId="44" fontId="4" fillId="2" borderId="0" xfId="0" applyNumberFormat="1" applyFont="1" applyFill="1" applyBorder="1" applyAlignment="1" applyProtection="1">
      <alignment vertical="center" wrapText="1"/>
    </xf>
    <xf numFmtId="0" fontId="1" fillId="0" borderId="0" xfId="4" applyAlignment="1">
      <alignment vertical="top"/>
    </xf>
    <xf numFmtId="4" fontId="4" fillId="4" borderId="0" xfId="0" applyNumberFormat="1" applyFont="1" applyFill="1" applyBorder="1" applyAlignment="1" applyProtection="1">
      <alignment horizontal="center" vertical="center" wrapText="1" shrinkToFit="1"/>
      <protection locked="0"/>
    </xf>
    <xf numFmtId="4" fontId="30" fillId="4" borderId="0" xfId="0" applyNumberFormat="1" applyFont="1" applyFill="1" applyBorder="1" applyAlignment="1" applyProtection="1">
      <alignment horizontal="center" vertical="center" wrapText="1" shrinkToFit="1"/>
      <protection locked="0"/>
    </xf>
    <xf numFmtId="4" fontId="31" fillId="4" borderId="0" xfId="0" applyNumberFormat="1" applyFont="1" applyFill="1" applyBorder="1" applyAlignment="1" applyProtection="1">
      <alignment horizontal="center" vertical="center" wrapText="1" shrinkToFit="1"/>
      <protection locked="0"/>
    </xf>
    <xf numFmtId="4" fontId="32" fillId="4" borderId="0" xfId="0" applyNumberFormat="1" applyFont="1" applyFill="1" applyBorder="1" applyAlignment="1" applyProtection="1">
      <alignment horizontal="center" vertical="center" wrapText="1" shrinkToFit="1"/>
      <protection locked="0"/>
    </xf>
    <xf numFmtId="49" fontId="8" fillId="0" borderId="0" xfId="0" applyNumberFormat="1" applyFont="1" applyFill="1" applyBorder="1" applyAlignment="1" applyProtection="1">
      <alignment horizontal="left" vertical="top" wrapText="1" indent="1" shrinkToFit="1"/>
    </xf>
    <xf numFmtId="4" fontId="5" fillId="0" borderId="0" xfId="0" applyNumberFormat="1" applyFont="1" applyFill="1" applyBorder="1" applyAlignment="1" applyProtection="1">
      <alignment horizontal="justify" vertical="center" wrapText="1" shrinkToFit="1"/>
    </xf>
    <xf numFmtId="44" fontId="4" fillId="0" borderId="0" xfId="0" applyNumberFormat="1" applyFont="1" applyFill="1" applyBorder="1" applyAlignment="1" applyProtection="1">
      <alignment horizontal="justify" vertical="center" wrapText="1" shrinkToFit="1"/>
    </xf>
    <xf numFmtId="4" fontId="15" fillId="0" borderId="0"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left" vertical="top" wrapText="1" indent="1" shrinkToFit="1"/>
    </xf>
    <xf numFmtId="49" fontId="8" fillId="0" borderId="0" xfId="0" applyNumberFormat="1" applyFont="1" applyFill="1" applyBorder="1" applyAlignment="1" applyProtection="1">
      <alignment vertical="top" wrapText="1" shrinkToFit="1"/>
    </xf>
    <xf numFmtId="44" fontId="4" fillId="0" borderId="10" xfId="0" applyNumberFormat="1" applyFont="1" applyFill="1" applyBorder="1" applyAlignment="1" applyProtection="1">
      <alignment horizontal="right" vertical="center" wrapText="1" shrinkToFit="1"/>
    </xf>
    <xf numFmtId="1" fontId="4" fillId="2" borderId="0" xfId="0" applyNumberFormat="1" applyFont="1" applyFill="1" applyBorder="1" applyAlignment="1" applyProtection="1">
      <alignment horizontal="right" vertical="center" wrapText="1"/>
    </xf>
    <xf numFmtId="4" fontId="30" fillId="0" borderId="0" xfId="0" applyNumberFormat="1" applyFont="1" applyFill="1" applyBorder="1" applyAlignment="1" applyProtection="1">
      <alignment horizontal="center" vertical="center" wrapText="1" shrinkToFit="1"/>
    </xf>
    <xf numFmtId="4" fontId="31" fillId="0" borderId="0" xfId="0" applyNumberFormat="1" applyFont="1" applyFill="1" applyBorder="1" applyAlignment="1" applyProtection="1">
      <alignment horizontal="center" vertical="center" wrapText="1" shrinkToFit="1"/>
    </xf>
    <xf numFmtId="4" fontId="12" fillId="0" borderId="0" xfId="0" applyNumberFormat="1" applyFont="1" applyFill="1" applyBorder="1" applyAlignment="1" applyProtection="1">
      <alignment horizontal="center" vertical="center" wrapText="1" shrinkToFit="1"/>
    </xf>
    <xf numFmtId="2" fontId="4" fillId="2" borderId="0" xfId="0" applyNumberFormat="1" applyFont="1" applyFill="1" applyBorder="1" applyAlignment="1" applyProtection="1">
      <alignment horizontal="centerContinuous" vertical="center" wrapText="1"/>
      <protection locked="0"/>
    </xf>
    <xf numFmtId="44" fontId="1" fillId="0" borderId="1" xfId="5" applyNumberFormat="1" applyBorder="1"/>
    <xf numFmtId="0" fontId="23" fillId="0" borderId="0" xfId="0" applyFont="1" applyFill="1" applyBorder="1" applyAlignment="1">
      <alignment vertical="top"/>
    </xf>
    <xf numFmtId="0" fontId="23" fillId="0" borderId="0" xfId="0" applyFont="1" applyFill="1" applyBorder="1" applyAlignment="1">
      <alignment vertical="center"/>
    </xf>
    <xf numFmtId="0" fontId="23" fillId="0" borderId="0" xfId="0" applyNumberFormat="1" applyFont="1" applyFill="1" applyBorder="1" applyAlignment="1" applyProtection="1">
      <alignment horizontal="justify" vertical="top" wrapText="1"/>
    </xf>
    <xf numFmtId="0" fontId="27" fillId="0" borderId="0" xfId="0" applyNumberFormat="1" applyFont="1" applyFill="1" applyBorder="1" applyAlignment="1" applyProtection="1">
      <alignment horizontal="justify" vertical="top" wrapText="1" shrinkToFit="1"/>
    </xf>
    <xf numFmtId="0" fontId="23" fillId="0" borderId="0" xfId="6" applyNumberFormat="1" applyFont="1" applyFill="1" applyBorder="1" applyAlignment="1" applyProtection="1">
      <alignment horizontal="justify" vertical="top" wrapText="1"/>
    </xf>
    <xf numFmtId="0" fontId="26" fillId="0" borderId="0" xfId="0" applyNumberFormat="1" applyFont="1" applyFill="1" applyBorder="1" applyAlignment="1" applyProtection="1">
      <alignment horizontal="justify" vertical="top" wrapText="1" shrinkToFit="1"/>
    </xf>
    <xf numFmtId="0" fontId="23" fillId="0" borderId="0" xfId="0" applyNumberFormat="1" applyFont="1" applyFill="1" applyBorder="1" applyAlignment="1" applyProtection="1">
      <alignment horizontal="justify" vertical="top" wrapText="1" shrinkToFit="1"/>
    </xf>
    <xf numFmtId="0" fontId="23" fillId="0" borderId="0" xfId="0" applyNumberFormat="1" applyFont="1" applyFill="1" applyBorder="1" applyAlignment="1" applyProtection="1">
      <alignment horizontal="justify" vertical="center" wrapText="1" shrinkToFit="1"/>
    </xf>
    <xf numFmtId="0" fontId="26" fillId="0" borderId="0" xfId="0" applyNumberFormat="1" applyFont="1" applyFill="1" applyBorder="1" applyAlignment="1" applyProtection="1">
      <alignment horizontal="justify" vertical="center" wrapText="1" shrinkToFit="1"/>
    </xf>
    <xf numFmtId="0" fontId="27" fillId="0" borderId="0" xfId="0" applyNumberFormat="1" applyFont="1" applyFill="1" applyBorder="1" applyAlignment="1" applyProtection="1">
      <alignment horizontal="justify" vertical="center" wrapText="1" shrinkToFit="1"/>
    </xf>
    <xf numFmtId="0" fontId="24" fillId="0" borderId="7" xfId="0" applyNumberFormat="1" applyFont="1" applyFill="1" applyBorder="1" applyAlignment="1" applyProtection="1">
      <alignment horizontal="justify" vertical="top" wrapText="1" shrinkToFit="1"/>
    </xf>
    <xf numFmtId="0" fontId="28" fillId="0" borderId="2" xfId="0" applyNumberFormat="1" applyFont="1" applyFill="1" applyBorder="1" applyAlignment="1" applyProtection="1">
      <alignment horizontal="justify" vertical="center" wrapText="1" shrinkToFit="1"/>
    </xf>
    <xf numFmtId="0" fontId="24" fillId="0" borderId="2" xfId="0" applyNumberFormat="1" applyFont="1" applyFill="1" applyBorder="1" applyAlignment="1" applyProtection="1">
      <alignment horizontal="justify" vertical="top" wrapText="1" shrinkToFit="1"/>
    </xf>
    <xf numFmtId="0" fontId="29" fillId="0" borderId="0" xfId="0" applyNumberFormat="1" applyFont="1" applyFill="1" applyBorder="1" applyAlignment="1" applyProtection="1">
      <alignment horizontal="justify" vertical="top" wrapText="1" shrinkToFit="1"/>
    </xf>
    <xf numFmtId="0" fontId="23" fillId="0" borderId="0" xfId="3" applyFont="1" applyAlignment="1">
      <alignment vertical="top"/>
    </xf>
    <xf numFmtId="0" fontId="23" fillId="0" borderId="0" xfId="3" applyFont="1"/>
    <xf numFmtId="0" fontId="23" fillId="0" borderId="0" xfId="3" applyFont="1" applyAlignment="1">
      <alignment vertical="center"/>
    </xf>
    <xf numFmtId="0" fontId="24" fillId="0" borderId="0" xfId="0" applyNumberFormat="1" applyFont="1" applyFill="1" applyBorder="1" applyAlignment="1" applyProtection="1">
      <alignment horizontal="left" vertical="top" wrapText="1" indent="1"/>
    </xf>
    <xf numFmtId="4" fontId="24" fillId="0" borderId="0" xfId="0" applyNumberFormat="1" applyFont="1" applyFill="1" applyBorder="1" applyAlignment="1" applyProtection="1">
      <alignment horizontal="justify" vertical="center" wrapText="1" shrinkToFit="1"/>
    </xf>
    <xf numFmtId="0" fontId="25" fillId="0" borderId="0" xfId="0" applyNumberFormat="1" applyFont="1" applyFill="1" applyBorder="1" applyAlignment="1" applyProtection="1">
      <alignment horizontal="center" vertical="top" wrapText="1"/>
    </xf>
    <xf numFmtId="4" fontId="24" fillId="0" borderId="0" xfId="0" applyNumberFormat="1" applyFont="1" applyFill="1" applyBorder="1" applyAlignment="1" applyProtection="1">
      <alignment horizontal="center" vertical="top" wrapText="1"/>
    </xf>
    <xf numFmtId="44" fontId="25" fillId="0" borderId="0" xfId="0" applyNumberFormat="1" applyFont="1" applyFill="1" applyBorder="1" applyAlignment="1" applyProtection="1">
      <alignment horizontal="center" vertical="top" wrapText="1"/>
    </xf>
    <xf numFmtId="0" fontId="24" fillId="0" borderId="0" xfId="0" applyNumberFormat="1" applyFont="1" applyFill="1" applyBorder="1" applyAlignment="1" applyProtection="1">
      <alignment horizontal="justify" vertical="top" wrapText="1"/>
    </xf>
    <xf numFmtId="44" fontId="1" fillId="0" borderId="0" xfId="5" applyNumberFormat="1"/>
    <xf numFmtId="44" fontId="3" fillId="0" borderId="0" xfId="0" applyNumberFormat="1" applyFont="1" applyFill="1" applyBorder="1" applyAlignment="1" applyProtection="1">
      <alignment horizontal="center" vertical="center" wrapText="1" shrinkToFit="1"/>
    </xf>
    <xf numFmtId="1" fontId="4" fillId="2" borderId="0" xfId="0" applyNumberFormat="1" applyFont="1" applyFill="1" applyBorder="1" applyAlignment="1" applyProtection="1">
      <alignment vertical="center"/>
    </xf>
    <xf numFmtId="0" fontId="10" fillId="0" borderId="8" xfId="0" applyNumberFormat="1" applyFont="1" applyFill="1" applyBorder="1" applyAlignment="1" applyProtection="1">
      <alignment horizontal="center" vertical="center" wrapText="1"/>
      <protection locked="0"/>
    </xf>
    <xf numFmtId="0" fontId="4" fillId="3" borderId="0" xfId="0" applyNumberFormat="1" applyFont="1" applyFill="1" applyBorder="1" applyAlignment="1" applyProtection="1">
      <alignment horizontal="center" vertical="center" wrapText="1" shrinkToFit="1"/>
      <protection locked="0"/>
    </xf>
    <xf numFmtId="0" fontId="3" fillId="0" borderId="0" xfId="0" applyNumberFormat="1" applyFont="1" applyFill="1" applyBorder="1" applyAlignment="1" applyProtection="1">
      <alignment horizontal="center" vertical="center" wrapText="1" shrinkToFit="1"/>
      <protection locked="0"/>
    </xf>
    <xf numFmtId="4" fontId="4" fillId="0" borderId="0" xfId="0" applyNumberFormat="1" applyFont="1" applyFill="1" applyBorder="1" applyAlignment="1" applyProtection="1">
      <alignment horizontal="center" vertical="center" wrapText="1" shrinkToFit="1"/>
      <protection locked="0"/>
    </xf>
    <xf numFmtId="4" fontId="4" fillId="0" borderId="0" xfId="0" applyNumberFormat="1" applyFont="1" applyFill="1" applyBorder="1" applyAlignment="1" applyProtection="1">
      <alignment horizontal="center" vertical="center" wrapText="1" shrinkToFit="1"/>
    </xf>
    <xf numFmtId="0" fontId="8" fillId="0" borderId="0" xfId="3" applyFont="1" applyAlignment="1">
      <alignment horizontal="right" vertical="top" wrapText="1"/>
    </xf>
    <xf numFmtId="49" fontId="8" fillId="3" borderId="0" xfId="0" applyNumberFormat="1" applyFont="1" applyFill="1" applyBorder="1" applyAlignment="1" applyProtection="1">
      <alignment horizontal="center" vertical="top" wrapText="1" shrinkToFit="1"/>
      <protection locked="0"/>
    </xf>
    <xf numFmtId="4" fontId="15" fillId="0" borderId="0" xfId="0" applyNumberFormat="1" applyFont="1" applyFill="1" applyBorder="1" applyAlignment="1" applyProtection="1">
      <alignment horizontal="left" vertical="top" wrapText="1" indent="1" shrinkToFit="1"/>
    </xf>
    <xf numFmtId="4" fontId="15" fillId="0" borderId="0" xfId="0" applyNumberFormat="1" applyFont="1" applyFill="1" applyBorder="1" applyAlignment="1" applyProtection="1">
      <alignment horizontal="justify" vertical="center" wrapText="1" shrinkToFit="1"/>
    </xf>
    <xf numFmtId="4" fontId="8" fillId="0" borderId="0" xfId="0" applyNumberFormat="1" applyFont="1" applyFill="1" applyBorder="1" applyAlignment="1" applyProtection="1">
      <alignment horizontal="justify" vertical="center" wrapText="1" shrinkToFit="1"/>
      <protection locked="0"/>
    </xf>
    <xf numFmtId="44" fontId="4" fillId="0" borderId="0" xfId="0" applyNumberFormat="1" applyFont="1" applyFill="1" applyBorder="1" applyAlignment="1" applyProtection="1">
      <alignment horizontal="center" vertical="center" wrapText="1" shrinkToFit="1"/>
    </xf>
    <xf numFmtId="49" fontId="4" fillId="0" borderId="0" xfId="0" applyNumberFormat="1" applyFont="1" applyFill="1" applyBorder="1" applyAlignment="1" applyProtection="1">
      <alignment horizontal="center" vertical="center" wrapText="1" shrinkToFit="1"/>
      <protection locked="0"/>
    </xf>
    <xf numFmtId="49" fontId="8" fillId="3" borderId="4" xfId="0" applyNumberFormat="1" applyFont="1" applyFill="1" applyBorder="1" applyAlignment="1" applyProtection="1">
      <alignment horizontal="left" vertical="top" wrapText="1" indent="1" shrinkToFit="1"/>
    </xf>
    <xf numFmtId="0" fontId="8" fillId="0" borderId="4" xfId="0" applyNumberFormat="1" applyFont="1" applyFill="1" applyBorder="1" applyAlignment="1" applyProtection="1">
      <alignment horizontal="justify" vertical="top" wrapText="1" shrinkToFit="1"/>
    </xf>
    <xf numFmtId="44" fontId="4" fillId="0" borderId="6" xfId="0" applyNumberFormat="1" applyFont="1" applyFill="1" applyBorder="1" applyAlignment="1" applyProtection="1">
      <alignment horizontal="center" vertical="center" wrapText="1" shrinkToFit="1"/>
    </xf>
    <xf numFmtId="4" fontId="12" fillId="0" borderId="0" xfId="0" applyNumberFormat="1" applyFont="1" applyFill="1" applyBorder="1" applyAlignment="1" applyProtection="1">
      <alignment horizontal="center" vertical="center" wrapText="1" shrinkToFit="1"/>
      <protection locked="0"/>
    </xf>
    <xf numFmtId="0" fontId="8" fillId="0" borderId="4" xfId="0" applyNumberFormat="1" applyFont="1" applyFill="1" applyBorder="1" applyAlignment="1" applyProtection="1">
      <alignment vertical="top" wrapText="1" shrinkToFit="1"/>
    </xf>
    <xf numFmtId="4" fontId="4" fillId="0" borderId="6" xfId="0" applyNumberFormat="1" applyFont="1" applyFill="1" applyBorder="1" applyAlignment="1" applyProtection="1">
      <alignment horizontal="center" vertical="center" wrapText="1" shrinkToFit="1"/>
    </xf>
    <xf numFmtId="0" fontId="6" fillId="0" borderId="0" xfId="3" applyAlignment="1">
      <alignment horizontal="left" vertical="top" wrapText="1"/>
    </xf>
    <xf numFmtId="49" fontId="8" fillId="0" borderId="0" xfId="0" applyNumberFormat="1" applyFont="1" applyFill="1" applyBorder="1" applyAlignment="1" applyProtection="1">
      <alignment horizontal="center" vertical="top" wrapText="1" shrinkToFit="1"/>
      <protection locked="0"/>
    </xf>
    <xf numFmtId="4" fontId="3" fillId="0" borderId="0" xfId="0" applyNumberFormat="1" applyFont="1" applyFill="1" applyBorder="1" applyAlignment="1" applyProtection="1">
      <alignment horizontal="center" vertical="center" wrapText="1"/>
      <protection locked="0"/>
    </xf>
    <xf numFmtId="0" fontId="6" fillId="0" borderId="0" xfId="3" applyAlignment="1">
      <alignment horizontal="center" vertical="top" wrapText="1"/>
    </xf>
    <xf numFmtId="0" fontId="6" fillId="0" borderId="0" xfId="3" applyAlignment="1">
      <alignment horizontal="justify" vertical="top" wrapText="1"/>
    </xf>
    <xf numFmtId="4" fontId="6" fillId="0" borderId="0" xfId="3" applyNumberFormat="1" applyAlignment="1">
      <alignment horizontal="center" vertical="top" wrapText="1"/>
    </xf>
    <xf numFmtId="0" fontId="6" fillId="0" borderId="0" xfId="3" applyAlignment="1" applyProtection="1">
      <alignment horizontal="center" vertical="top" wrapText="1"/>
      <protection locked="0"/>
    </xf>
    <xf numFmtId="0" fontId="8" fillId="0" borderId="0" xfId="3" applyFont="1" applyAlignment="1">
      <alignment horizontal="center" vertical="top" wrapText="1"/>
    </xf>
    <xf numFmtId="4" fontId="8" fillId="0" borderId="0" xfId="3" applyNumberFormat="1" applyFont="1" applyAlignment="1">
      <alignment horizontal="justify" vertical="top" wrapText="1"/>
    </xf>
    <xf numFmtId="0" fontId="9" fillId="0" borderId="0" xfId="3" applyFont="1" applyAlignment="1">
      <alignment horizontal="right" vertical="top" wrapText="1"/>
    </xf>
    <xf numFmtId="49" fontId="10" fillId="0" borderId="11" xfId="0" applyNumberFormat="1" applyFont="1" applyFill="1" applyBorder="1" applyAlignment="1" applyProtection="1">
      <alignment horizontal="left" vertical="center" wrapText="1"/>
    </xf>
    <xf numFmtId="4" fontId="10" fillId="0" borderId="0" xfId="0" applyNumberFormat="1" applyFont="1" applyFill="1" applyBorder="1" applyAlignment="1" applyProtection="1">
      <alignment horizontal="justify" vertical="center" wrapText="1" shrinkToFit="1"/>
    </xf>
    <xf numFmtId="0" fontId="10"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wrapText="1"/>
      <protection locked="0"/>
    </xf>
    <xf numFmtId="4" fontId="3" fillId="2" borderId="0" xfId="0" applyNumberFormat="1" applyFont="1" applyFill="1" applyBorder="1" applyAlignment="1">
      <alignment vertical="center"/>
    </xf>
    <xf numFmtId="4" fontId="4" fillId="3" borderId="0" xfId="0" applyNumberFormat="1" applyFont="1" applyFill="1" applyBorder="1" applyAlignment="1" applyProtection="1">
      <alignment horizontal="center" vertical="top" wrapText="1" shrinkToFit="1"/>
    </xf>
    <xf numFmtId="4" fontId="3" fillId="0" borderId="0" xfId="0" applyNumberFormat="1" applyFont="1" applyFill="1" applyBorder="1" applyAlignment="1" applyProtection="1">
      <alignment horizontal="center" vertical="top" wrapText="1" shrinkToFit="1"/>
    </xf>
    <xf numFmtId="4" fontId="3" fillId="0" borderId="0" xfId="0" applyNumberFormat="1" applyFont="1" applyFill="1" applyBorder="1" applyAlignment="1" applyProtection="1">
      <alignment horizontal="center" vertical="top" wrapText="1" shrinkToFit="1"/>
      <protection locked="0"/>
    </xf>
    <xf numFmtId="49" fontId="3" fillId="3" borderId="0" xfId="0" applyNumberFormat="1" applyFont="1" applyFill="1" applyBorder="1" applyAlignment="1" applyProtection="1">
      <alignment horizontal="center" vertical="top" wrapText="1" shrinkToFit="1"/>
    </xf>
    <xf numFmtId="4" fontId="3" fillId="0" borderId="0" xfId="0" applyNumberFormat="1" applyFont="1" applyFill="1" applyBorder="1" applyAlignment="1" applyProtection="1">
      <alignment horizontal="justify" vertical="top" wrapText="1"/>
    </xf>
    <xf numFmtId="0" fontId="3" fillId="0" borderId="0" xfId="0" applyNumberFormat="1" applyFont="1" applyFill="1" applyBorder="1" applyAlignment="1" applyProtection="1">
      <alignment horizontal="justify" vertical="top" wrapText="1"/>
    </xf>
    <xf numFmtId="44" fontId="10" fillId="0" borderId="0" xfId="0" applyNumberFormat="1" applyFont="1" applyFill="1" applyBorder="1" applyAlignment="1" applyProtection="1">
      <alignment horizontal="center" vertical="center" wrapText="1"/>
    </xf>
    <xf numFmtId="44" fontId="4" fillId="3" borderId="0" xfId="0" applyNumberFormat="1" applyFont="1" applyFill="1" applyBorder="1" applyAlignment="1" applyProtection="1">
      <alignment horizontal="center" vertical="center" wrapText="1" shrinkToFit="1"/>
    </xf>
    <xf numFmtId="44" fontId="4" fillId="0" borderId="0" xfId="0" applyNumberFormat="1" applyFont="1" applyFill="1" applyBorder="1" applyAlignment="1" applyProtection="1">
      <alignment horizontal="right" vertical="center" wrapText="1" shrinkToFit="1"/>
    </xf>
    <xf numFmtId="49" fontId="8" fillId="3" borderId="0" xfId="0" applyNumberFormat="1" applyFont="1" applyFill="1" applyBorder="1" applyAlignment="1" applyProtection="1">
      <alignment horizontal="center" vertical="top" wrapText="1" shrinkToFit="1"/>
    </xf>
    <xf numFmtId="4" fontId="24" fillId="0" borderId="0" xfId="0" applyNumberFormat="1" applyFont="1" applyFill="1" applyBorder="1" applyAlignment="1" applyProtection="1">
      <alignment horizontal="center" vertical="top" wrapText="1"/>
      <protection locked="0"/>
    </xf>
    <xf numFmtId="0" fontId="4" fillId="0" borderId="5"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vertical="center" wrapText="1"/>
      <protection locked="0"/>
    </xf>
    <xf numFmtId="0" fontId="4" fillId="0" borderId="5" xfId="0" applyNumberFormat="1" applyFont="1" applyFill="1" applyBorder="1" applyAlignment="1" applyProtection="1">
      <alignment vertical="center" wrapText="1"/>
    </xf>
    <xf numFmtId="44" fontId="4" fillId="0" borderId="5" xfId="0" applyNumberFormat="1" applyFont="1" applyFill="1" applyBorder="1" applyAlignment="1" applyProtection="1">
      <alignment vertical="center" wrapText="1"/>
    </xf>
    <xf numFmtId="4" fontId="3" fillId="6" borderId="0" xfId="0" applyNumberFormat="1" applyFont="1" applyFill="1" applyBorder="1" applyAlignment="1" applyProtection="1">
      <alignment horizontal="center" vertical="center" wrapText="1" shrinkToFit="1"/>
    </xf>
    <xf numFmtId="1" fontId="4" fillId="6" borderId="0" xfId="0" applyNumberFormat="1" applyFont="1" applyFill="1" applyBorder="1" applyAlignment="1" applyProtection="1">
      <alignment vertical="center"/>
      <protection locked="0"/>
    </xf>
    <xf numFmtId="167" fontId="11" fillId="2" borderId="0" xfId="0" applyNumberFormat="1" applyFont="1" applyFill="1" applyBorder="1" applyAlignment="1" applyProtection="1">
      <alignment horizontal="centerContinuous" vertical="center"/>
    </xf>
    <xf numFmtId="167" fontId="11" fillId="2" borderId="0" xfId="0" applyNumberFormat="1" applyFont="1" applyFill="1" applyBorder="1" applyAlignment="1" applyProtection="1">
      <alignment horizontal="centerContinuous" vertical="center"/>
      <protection locked="0"/>
    </xf>
    <xf numFmtId="0" fontId="1" fillId="0" borderId="0" xfId="0" applyNumberFormat="1" applyFont="1" applyFill="1" applyBorder="1" applyAlignment="1" applyProtection="1">
      <alignment vertical="top"/>
    </xf>
    <xf numFmtId="49" fontId="1" fillId="0" borderId="0" xfId="0" applyNumberFormat="1" applyFont="1" applyFill="1" applyBorder="1" applyAlignment="1" applyProtection="1">
      <alignment vertical="top"/>
    </xf>
    <xf numFmtId="165" fontId="1" fillId="0" borderId="0" xfId="0" applyNumberFormat="1" applyFont="1" applyFill="1" applyBorder="1" applyAlignment="1" applyProtection="1">
      <alignment horizontal="right" vertical="top"/>
    </xf>
    <xf numFmtId="164" fontId="1" fillId="0" borderId="0" xfId="0" applyNumberFormat="1" applyFont="1" applyFill="1" applyBorder="1" applyAlignment="1" applyProtection="1">
      <alignment vertical="top"/>
    </xf>
    <xf numFmtId="1" fontId="10" fillId="2" borderId="0" xfId="0" applyNumberFormat="1" applyFont="1" applyFill="1" applyBorder="1" applyAlignment="1" applyProtection="1">
      <alignment horizontal="centerContinuous" vertical="center"/>
    </xf>
    <xf numFmtId="1" fontId="10" fillId="2" borderId="0" xfId="0" applyNumberFormat="1" applyFont="1" applyFill="1" applyBorder="1" applyAlignment="1" applyProtection="1">
      <alignment horizontal="centerContinuous" vertical="center"/>
      <protection locked="0"/>
    </xf>
    <xf numFmtId="1" fontId="3" fillId="2" borderId="0" xfId="0" applyNumberFormat="1" applyFont="1" applyFill="1" applyBorder="1" applyAlignment="1" applyProtection="1">
      <alignment horizontal="right" vertical="center"/>
    </xf>
    <xf numFmtId="0" fontId="9" fillId="0" borderId="0" xfId="0" applyNumberFormat="1" applyFont="1" applyFill="1" applyBorder="1" applyAlignment="1" applyProtection="1">
      <alignment horizontal="justify" vertical="center" wrapText="1" shrinkToFit="1"/>
    </xf>
    <xf numFmtId="4" fontId="12" fillId="4" borderId="0" xfId="0" applyNumberFormat="1" applyFont="1" applyFill="1" applyBorder="1" applyAlignment="1" applyProtection="1">
      <alignment horizontal="center" vertical="center" wrapText="1" shrinkToFit="1"/>
      <protection locked="0"/>
    </xf>
    <xf numFmtId="0" fontId="3" fillId="0" borderId="7" xfId="0" applyNumberFormat="1" applyFont="1" applyFill="1" applyBorder="1" applyAlignment="1" applyProtection="1">
      <alignment horizontal="justify" vertical="top" wrapText="1" shrinkToFit="1"/>
    </xf>
    <xf numFmtId="0" fontId="5" fillId="0" borderId="2" xfId="0" applyNumberFormat="1" applyFont="1" applyFill="1" applyBorder="1" applyAlignment="1" applyProtection="1">
      <alignment horizontal="justify" vertical="center" wrapText="1" shrinkToFit="1"/>
    </xf>
    <xf numFmtId="0" fontId="3" fillId="0" borderId="2" xfId="0" applyNumberFormat="1" applyFont="1" applyFill="1" applyBorder="1" applyAlignment="1" applyProtection="1">
      <alignment horizontal="justify" vertical="top" wrapText="1" shrinkToFit="1"/>
    </xf>
    <xf numFmtId="0" fontId="15" fillId="0" borderId="0" xfId="0" applyNumberFormat="1" applyFont="1" applyFill="1" applyBorder="1" applyAlignment="1" applyProtection="1">
      <alignment horizontal="justify" vertical="top" wrapText="1" shrinkToFit="1"/>
    </xf>
    <xf numFmtId="0" fontId="6" fillId="0" borderId="0" xfId="3" applyAlignment="1">
      <alignment vertical="top"/>
    </xf>
    <xf numFmtId="0" fontId="6" fillId="0" borderId="0" xfId="3"/>
    <xf numFmtId="0" fontId="3" fillId="0" borderId="0" xfId="0" applyNumberFormat="1" applyFont="1" applyFill="1" applyBorder="1" applyAlignment="1" applyProtection="1">
      <alignment horizontal="left" vertical="top" wrapText="1" indent="1"/>
    </xf>
    <xf numFmtId="0" fontId="4" fillId="0" borderId="0" xfId="0" applyNumberFormat="1" applyFont="1" applyFill="1" applyBorder="1" applyAlignment="1" applyProtection="1">
      <alignment horizontal="center" vertical="top" wrapText="1"/>
    </xf>
    <xf numFmtId="4" fontId="3" fillId="0" borderId="0" xfId="0" applyNumberFormat="1" applyFont="1" applyFill="1" applyBorder="1" applyAlignment="1" applyProtection="1">
      <alignment horizontal="center" vertical="top" wrapText="1"/>
      <protection locked="0"/>
    </xf>
    <xf numFmtId="4" fontId="3" fillId="0" borderId="0" xfId="0" applyNumberFormat="1" applyFont="1" applyFill="1" applyBorder="1" applyAlignment="1" applyProtection="1">
      <alignment horizontal="center" vertical="top" wrapText="1"/>
    </xf>
    <xf numFmtId="44" fontId="4" fillId="0" borderId="0" xfId="0" applyNumberFormat="1" applyFont="1" applyFill="1" applyBorder="1" applyAlignment="1" applyProtection="1">
      <alignment horizontal="center" vertical="top" wrapText="1"/>
    </xf>
    <xf numFmtId="44" fontId="4" fillId="0" borderId="13" xfId="0" applyNumberFormat="1" applyFont="1" applyFill="1" applyBorder="1" applyAlignment="1" applyProtection="1">
      <alignment horizontal="right" vertical="center" wrapText="1" shrinkToFit="1"/>
    </xf>
    <xf numFmtId="49" fontId="1" fillId="0" borderId="13" xfId="0" applyNumberFormat="1" applyFont="1" applyFill="1" applyBorder="1" applyAlignment="1" applyProtection="1">
      <alignment horizontal="center" vertical="top" wrapText="1" shrinkToFit="1"/>
    </xf>
    <xf numFmtId="49" fontId="1" fillId="3" borderId="13"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justify" vertical="top" wrapText="1" shrinkToFit="1"/>
    </xf>
    <xf numFmtId="0" fontId="23" fillId="7" borderId="0" xfId="0" applyNumberFormat="1" applyFont="1" applyFill="1" applyBorder="1" applyAlignment="1" applyProtection="1">
      <alignment horizontal="justify" vertical="top" wrapText="1" shrinkToFit="1"/>
    </xf>
    <xf numFmtId="4" fontId="3" fillId="7" borderId="0" xfId="0" applyNumberFormat="1" applyFont="1" applyFill="1" applyBorder="1" applyAlignment="1" applyProtection="1">
      <alignment horizontal="center" vertical="center" wrapText="1" shrinkToFit="1"/>
      <protection locked="0"/>
    </xf>
    <xf numFmtId="4" fontId="4" fillId="5" borderId="0" xfId="0" applyNumberFormat="1" applyFont="1" applyFill="1" applyBorder="1" applyAlignment="1" applyProtection="1">
      <alignment horizontal="center" vertical="center" wrapText="1" shrinkToFit="1"/>
    </xf>
    <xf numFmtId="44" fontId="4" fillId="5" borderId="10" xfId="0" applyNumberFormat="1" applyFont="1" applyFill="1" applyBorder="1" applyAlignment="1" applyProtection="1">
      <alignment horizontal="center" vertical="center" wrapText="1" shrinkToFit="1"/>
    </xf>
    <xf numFmtId="0" fontId="8" fillId="5" borderId="0" xfId="3" applyFont="1" applyFill="1" applyAlignment="1">
      <alignment horizontal="left" vertical="top" wrapText="1"/>
    </xf>
    <xf numFmtId="44" fontId="4" fillId="5" borderId="0" xfId="0" applyNumberFormat="1" applyFont="1" applyFill="1" applyBorder="1" applyAlignment="1" applyProtection="1">
      <alignment horizontal="center" vertical="center" wrapText="1" shrinkToFit="1"/>
    </xf>
    <xf numFmtId="4" fontId="3" fillId="5" borderId="0" xfId="0" applyNumberFormat="1" applyFont="1" applyFill="1" applyBorder="1" applyAlignment="1" applyProtection="1">
      <alignment horizontal="center" vertical="top" wrapText="1" shrinkToFit="1"/>
    </xf>
    <xf numFmtId="0" fontId="8" fillId="5" borderId="0" xfId="3" applyFont="1" applyFill="1" applyAlignment="1">
      <alignment horizontal="right" vertical="top" wrapText="1"/>
    </xf>
    <xf numFmtId="4" fontId="1" fillId="0" borderId="0" xfId="0" applyNumberFormat="1" applyFont="1" applyFill="1" applyBorder="1" applyAlignment="1" applyProtection="1">
      <alignment horizontal="left" vertical="top" wrapText="1" indent="1" shrinkToFit="1"/>
    </xf>
    <xf numFmtId="49" fontId="1" fillId="0" borderId="0" xfId="0" applyNumberFormat="1" applyFont="1" applyFill="1" applyBorder="1" applyAlignment="1" applyProtection="1">
      <alignment horizontal="left" vertical="top" wrapText="1" indent="1" shrinkToFit="1"/>
    </xf>
    <xf numFmtId="49" fontId="8" fillId="5" borderId="0" xfId="0" applyNumberFormat="1" applyFont="1" applyFill="1" applyBorder="1" applyAlignment="1" applyProtection="1">
      <alignment vertical="top" wrapText="1" shrinkToFit="1"/>
    </xf>
    <xf numFmtId="49" fontId="1" fillId="5" borderId="0" xfId="0" applyNumberFormat="1" applyFont="1" applyFill="1" applyBorder="1" applyAlignment="1" applyProtection="1">
      <alignment horizontal="left" vertical="top" wrapText="1" shrinkToFit="1"/>
    </xf>
    <xf numFmtId="4" fontId="1" fillId="0" borderId="0" xfId="0" applyNumberFormat="1" applyFont="1" applyFill="1" applyBorder="1" applyAlignment="1">
      <alignment vertical="top"/>
    </xf>
    <xf numFmtId="0" fontId="1" fillId="0" borderId="0" xfId="0" applyFont="1" applyFill="1" applyBorder="1" applyAlignment="1">
      <alignment horizontal="right" vertical="center"/>
    </xf>
    <xf numFmtId="1" fontId="1" fillId="0" borderId="0" xfId="0" applyNumberFormat="1" applyFont="1" applyFill="1" applyBorder="1" applyAlignment="1">
      <alignment horizontal="center" vertical="center"/>
    </xf>
    <xf numFmtId="0" fontId="1" fillId="0" borderId="0" xfId="0" applyFont="1" applyFill="1" applyBorder="1" applyAlignment="1">
      <alignment vertical="center"/>
    </xf>
    <xf numFmtId="4" fontId="1" fillId="0" borderId="0" xfId="0" applyNumberFormat="1" applyFont="1" applyFill="1" applyBorder="1" applyAlignment="1">
      <alignment vertical="center"/>
    </xf>
    <xf numFmtId="166" fontId="1" fillId="2" borderId="0" xfId="0" applyNumberFormat="1" applyFont="1" applyFill="1" applyBorder="1" applyAlignment="1">
      <alignment horizontal="centerContinuous" vertical="center"/>
    </xf>
    <xf numFmtId="166" fontId="1" fillId="2" borderId="0" xfId="0" applyNumberFormat="1" applyFont="1" applyFill="1" applyBorder="1" applyAlignment="1" applyProtection="1">
      <alignment horizontal="centerContinuous" vertical="center"/>
      <protection locked="0"/>
    </xf>
    <xf numFmtId="0" fontId="1" fillId="2" borderId="0" xfId="0" applyFont="1" applyFill="1" applyBorder="1" applyAlignment="1">
      <alignment vertical="center"/>
    </xf>
    <xf numFmtId="0" fontId="1" fillId="2" borderId="0" xfId="0" applyFont="1" applyFill="1" applyBorder="1" applyAlignment="1" applyProtection="1">
      <alignment horizontal="centerContinuous" vertical="center"/>
    </xf>
    <xf numFmtId="0" fontId="1" fillId="0" borderId="5" xfId="0" applyFont="1" applyFill="1" applyBorder="1" applyAlignment="1">
      <alignment horizontal="center" vertical="center"/>
    </xf>
    <xf numFmtId="0" fontId="1" fillId="0" borderId="0"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justify" vertical="center" wrapText="1" shrinkToFit="1"/>
    </xf>
    <xf numFmtId="49" fontId="1" fillId="0" borderId="0" xfId="0" applyNumberFormat="1" applyFont="1" applyFill="1" applyBorder="1" applyAlignment="1" applyProtection="1">
      <alignment horizontal="center" vertical="top" wrapText="1" shrinkToFit="1"/>
    </xf>
    <xf numFmtId="0" fontId="1" fillId="0" borderId="0" xfId="0" applyNumberFormat="1" applyFont="1" applyFill="1" applyBorder="1" applyAlignment="1" applyProtection="1">
      <alignment horizontal="justify" vertical="top" wrapText="1" shrinkToFit="1"/>
    </xf>
    <xf numFmtId="0" fontId="1" fillId="0" borderId="0" xfId="0" applyNumberFormat="1" applyFont="1" applyFill="1" applyBorder="1" applyAlignment="1" applyProtection="1">
      <alignment horizontal="center" vertical="center" wrapText="1" shrinkToFit="1"/>
    </xf>
    <xf numFmtId="0" fontId="1" fillId="0" borderId="0" xfId="0" applyNumberFormat="1" applyFont="1" applyFill="1" applyBorder="1" applyAlignment="1" applyProtection="1">
      <alignment horizontal="justify" vertical="center" wrapText="1" shrinkToFit="1"/>
    </xf>
    <xf numFmtId="0" fontId="1" fillId="0" borderId="0" xfId="6" applyNumberFormat="1" applyFont="1" applyFill="1" applyBorder="1" applyAlignment="1" applyProtection="1">
      <alignment horizontal="justify" vertical="top" wrapText="1"/>
    </xf>
    <xf numFmtId="44" fontId="1" fillId="0" borderId="0" xfId="6" applyNumberFormat="1" applyFont="1" applyFill="1" applyBorder="1" applyAlignment="1" applyProtection="1">
      <alignment horizontal="justify" vertical="top" wrapText="1"/>
    </xf>
    <xf numFmtId="4" fontId="1" fillId="0" borderId="0" xfId="0" applyNumberFormat="1" applyFont="1" applyFill="1" applyBorder="1" applyAlignment="1" applyProtection="1">
      <alignment horizontal="left" vertical="top" wrapText="1" shrinkToFit="1"/>
    </xf>
    <xf numFmtId="49" fontId="1" fillId="3" borderId="0" xfId="0" applyNumberFormat="1" applyFont="1" applyFill="1" applyBorder="1" applyAlignment="1" applyProtection="1">
      <alignment horizontal="center" vertical="top" wrapText="1" shrinkToFit="1"/>
    </xf>
    <xf numFmtId="49" fontId="1" fillId="0" borderId="0" xfId="6"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left" vertical="center" wrapText="1" shrinkToFit="1"/>
    </xf>
    <xf numFmtId="49" fontId="1" fillId="0" borderId="0" xfId="0" applyNumberFormat="1" applyFont="1" applyFill="1" applyBorder="1" applyAlignment="1" applyProtection="1">
      <alignment horizontal="center" vertical="center" wrapText="1" shrinkToFit="1"/>
    </xf>
    <xf numFmtId="49" fontId="1" fillId="0" borderId="0" xfId="0" applyNumberFormat="1" applyFont="1" applyFill="1" applyBorder="1" applyAlignment="1" applyProtection="1">
      <alignment horizontal="left" vertical="top" wrapText="1" shrinkToFit="1"/>
    </xf>
    <xf numFmtId="49" fontId="1" fillId="0" borderId="0" xfId="0" applyNumberFormat="1" applyFont="1" applyFill="1" applyBorder="1" applyAlignment="1" applyProtection="1">
      <alignment horizontal="center" wrapText="1" shrinkToFit="1"/>
    </xf>
    <xf numFmtId="0" fontId="1" fillId="0" borderId="4" xfId="0" applyNumberFormat="1" applyFont="1" applyFill="1" applyBorder="1" applyAlignment="1" applyProtection="1">
      <alignment horizontal="left" vertical="top" wrapText="1" indent="1" shrinkToFit="1"/>
    </xf>
    <xf numFmtId="4" fontId="1" fillId="0" borderId="0" xfId="0" applyNumberFormat="1" applyFont="1" applyFill="1" applyBorder="1" applyAlignment="1" applyProtection="1">
      <alignment horizontal="center" vertical="top" wrapText="1" shrinkToFit="1"/>
      <protection locked="0"/>
    </xf>
    <xf numFmtId="49" fontId="1" fillId="0" borderId="4" xfId="0" applyNumberFormat="1" applyFont="1" applyFill="1" applyBorder="1" applyAlignment="1" applyProtection="1">
      <alignment horizontal="left" vertical="top" wrapText="1" indent="1" shrinkToFit="1"/>
    </xf>
    <xf numFmtId="49" fontId="1" fillId="3" borderId="0" xfId="0" applyNumberFormat="1" applyFont="1" applyFill="1" applyBorder="1" applyAlignment="1" applyProtection="1">
      <alignment horizontal="center" vertical="top" wrapText="1" shrinkToFit="1"/>
      <protection locked="0"/>
    </xf>
    <xf numFmtId="49" fontId="1" fillId="0" borderId="0" xfId="0" applyNumberFormat="1" applyFont="1" applyFill="1" applyBorder="1" applyAlignment="1" applyProtection="1">
      <alignment vertical="top" wrapText="1" shrinkToFit="1"/>
    </xf>
    <xf numFmtId="49" fontId="1" fillId="0" borderId="0" xfId="0" applyNumberFormat="1" applyFont="1" applyFill="1" applyBorder="1" applyAlignment="1" applyProtection="1">
      <alignment horizontal="justify" vertical="top" wrapText="1" shrinkToFit="1"/>
    </xf>
    <xf numFmtId="0" fontId="1" fillId="0" borderId="0" xfId="0" applyNumberFormat="1" applyFont="1" applyFill="1" applyBorder="1" applyAlignment="1" applyProtection="1">
      <alignment horizontal="justify" vertical="top" wrapText="1"/>
    </xf>
    <xf numFmtId="49" fontId="1" fillId="5" borderId="0" xfId="0" applyNumberFormat="1" applyFont="1" applyFill="1" applyBorder="1" applyAlignment="1" applyProtection="1">
      <alignment horizontal="left" vertical="top" wrapText="1" indent="1" shrinkToFit="1"/>
    </xf>
    <xf numFmtId="49" fontId="1" fillId="5" borderId="0" xfId="0" applyNumberFormat="1" applyFont="1" applyFill="1" applyBorder="1" applyAlignment="1" applyProtection="1">
      <alignment horizontal="center" vertical="top" wrapText="1" shrinkToFit="1"/>
    </xf>
    <xf numFmtId="49" fontId="1" fillId="0" borderId="0" xfId="0" applyNumberFormat="1" applyFont="1" applyFill="1" applyBorder="1" applyAlignment="1" applyProtection="1">
      <alignment horizontal="center" vertical="top" wrapText="1" shrinkToFit="1"/>
      <protection locked="0"/>
    </xf>
    <xf numFmtId="0" fontId="33" fillId="0" borderId="0" xfId="0" applyNumberFormat="1" applyFont="1" applyFill="1" applyBorder="1" applyAlignment="1" applyProtection="1">
      <alignment vertical="top"/>
    </xf>
    <xf numFmtId="49" fontId="1" fillId="3" borderId="6"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center" vertical="top" wrapText="1" shrinkToFit="1"/>
    </xf>
    <xf numFmtId="0" fontId="4" fillId="0" borderId="0" xfId="0" applyNumberFormat="1" applyFont="1" applyFill="1" applyBorder="1" applyAlignment="1" applyProtection="1">
      <alignment vertical="top" wrapText="1"/>
    </xf>
    <xf numFmtId="4" fontId="9" fillId="0" borderId="0" xfId="0" applyNumberFormat="1" applyFont="1" applyFill="1" applyBorder="1" applyAlignment="1" applyProtection="1">
      <alignment horizontal="justify" vertical="center" wrapText="1" shrinkToFit="1"/>
    </xf>
    <xf numFmtId="0" fontId="8" fillId="0" borderId="0" xfId="0" applyNumberFormat="1" applyFont="1" applyFill="1" applyBorder="1" applyAlignment="1" applyProtection="1">
      <alignment vertical="top" wrapText="1"/>
    </xf>
    <xf numFmtId="49" fontId="1" fillId="0" borderId="6" xfId="0" applyNumberFormat="1" applyFont="1" applyFill="1" applyBorder="1" applyAlignment="1" applyProtection="1">
      <alignment horizontal="left" vertical="top" wrapText="1" shrinkToFit="1"/>
    </xf>
    <xf numFmtId="0" fontId="34" fillId="0" borderId="0" xfId="0" applyNumberFormat="1" applyFont="1" applyFill="1" applyBorder="1" applyAlignment="1" applyProtection="1">
      <alignment vertical="top" wrapText="1"/>
    </xf>
    <xf numFmtId="4" fontId="8" fillId="5" borderId="0" xfId="0" applyNumberFormat="1" applyFont="1" applyFill="1" applyBorder="1" applyAlignment="1" applyProtection="1">
      <alignment horizontal="justify" vertical="center" wrapText="1" shrinkToFit="1"/>
    </xf>
    <xf numFmtId="4" fontId="4" fillId="5" borderId="0" xfId="0" applyNumberFormat="1" applyFont="1" applyFill="1" applyBorder="1" applyAlignment="1" applyProtection="1">
      <alignment horizontal="center" vertical="center" wrapText="1" shrinkToFit="1"/>
      <protection locked="0"/>
    </xf>
    <xf numFmtId="4" fontId="1" fillId="5" borderId="0" xfId="0" applyNumberFormat="1" applyFont="1" applyFill="1" applyBorder="1" applyAlignment="1" applyProtection="1">
      <alignment horizontal="justify" vertical="center" wrapText="1" shrinkToFit="1"/>
    </xf>
    <xf numFmtId="49" fontId="1" fillId="5" borderId="0" xfId="0" applyNumberFormat="1" applyFont="1" applyFill="1" applyBorder="1" applyAlignment="1" applyProtection="1">
      <alignment vertical="top" wrapText="1" shrinkToFit="1"/>
    </xf>
    <xf numFmtId="4" fontId="1" fillId="5" borderId="0" xfId="0" applyNumberFormat="1" applyFont="1" applyFill="1" applyBorder="1" applyAlignment="1" applyProtection="1">
      <alignment horizontal="justify" vertical="top" wrapText="1" shrinkToFit="1"/>
    </xf>
    <xf numFmtId="49" fontId="1" fillId="0" borderId="4" xfId="0" applyNumberFormat="1" applyFont="1" applyFill="1" applyBorder="1" applyAlignment="1" applyProtection="1">
      <alignment horizontal="left" vertical="top" wrapText="1" shrinkToFit="1"/>
    </xf>
    <xf numFmtId="2" fontId="1" fillId="0" borderId="4" xfId="0" applyNumberFormat="1" applyFont="1" applyFill="1" applyBorder="1" applyAlignment="1" applyProtection="1">
      <alignment horizontal="left" vertical="top" wrapText="1" shrinkToFit="1"/>
    </xf>
    <xf numFmtId="2" fontId="1" fillId="0" borderId="0" xfId="0" applyNumberFormat="1" applyFont="1" applyFill="1" applyBorder="1" applyAlignment="1" applyProtection="1">
      <alignment horizontal="justify" vertical="top" wrapText="1" shrinkToFit="1"/>
    </xf>
    <xf numFmtId="4" fontId="1" fillId="5" borderId="0" xfId="0" applyNumberFormat="1" applyFont="1" applyFill="1" applyBorder="1" applyAlignment="1" applyProtection="1">
      <alignment horizontal="left" vertical="top" wrapText="1" indent="1" shrinkToFit="1"/>
    </xf>
    <xf numFmtId="0" fontId="1" fillId="5" borderId="0" xfId="0" applyNumberFormat="1" applyFont="1" applyFill="1" applyBorder="1" applyAlignment="1" applyProtection="1">
      <alignment horizontal="justify" vertical="top" wrapText="1" shrinkToFit="1"/>
    </xf>
    <xf numFmtId="0" fontId="23" fillId="5" borderId="0" xfId="0" applyNumberFormat="1" applyFont="1" applyFill="1" applyBorder="1" applyAlignment="1" applyProtection="1">
      <alignment horizontal="justify" vertical="top" wrapText="1" shrinkToFit="1"/>
    </xf>
    <xf numFmtId="4" fontId="3" fillId="8" borderId="0" xfId="0" applyNumberFormat="1" applyFont="1" applyFill="1" applyBorder="1" applyAlignment="1" applyProtection="1">
      <alignment horizontal="center" vertical="center" wrapText="1" shrinkToFit="1"/>
    </xf>
    <xf numFmtId="0" fontId="1" fillId="8" borderId="0" xfId="0" applyNumberFormat="1" applyFont="1" applyFill="1" applyBorder="1" applyAlignment="1" applyProtection="1">
      <alignment horizontal="justify" vertical="top" wrapText="1" shrinkToFit="1"/>
    </xf>
    <xf numFmtId="0" fontId="23" fillId="8" borderId="0" xfId="0" applyNumberFormat="1" applyFont="1" applyFill="1" applyBorder="1" applyAlignment="1" applyProtection="1">
      <alignment horizontal="justify" vertical="top" wrapText="1" shrinkToFit="1"/>
    </xf>
    <xf numFmtId="0" fontId="8" fillId="8" borderId="0" xfId="0" applyNumberFormat="1" applyFont="1" applyFill="1" applyBorder="1" applyAlignment="1" applyProtection="1">
      <alignment horizontal="justify" vertical="top" wrapText="1" shrinkToFit="1"/>
    </xf>
    <xf numFmtId="0" fontId="26" fillId="8" borderId="0" xfId="0" applyNumberFormat="1" applyFont="1" applyFill="1" applyBorder="1" applyAlignment="1" applyProtection="1">
      <alignment horizontal="justify" vertical="top" wrapText="1" shrinkToFit="1"/>
    </xf>
    <xf numFmtId="0" fontId="8" fillId="8" borderId="0" xfId="0" applyNumberFormat="1" applyFont="1" applyFill="1" applyBorder="1" applyAlignment="1" applyProtection="1">
      <alignment horizontal="justify" vertical="center" wrapText="1" shrinkToFit="1"/>
    </xf>
    <xf numFmtId="0" fontId="26" fillId="8" borderId="0" xfId="0" applyNumberFormat="1" applyFont="1" applyFill="1" applyBorder="1" applyAlignment="1" applyProtection="1">
      <alignment horizontal="justify" vertical="center" wrapText="1" shrinkToFit="1"/>
    </xf>
    <xf numFmtId="0" fontId="5" fillId="8" borderId="0" xfId="0" applyNumberFormat="1" applyFont="1" applyFill="1" applyBorder="1" applyAlignment="1" applyProtection="1">
      <alignment horizontal="justify" vertical="center" wrapText="1" shrinkToFit="1"/>
    </xf>
    <xf numFmtId="4" fontId="3" fillId="8" borderId="0" xfId="0" applyNumberFormat="1" applyFont="1" applyFill="1" applyBorder="1" applyAlignment="1" applyProtection="1">
      <alignment horizontal="center" vertical="center" wrapText="1" shrinkToFit="1"/>
      <protection locked="0"/>
    </xf>
    <xf numFmtId="0" fontId="3" fillId="8" borderId="0" xfId="0" applyNumberFormat="1" applyFont="1" applyFill="1" applyBorder="1" applyAlignment="1" applyProtection="1">
      <alignment horizontal="justify" vertical="center" wrapText="1" shrinkToFit="1"/>
    </xf>
    <xf numFmtId="4" fontId="5" fillId="8" borderId="0" xfId="0" applyNumberFormat="1" applyFont="1" applyFill="1" applyBorder="1" applyAlignment="1" applyProtection="1">
      <alignment horizontal="justify" vertical="center" wrapText="1" shrinkToFit="1"/>
    </xf>
    <xf numFmtId="0" fontId="9" fillId="8" borderId="0" xfId="0" applyNumberFormat="1" applyFont="1" applyFill="1" applyBorder="1" applyAlignment="1" applyProtection="1">
      <alignment horizontal="justify" vertical="top" wrapText="1" shrinkToFit="1"/>
    </xf>
    <xf numFmtId="0" fontId="8" fillId="5" borderId="0" xfId="0" applyNumberFormat="1" applyFont="1" applyFill="1" applyBorder="1" applyAlignment="1" applyProtection="1">
      <alignment horizontal="justify" vertical="top" wrapText="1" shrinkToFit="1"/>
    </xf>
    <xf numFmtId="0" fontId="26" fillId="5" borderId="0" xfId="0" applyNumberFormat="1" applyFont="1" applyFill="1" applyBorder="1" applyAlignment="1" applyProtection="1">
      <alignment horizontal="justify" vertical="top" wrapText="1" shrinkToFit="1"/>
    </xf>
    <xf numFmtId="0" fontId="9" fillId="5" borderId="0" xfId="0" applyNumberFormat="1" applyFont="1" applyFill="1" applyBorder="1" applyAlignment="1" applyProtection="1">
      <alignment horizontal="justify" vertical="top" wrapText="1" shrinkToFit="1"/>
    </xf>
    <xf numFmtId="0" fontId="27" fillId="5" borderId="0" xfId="0" applyNumberFormat="1" applyFont="1" applyFill="1" applyBorder="1" applyAlignment="1" applyProtection="1">
      <alignment horizontal="justify" vertical="top" wrapText="1" shrinkToFit="1"/>
    </xf>
    <xf numFmtId="2" fontId="1" fillId="5" borderId="0" xfId="0" applyNumberFormat="1" applyFont="1" applyFill="1" applyBorder="1" applyAlignment="1" applyProtection="1">
      <alignment horizontal="left" vertical="top" wrapText="1" shrinkToFit="1"/>
    </xf>
    <xf numFmtId="2" fontId="1" fillId="5" borderId="0" xfId="0" applyNumberFormat="1" applyFont="1" applyFill="1" applyBorder="1" applyAlignment="1" applyProtection="1">
      <alignment horizontal="justify" vertical="top" wrapText="1" shrinkToFit="1"/>
    </xf>
    <xf numFmtId="4" fontId="3" fillId="9" borderId="0" xfId="0" applyNumberFormat="1" applyFont="1" applyFill="1" applyBorder="1" applyAlignment="1" applyProtection="1">
      <alignment horizontal="center" vertical="center" wrapText="1" shrinkToFit="1"/>
      <protection locked="0"/>
    </xf>
    <xf numFmtId="4" fontId="3" fillId="9" borderId="0" xfId="0" applyNumberFormat="1" applyFont="1" applyFill="1" applyBorder="1" applyAlignment="1" applyProtection="1">
      <alignment horizontal="center" vertical="top" wrapText="1" shrinkToFit="1"/>
      <protection locked="0"/>
    </xf>
    <xf numFmtId="49" fontId="8" fillId="0" borderId="14" xfId="0" applyNumberFormat="1" applyFont="1" applyFill="1" applyBorder="1" applyAlignment="1" applyProtection="1">
      <alignment horizontal="left" vertical="top" wrapText="1" shrinkToFit="1"/>
    </xf>
    <xf numFmtId="10" fontId="3" fillId="0" borderId="0" xfId="0" applyNumberFormat="1" applyFont="1" applyFill="1" applyBorder="1" applyAlignment="1" applyProtection="1">
      <alignment horizontal="center" vertical="center" wrapText="1" shrinkToFit="1"/>
    </xf>
    <xf numFmtId="10" fontId="4" fillId="0" borderId="0" xfId="0" applyNumberFormat="1" applyFont="1" applyFill="1" applyBorder="1" applyAlignment="1" applyProtection="1">
      <alignment horizontal="center" vertical="center" wrapText="1" shrinkToFit="1"/>
    </xf>
    <xf numFmtId="4" fontId="3" fillId="2" borderId="0" xfId="0" applyNumberFormat="1" applyFont="1" applyFill="1" applyBorder="1" applyAlignment="1" applyProtection="1">
      <alignment horizontal="centerContinuous" vertical="center"/>
    </xf>
    <xf numFmtId="0" fontId="1" fillId="0" borderId="5" xfId="0" applyFont="1" applyFill="1" applyBorder="1" applyAlignment="1" applyProtection="1">
      <alignment horizontal="center" vertical="center"/>
    </xf>
    <xf numFmtId="167" fontId="3" fillId="0" borderId="5" xfId="0" applyNumberFormat="1" applyFont="1" applyFill="1" applyBorder="1" applyAlignment="1" applyProtection="1">
      <alignment horizontal="center" vertical="center"/>
    </xf>
    <xf numFmtId="4" fontId="4" fillId="0" borderId="5" xfId="0" applyNumberFormat="1" applyFont="1" applyFill="1" applyBorder="1" applyAlignment="1" applyProtection="1">
      <alignment horizontal="center" vertical="center" wrapText="1"/>
    </xf>
    <xf numFmtId="49" fontId="4" fillId="3" borderId="0" xfId="0" applyNumberFormat="1" applyFont="1" applyFill="1" applyBorder="1" applyAlignment="1" applyProtection="1">
      <alignment horizontal="center" vertical="top" wrapText="1" shrinkToFit="1"/>
    </xf>
    <xf numFmtId="49" fontId="8" fillId="0" borderId="0" xfId="0" applyNumberFormat="1" applyFont="1" applyFill="1" applyBorder="1" applyAlignment="1" applyProtection="1">
      <alignment horizontal="justify" vertical="top" wrapText="1" shrinkToFit="1"/>
      <protection locked="0"/>
    </xf>
    <xf numFmtId="49" fontId="1" fillId="5" borderId="0" xfId="0" applyNumberFormat="1" applyFont="1" applyFill="1" applyBorder="1" applyAlignment="1" applyProtection="1">
      <alignment horizontal="center" vertical="top" wrapText="1" shrinkToFit="1"/>
      <protection locked="0"/>
    </xf>
    <xf numFmtId="0" fontId="8" fillId="0" borderId="0" xfId="4" applyFont="1" applyAlignment="1">
      <alignment horizontal="right" vertical="top"/>
    </xf>
    <xf numFmtId="0" fontId="1" fillId="2" borderId="0" xfId="0" applyFont="1" applyFill="1" applyBorder="1" applyAlignment="1">
      <alignment horizontal="center" vertical="top"/>
    </xf>
    <xf numFmtId="0" fontId="8" fillId="0" borderId="0" xfId="5" applyFont="1" applyAlignment="1">
      <alignment horizontal="center"/>
    </xf>
    <xf numFmtId="0" fontId="8" fillId="0" borderId="3" xfId="5" applyFont="1" applyBorder="1" applyAlignment="1">
      <alignment horizontal="left"/>
    </xf>
    <xf numFmtId="0" fontId="8" fillId="0" borderId="12" xfId="5" applyFont="1" applyBorder="1" applyAlignment="1">
      <alignment horizontal="left"/>
    </xf>
    <xf numFmtId="1" fontId="8" fillId="0" borderId="3" xfId="5" applyNumberFormat="1" applyFont="1" applyBorder="1" applyAlignment="1">
      <alignment horizontal="left"/>
    </xf>
    <xf numFmtId="0" fontId="8" fillId="0" borderId="2" xfId="5" applyFont="1" applyBorder="1" applyAlignment="1">
      <alignment horizontal="left"/>
    </xf>
    <xf numFmtId="2" fontId="1" fillId="4" borderId="3" xfId="5" applyNumberFormat="1" applyFill="1" applyBorder="1" applyAlignment="1">
      <alignment horizontal="left" vertical="center"/>
    </xf>
    <xf numFmtId="2" fontId="1" fillId="4" borderId="2" xfId="5" applyNumberFormat="1" applyFill="1" applyBorder="1" applyAlignment="1">
      <alignment horizontal="left" vertical="center"/>
    </xf>
    <xf numFmtId="2" fontId="1" fillId="4" borderId="12" xfId="5" applyNumberFormat="1" applyFill="1" applyBorder="1" applyAlignment="1">
      <alignment horizontal="left" vertical="center"/>
    </xf>
    <xf numFmtId="0" fontId="8" fillId="0" borderId="0" xfId="5" applyFont="1" applyAlignment="1">
      <alignment horizontal="center" wrapText="1"/>
    </xf>
    <xf numFmtId="2" fontId="4" fillId="2" borderId="0" xfId="0" applyNumberFormat="1" applyFont="1" applyFill="1" applyBorder="1" applyAlignment="1" applyProtection="1">
      <alignment horizontal="center" vertical="center"/>
      <protection locked="0"/>
    </xf>
    <xf numFmtId="167" fontId="11" fillId="2" borderId="0" xfId="0" applyNumberFormat="1" applyFont="1" applyFill="1" applyBorder="1" applyAlignment="1" applyProtection="1">
      <alignment horizontal="center" vertical="center"/>
    </xf>
    <xf numFmtId="0" fontId="37" fillId="0" borderId="0" xfId="4" applyFont="1" applyAlignment="1">
      <alignment wrapText="1"/>
    </xf>
  </cellXfs>
  <cellStyles count="7">
    <cellStyle name="Euro" xfId="1" xr:uid="{86DAC7F4-5FCF-4F61-A72A-43ED633749D8}"/>
    <cellStyle name="Normal" xfId="0" builtinId="0"/>
    <cellStyle name="Normal 2" xfId="2" xr:uid="{36F905D3-BDB0-4279-AF6A-19D51F9079BA}"/>
    <cellStyle name="Normal 3" xfId="3" xr:uid="{9D6B8EF8-AD04-47AB-8649-54C42D93D9C7}"/>
    <cellStyle name="Normal_Classeur1" xfId="4" xr:uid="{088993A5-2574-42DF-AB00-7858CED25BAB}"/>
    <cellStyle name="Normal_Classeur3" xfId="5" xr:uid="{499B9792-A8EE-425F-B319-B7A0C6104624}"/>
    <cellStyle name="Normal_Estim PRO" xfId="6" xr:uid="{B348A3B4-9B79-4194-8FE7-2A5102EA212D}"/>
  </cellStyles>
  <dxfs count="122">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ill>
        <patternFill>
          <bgColor indexed="43"/>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patternType="none">
          <bgColor indexed="65"/>
        </patternFill>
      </fill>
    </dxf>
    <dxf>
      <font>
        <b/>
        <i val="0"/>
        <condense val="0"/>
        <extend val="0"/>
        <color indexed="10"/>
      </font>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ont>
        <b/>
        <i val="0"/>
        <condense val="0"/>
        <extend val="0"/>
      </font>
      <fill>
        <patternFill patternType="none">
          <bgColor indexed="65"/>
        </patternFill>
      </fill>
    </dxf>
    <dxf>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1828800</xdr:colOff>
      <xdr:row>3</xdr:row>
      <xdr:rowOff>0</xdr:rowOff>
    </xdr:to>
    <xdr:sp macro="" textlink="">
      <xdr:nvSpPr>
        <xdr:cNvPr id="85573" name="Rectangle 1">
          <a:extLst>
            <a:ext uri="{FF2B5EF4-FFF2-40B4-BE49-F238E27FC236}">
              <a16:creationId xmlns:a16="http://schemas.microsoft.com/office/drawing/2014/main" id="{866C8FA4-E7F7-F83C-2304-D5553AB6F1D0}"/>
            </a:ext>
          </a:extLst>
        </xdr:cNvPr>
        <xdr:cNvSpPr>
          <a:spLocks noChangeArrowheads="1"/>
        </xdr:cNvSpPr>
      </xdr:nvSpPr>
      <xdr:spPr bwMode="auto">
        <a:xfrm>
          <a:off x="0" y="9525"/>
          <a:ext cx="409575"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85725</xdr:colOff>
      <xdr:row>0</xdr:row>
      <xdr:rowOff>114300</xdr:rowOff>
    </xdr:from>
    <xdr:to>
      <xdr:col>1</xdr:col>
      <xdr:colOff>895350</xdr:colOff>
      <xdr:row>2</xdr:row>
      <xdr:rowOff>190500</xdr:rowOff>
    </xdr:to>
    <xdr:pic>
      <xdr:nvPicPr>
        <xdr:cNvPr id="85574" name="Image 1">
          <a:extLst>
            <a:ext uri="{FF2B5EF4-FFF2-40B4-BE49-F238E27FC236}">
              <a16:creationId xmlns:a16="http://schemas.microsoft.com/office/drawing/2014/main" id="{2F4C4DCE-1908-2B17-CA89-8DC9443F218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114300"/>
          <a:ext cx="8096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0</xdr:col>
      <xdr:colOff>1828800</xdr:colOff>
      <xdr:row>3</xdr:row>
      <xdr:rowOff>0</xdr:rowOff>
    </xdr:to>
    <xdr:sp macro="" textlink="">
      <xdr:nvSpPr>
        <xdr:cNvPr id="85575" name="Rectangle 1">
          <a:extLst>
            <a:ext uri="{FF2B5EF4-FFF2-40B4-BE49-F238E27FC236}">
              <a16:creationId xmlns:a16="http://schemas.microsoft.com/office/drawing/2014/main" id="{9CB24EA3-90C4-81B4-1970-3FA6CD6676B7}"/>
            </a:ext>
          </a:extLst>
        </xdr:cNvPr>
        <xdr:cNvSpPr>
          <a:spLocks noChangeArrowheads="1"/>
        </xdr:cNvSpPr>
      </xdr:nvSpPr>
      <xdr:spPr bwMode="auto">
        <a:xfrm>
          <a:off x="0" y="9525"/>
          <a:ext cx="409575"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xdr:rowOff>
    </xdr:from>
    <xdr:to>
      <xdr:col>1</xdr:col>
      <xdr:colOff>1828800</xdr:colOff>
      <xdr:row>4</xdr:row>
      <xdr:rowOff>0</xdr:rowOff>
    </xdr:to>
    <xdr:sp macro="" textlink="">
      <xdr:nvSpPr>
        <xdr:cNvPr id="87319" name="Rectangle 1">
          <a:extLst>
            <a:ext uri="{FF2B5EF4-FFF2-40B4-BE49-F238E27FC236}">
              <a16:creationId xmlns:a16="http://schemas.microsoft.com/office/drawing/2014/main" id="{F892C675-097A-4466-9F49-7A231AF9D43E}"/>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0</xdr:col>
      <xdr:colOff>853440</xdr:colOff>
      <xdr:row>2</xdr:row>
      <xdr:rowOff>0</xdr:rowOff>
    </xdr:to>
    <xdr:pic>
      <xdr:nvPicPr>
        <xdr:cNvPr id="87320" name="Image 1">
          <a:extLst>
            <a:ext uri="{FF2B5EF4-FFF2-40B4-BE49-F238E27FC236}">
              <a16:creationId xmlns:a16="http://schemas.microsoft.com/office/drawing/2014/main" id="{B95ABF86-9FD6-D76D-758F-8CEA84DE46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104775</xdr:rowOff>
    </xdr:from>
    <xdr:to>
      <xdr:col>1</xdr:col>
      <xdr:colOff>0</xdr:colOff>
      <xdr:row>3</xdr:row>
      <xdr:rowOff>152400</xdr:rowOff>
    </xdr:to>
    <xdr:pic>
      <xdr:nvPicPr>
        <xdr:cNvPr id="81527" name="Image 1">
          <a:extLst>
            <a:ext uri="{FF2B5EF4-FFF2-40B4-BE49-F238E27FC236}">
              <a16:creationId xmlns:a16="http://schemas.microsoft.com/office/drawing/2014/main" id="{21CF8D87-0B4E-9ABC-61DC-D4490B35C5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04775"/>
          <a:ext cx="61912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9525</xdr:rowOff>
    </xdr:from>
    <xdr:to>
      <xdr:col>1</xdr:col>
      <xdr:colOff>1838325</xdr:colOff>
      <xdr:row>4</xdr:row>
      <xdr:rowOff>0</xdr:rowOff>
    </xdr:to>
    <xdr:sp macro="" textlink="">
      <xdr:nvSpPr>
        <xdr:cNvPr id="86458" name="Rectangle 1">
          <a:extLst>
            <a:ext uri="{FF2B5EF4-FFF2-40B4-BE49-F238E27FC236}">
              <a16:creationId xmlns:a16="http://schemas.microsoft.com/office/drawing/2014/main" id="{809C4683-1EDE-0C71-5BB9-2338FB2C6985}"/>
            </a:ext>
          </a:extLst>
        </xdr:cNvPr>
        <xdr:cNvSpPr>
          <a:spLocks noChangeArrowheads="1"/>
        </xdr:cNvSpPr>
      </xdr:nvSpPr>
      <xdr:spPr bwMode="auto">
        <a:xfrm>
          <a:off x="0" y="9525"/>
          <a:ext cx="2609850" cy="1200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9525</xdr:colOff>
      <xdr:row>0</xdr:row>
      <xdr:rowOff>9525</xdr:rowOff>
    </xdr:from>
    <xdr:to>
      <xdr:col>1</xdr:col>
      <xdr:colOff>1847850</xdr:colOff>
      <xdr:row>4</xdr:row>
      <xdr:rowOff>0</xdr:rowOff>
    </xdr:to>
    <xdr:sp macro="" textlink="">
      <xdr:nvSpPr>
        <xdr:cNvPr id="86459" name="Rectangle 1">
          <a:extLst>
            <a:ext uri="{FF2B5EF4-FFF2-40B4-BE49-F238E27FC236}">
              <a16:creationId xmlns:a16="http://schemas.microsoft.com/office/drawing/2014/main" id="{2F851738-EA87-6F40-8FBD-400915CF65B5}"/>
            </a:ext>
          </a:extLst>
        </xdr:cNvPr>
        <xdr:cNvSpPr>
          <a:spLocks noChangeArrowheads="1"/>
        </xdr:cNvSpPr>
      </xdr:nvSpPr>
      <xdr:spPr bwMode="auto">
        <a:xfrm>
          <a:off x="9525" y="9525"/>
          <a:ext cx="2609850" cy="1200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xdr:row>
      <xdr:rowOff>66675</xdr:rowOff>
    </xdr:from>
    <xdr:to>
      <xdr:col>1</xdr:col>
      <xdr:colOff>0</xdr:colOff>
      <xdr:row>2</xdr:row>
      <xdr:rowOff>186690</xdr:rowOff>
    </xdr:to>
    <xdr:pic>
      <xdr:nvPicPr>
        <xdr:cNvPr id="86460" name="Image 1">
          <a:extLst>
            <a:ext uri="{FF2B5EF4-FFF2-40B4-BE49-F238E27FC236}">
              <a16:creationId xmlns:a16="http://schemas.microsoft.com/office/drawing/2014/main" id="{FCEA189B-21AE-62F3-4510-36ED61FDF4F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314325"/>
          <a:ext cx="6286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2" name="Rectangle 1">
          <a:extLst>
            <a:ext uri="{FF2B5EF4-FFF2-40B4-BE49-F238E27FC236}">
              <a16:creationId xmlns:a16="http://schemas.microsoft.com/office/drawing/2014/main" id="{38827CE1-D1EC-4D31-AF97-625074A138FD}"/>
            </a:ext>
            <a:ext uri="{147F2762-F138-4A5C-976F-8EAC2B608ADB}">
              <a16:predDERef xmlns:a16="http://schemas.microsoft.com/office/drawing/2014/main" pred="{FCEA189B-21AE-62F3-4510-36ED61FDF4F1}"/>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3" name="Image 1">
          <a:extLst>
            <a:ext uri="{FF2B5EF4-FFF2-40B4-BE49-F238E27FC236}">
              <a16:creationId xmlns:a16="http://schemas.microsoft.com/office/drawing/2014/main" id="{1B3AD33C-E195-4269-9A45-E9405B04CF94}"/>
            </a:ext>
            <a:ext uri="{147F2762-F138-4A5C-976F-8EAC2B608ADB}">
              <a16:predDERef xmlns:a16="http://schemas.microsoft.com/office/drawing/2014/main" pred="{38827CE1-D1EC-4D31-AF97-625074A138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4" name="Rectangle 1">
          <a:extLst>
            <a:ext uri="{FF2B5EF4-FFF2-40B4-BE49-F238E27FC236}">
              <a16:creationId xmlns:a16="http://schemas.microsoft.com/office/drawing/2014/main" id="{F4231A3D-C82D-4883-A0A6-7BB76F405A21}"/>
            </a:ext>
            <a:ext uri="{147F2762-F138-4A5C-976F-8EAC2B608ADB}">
              <a16:predDERef xmlns:a16="http://schemas.microsoft.com/office/drawing/2014/main" pred="{1B3AD33C-E195-4269-9A45-E9405B04CF94}"/>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5" name="Image 1">
          <a:extLst>
            <a:ext uri="{FF2B5EF4-FFF2-40B4-BE49-F238E27FC236}">
              <a16:creationId xmlns:a16="http://schemas.microsoft.com/office/drawing/2014/main" id="{40D95480-815D-4DA9-BB67-43B3836B352D}"/>
            </a:ext>
            <a:ext uri="{147F2762-F138-4A5C-976F-8EAC2B608ADB}">
              <a16:predDERef xmlns:a16="http://schemas.microsoft.com/office/drawing/2014/main" pred="{F4231A3D-C82D-4883-A0A6-7BB76F405A2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6" name="Rectangle 1">
          <a:extLst>
            <a:ext uri="{FF2B5EF4-FFF2-40B4-BE49-F238E27FC236}">
              <a16:creationId xmlns:a16="http://schemas.microsoft.com/office/drawing/2014/main" id="{5F0D619A-3E71-48FB-9AA2-F4C4092E3431}"/>
            </a:ext>
            <a:ext uri="{147F2762-F138-4A5C-976F-8EAC2B608ADB}">
              <a16:predDERef xmlns:a16="http://schemas.microsoft.com/office/drawing/2014/main" pred="{40D95480-815D-4DA9-BB67-43B3836B352D}"/>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7" name="Image 1">
          <a:extLst>
            <a:ext uri="{FF2B5EF4-FFF2-40B4-BE49-F238E27FC236}">
              <a16:creationId xmlns:a16="http://schemas.microsoft.com/office/drawing/2014/main" id="{ECB9A53A-439A-45D8-9FBA-2CFB2570CCEC}"/>
            </a:ext>
            <a:ext uri="{147F2762-F138-4A5C-976F-8EAC2B608ADB}">
              <a16:predDERef xmlns:a16="http://schemas.microsoft.com/office/drawing/2014/main" pred="{5F0D619A-3E71-48FB-9AA2-F4C4092E34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8" name="Rectangle 1">
          <a:extLst>
            <a:ext uri="{FF2B5EF4-FFF2-40B4-BE49-F238E27FC236}">
              <a16:creationId xmlns:a16="http://schemas.microsoft.com/office/drawing/2014/main" id="{E02A1F08-9E01-400F-AAD6-AD1648F70C7C}"/>
            </a:ext>
            <a:ext uri="{147F2762-F138-4A5C-976F-8EAC2B608ADB}">
              <a16:predDERef xmlns:a16="http://schemas.microsoft.com/office/drawing/2014/main" pred="{ECB9A53A-439A-45D8-9FBA-2CFB2570CCEC}"/>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9" name="Image 1">
          <a:extLst>
            <a:ext uri="{FF2B5EF4-FFF2-40B4-BE49-F238E27FC236}">
              <a16:creationId xmlns:a16="http://schemas.microsoft.com/office/drawing/2014/main" id="{8AE19DCA-368E-44AD-86BE-A31BA05D0142}"/>
            </a:ext>
            <a:ext uri="{147F2762-F138-4A5C-976F-8EAC2B608ADB}">
              <a16:predDERef xmlns:a16="http://schemas.microsoft.com/office/drawing/2014/main" pred="{E02A1F08-9E01-400F-AAD6-AD1648F70C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0" name="Rectangle 1">
          <a:extLst>
            <a:ext uri="{FF2B5EF4-FFF2-40B4-BE49-F238E27FC236}">
              <a16:creationId xmlns:a16="http://schemas.microsoft.com/office/drawing/2014/main" id="{1644E879-DF8D-4A6A-BF96-71DA3A028244}"/>
            </a:ext>
            <a:ext uri="{147F2762-F138-4A5C-976F-8EAC2B608ADB}">
              <a16:predDERef xmlns:a16="http://schemas.microsoft.com/office/drawing/2014/main" pred="{8AE19DCA-368E-44AD-86BE-A31BA05D0142}"/>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1" name="Image 1">
          <a:extLst>
            <a:ext uri="{FF2B5EF4-FFF2-40B4-BE49-F238E27FC236}">
              <a16:creationId xmlns:a16="http://schemas.microsoft.com/office/drawing/2014/main" id="{B221EEB0-A551-41B2-A67C-5E14E8C60BFC}"/>
            </a:ext>
            <a:ext uri="{147F2762-F138-4A5C-976F-8EAC2B608ADB}">
              <a16:predDERef xmlns:a16="http://schemas.microsoft.com/office/drawing/2014/main" pred="{1644E879-DF8D-4A6A-BF96-71DA3A0282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2" name="Rectangle 1">
          <a:extLst>
            <a:ext uri="{FF2B5EF4-FFF2-40B4-BE49-F238E27FC236}">
              <a16:creationId xmlns:a16="http://schemas.microsoft.com/office/drawing/2014/main" id="{151ADF30-D28D-4041-BBCC-9AB464E1AD85}"/>
            </a:ext>
            <a:ext uri="{147F2762-F138-4A5C-976F-8EAC2B608ADB}">
              <a16:predDERef xmlns:a16="http://schemas.microsoft.com/office/drawing/2014/main" pred="{B221EEB0-A551-41B2-A67C-5E14E8C60BFC}"/>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3" name="Image 1">
          <a:extLst>
            <a:ext uri="{FF2B5EF4-FFF2-40B4-BE49-F238E27FC236}">
              <a16:creationId xmlns:a16="http://schemas.microsoft.com/office/drawing/2014/main" id="{162ABD1C-1DF6-45C7-8E3A-065261D185AF}"/>
            </a:ext>
            <a:ext uri="{147F2762-F138-4A5C-976F-8EAC2B608ADB}">
              <a16:predDERef xmlns:a16="http://schemas.microsoft.com/office/drawing/2014/main" pred="{151ADF30-D28D-4041-BBCC-9AB464E1AD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4" name="Rectangle 1">
          <a:extLst>
            <a:ext uri="{FF2B5EF4-FFF2-40B4-BE49-F238E27FC236}">
              <a16:creationId xmlns:a16="http://schemas.microsoft.com/office/drawing/2014/main" id="{E208C3B7-F366-472A-A114-A7B91D756220}"/>
            </a:ext>
            <a:ext uri="{147F2762-F138-4A5C-976F-8EAC2B608ADB}">
              <a16:predDERef xmlns:a16="http://schemas.microsoft.com/office/drawing/2014/main" pred="{162ABD1C-1DF6-45C7-8E3A-065261D185AF}"/>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5" name="Image 1">
          <a:extLst>
            <a:ext uri="{FF2B5EF4-FFF2-40B4-BE49-F238E27FC236}">
              <a16:creationId xmlns:a16="http://schemas.microsoft.com/office/drawing/2014/main" id="{09723C93-8F4A-4476-9B0D-EF3DFEF40792}"/>
            </a:ext>
            <a:ext uri="{147F2762-F138-4A5C-976F-8EAC2B608ADB}">
              <a16:predDERef xmlns:a16="http://schemas.microsoft.com/office/drawing/2014/main" pred="{E208C3B7-F366-472A-A114-A7B91D7562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6" name="Rectangle 1">
          <a:extLst>
            <a:ext uri="{FF2B5EF4-FFF2-40B4-BE49-F238E27FC236}">
              <a16:creationId xmlns:a16="http://schemas.microsoft.com/office/drawing/2014/main" id="{1A8090C8-0077-4872-8ED4-1F857AAF7455}"/>
            </a:ext>
            <a:ext uri="{147F2762-F138-4A5C-976F-8EAC2B608ADB}">
              <a16:predDERef xmlns:a16="http://schemas.microsoft.com/office/drawing/2014/main" pred="{09723C93-8F4A-4476-9B0D-EF3DFEF40792}"/>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7" name="Image 1">
          <a:extLst>
            <a:ext uri="{FF2B5EF4-FFF2-40B4-BE49-F238E27FC236}">
              <a16:creationId xmlns:a16="http://schemas.microsoft.com/office/drawing/2014/main" id="{B122E001-2A34-4BA1-83FF-4FC82047A131}"/>
            </a:ext>
            <a:ext uri="{147F2762-F138-4A5C-976F-8EAC2B608ADB}">
              <a16:predDERef xmlns:a16="http://schemas.microsoft.com/office/drawing/2014/main" pred="{1A8090C8-0077-4872-8ED4-1F857AAF74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9525</xdr:rowOff>
    </xdr:from>
    <xdr:to>
      <xdr:col>1</xdr:col>
      <xdr:colOff>1828800</xdr:colOff>
      <xdr:row>4</xdr:row>
      <xdr:rowOff>0</xdr:rowOff>
    </xdr:to>
    <xdr:sp macro="" textlink="">
      <xdr:nvSpPr>
        <xdr:cNvPr id="18" name="Rectangle 1">
          <a:extLst>
            <a:ext uri="{FF2B5EF4-FFF2-40B4-BE49-F238E27FC236}">
              <a16:creationId xmlns:a16="http://schemas.microsoft.com/office/drawing/2014/main" id="{25B4DB33-0CA0-4139-A1BA-80570CD4E6C3}"/>
            </a:ext>
            <a:ext uri="{147F2762-F138-4A5C-976F-8EAC2B608ADB}">
              <a16:predDERef xmlns:a16="http://schemas.microsoft.com/office/drawing/2014/main" pred="{B122E001-2A34-4BA1-83FF-4FC82047A131}"/>
            </a:ext>
          </a:extLst>
        </xdr:cNvPr>
        <xdr:cNvSpPr>
          <a:spLocks noChangeArrowheads="1"/>
        </xdr:cNvSpPr>
      </xdr:nvSpPr>
      <xdr:spPr bwMode="auto">
        <a:xfrm>
          <a:off x="0" y="9525"/>
          <a:ext cx="2809875"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238125</xdr:colOff>
      <xdr:row>0</xdr:row>
      <xdr:rowOff>247650</xdr:rowOff>
    </xdr:from>
    <xdr:to>
      <xdr:col>1</xdr:col>
      <xdr:colOff>76200</xdr:colOff>
      <xdr:row>2</xdr:row>
      <xdr:rowOff>72390</xdr:rowOff>
    </xdr:to>
    <xdr:pic>
      <xdr:nvPicPr>
        <xdr:cNvPr id="19" name="Image 1">
          <a:extLst>
            <a:ext uri="{FF2B5EF4-FFF2-40B4-BE49-F238E27FC236}">
              <a16:creationId xmlns:a16="http://schemas.microsoft.com/office/drawing/2014/main" id="{E2DAD6F8-F902-4BCB-A32A-E12553B94FBE}"/>
            </a:ext>
            <a:ext uri="{147F2762-F138-4A5C-976F-8EAC2B608ADB}">
              <a16:predDERef xmlns:a16="http://schemas.microsoft.com/office/drawing/2014/main" pred="{25B4DB33-0CA0-4139-A1BA-80570CD4E6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ing\waccache\AM1PEPF0003EBAF\EXCELCNV\f0917f96-7854-4c74-b3bd-660fa5ea285c\20-3611%20Estimation_v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Cahier de Prix"/>
      <sheetName val="Forfaits Tx Prépas"/>
      <sheetName val="Estimation"/>
      <sheetName val="Mise en Page"/>
    </sheetNames>
    <sheetDataSet>
      <sheetData sheetId="0"/>
      <sheetData sheetId="1"/>
      <sheetData sheetId="2"/>
      <sheetData sheetId="3"/>
      <sheetData sheetId="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1AA1F-ACF2-4994-A424-3E6CE006B54B}">
  <sheetPr codeName="Feuil1"/>
  <dimension ref="A1:D945"/>
  <sheetViews>
    <sheetView workbookViewId="0"/>
  </sheetViews>
  <sheetFormatPr baseColWidth="10" defaultColWidth="9.109375" defaultRowHeight="13.2" x14ac:dyDescent="0.25"/>
  <cols>
    <col min="1" max="256" width="11.44140625" customWidth="1"/>
  </cols>
  <sheetData>
    <row r="1" spans="1:4" x14ac:dyDescent="0.25">
      <c r="A1" s="169" t="s">
        <v>0</v>
      </c>
      <c r="B1" s="169" t="s">
        <v>1</v>
      </c>
      <c r="C1" s="169" t="s">
        <v>2</v>
      </c>
      <c r="D1" s="169" t="s">
        <v>3</v>
      </c>
    </row>
    <row r="2" spans="1:4" x14ac:dyDescent="0.25">
      <c r="A2" s="170" t="s">
        <v>4</v>
      </c>
      <c r="B2" s="171" t="e">
        <f>IF(ISTEXT(([0]!P_1_1.1.1 [0]!Qté)),0,([0]!P_1_1.1.1 [0]!Qté))</f>
        <v>#REF!</v>
      </c>
      <c r="C2" s="172" t="e">
        <f>([0]!P_1_1.1.1 [0]!PU)</f>
        <v>#REF!</v>
      </c>
      <c r="D2" s="172" t="e">
        <f>IF(ISTEXT(([0]!P_1_1.1.1 [0]!MT)),0,([0]!P_1_1.1.1 [0]!MT))</f>
        <v>#REF!</v>
      </c>
    </row>
    <row r="3" spans="1:4" x14ac:dyDescent="0.25">
      <c r="A3" s="170" t="s">
        <v>5</v>
      </c>
      <c r="B3" s="171" t="e">
        <f>IF(ISTEXT(([0]!P_1_1.1.2 [0]!Qté)),0,([0]!P_1_1.1.2 [0]!Qté))</f>
        <v>#REF!</v>
      </c>
      <c r="C3" s="172" t="e">
        <f>([0]!P_1_1.1.2 [0]!PU)</f>
        <v>#REF!</v>
      </c>
      <c r="D3" s="172" t="e">
        <f>IF(ISTEXT(([0]!P_1_1.1.2 [0]!MT)),0,([0]!P_1_1.1.2 [0]!MT))</f>
        <v>#REF!</v>
      </c>
    </row>
    <row r="4" spans="1:4" x14ac:dyDescent="0.25">
      <c r="A4" s="170" t="s">
        <v>6</v>
      </c>
      <c r="B4" s="171" t="e">
        <f>IF(ISTEXT(([0]!P_1_1.2 [0]!Qté)),0,([0]!P_1_1.2 [0]!Qté))</f>
        <v>#REF!</v>
      </c>
      <c r="C4" s="172" t="e">
        <f>([0]!P_1_1.2 [0]!PU)</f>
        <v>#REF!</v>
      </c>
      <c r="D4" s="172" t="e">
        <f>IF(ISTEXT(([0]!P_1_1.2 [0]!MT)),0,([0]!P_1_1.2 [0]!MT))</f>
        <v>#REF!</v>
      </c>
    </row>
    <row r="5" spans="1:4" x14ac:dyDescent="0.25">
      <c r="A5" s="170" t="s">
        <v>7</v>
      </c>
      <c r="B5" s="171" t="e">
        <f>IF(ISTEXT(([0]!P_1_1.3.1.1 [0]!Qté)),0,([0]!P_1_1.3.1.1 [0]!Qté))</f>
        <v>#REF!</v>
      </c>
      <c r="C5" s="172" t="e">
        <f>([0]!P_1_1.3.1.1 [0]!PU)</f>
        <v>#REF!</v>
      </c>
      <c r="D5" s="172" t="e">
        <f>IF(ISTEXT(([0]!P_1_1.3.1.1 [0]!MT)),0,([0]!P_1_1.3.1.1 [0]!MT))</f>
        <v>#REF!</v>
      </c>
    </row>
    <row r="6" spans="1:4" x14ac:dyDescent="0.25">
      <c r="A6" s="170" t="s">
        <v>8</v>
      </c>
      <c r="B6" s="171" t="e">
        <f>IF(ISTEXT(([0]!P_1_1.3.1.2 [0]!Qté)),0,([0]!P_1_1.3.1.2 [0]!Qté))</f>
        <v>#REF!</v>
      </c>
      <c r="C6" s="172" t="e">
        <f>([0]!P_1_1.3.1.2 [0]!PU)</f>
        <v>#REF!</v>
      </c>
      <c r="D6" s="172" t="e">
        <f>IF(ISTEXT(([0]!P_1_1.3.1.2 [0]!MT)),0,([0]!P_1_1.3.1.2 [0]!MT))</f>
        <v>#REF!</v>
      </c>
    </row>
    <row r="7" spans="1:4" x14ac:dyDescent="0.25">
      <c r="A7" s="170" t="s">
        <v>9</v>
      </c>
      <c r="B7" s="171" t="e">
        <f>IF(ISTEXT(([0]!P_1_1.3.1.3 [0]!Qté)),0,([0]!P_1_1.3.1.3 [0]!Qté))</f>
        <v>#REF!</v>
      </c>
      <c r="C7" s="172" t="e">
        <f>([0]!P_1_1.3.1.3 [0]!PU)</f>
        <v>#REF!</v>
      </c>
      <c r="D7" s="172" t="e">
        <f>IF(ISTEXT(([0]!P_1_1.3.1.3 [0]!MT)),0,([0]!P_1_1.3.1.3 [0]!MT))</f>
        <v>#REF!</v>
      </c>
    </row>
    <row r="8" spans="1:4" x14ac:dyDescent="0.25">
      <c r="A8" s="170" t="s">
        <v>10</v>
      </c>
      <c r="B8" s="171" t="e">
        <f>IF(ISTEXT(([0]!P_1_1.3.1.4 [0]!Qté)),0,([0]!P_1_1.3.1.4 [0]!Qté))</f>
        <v>#REF!</v>
      </c>
      <c r="C8" s="172" t="e">
        <f>([0]!P_1_1.3.1.4 [0]!PU)</f>
        <v>#REF!</v>
      </c>
      <c r="D8" s="172" t="e">
        <f>IF(ISTEXT(([0]!P_1_1.3.1.4 [0]!MT)),0,([0]!P_1_1.3.1.4 [0]!MT))</f>
        <v>#REF!</v>
      </c>
    </row>
    <row r="9" spans="1:4" x14ac:dyDescent="0.25">
      <c r="A9" s="170" t="s">
        <v>11</v>
      </c>
      <c r="B9" s="171" t="e">
        <f>IF(ISTEXT(([0]!P_1_1.3.1.5 [0]!Qté)),0,([0]!P_1_1.3.1.5 [0]!Qté))</f>
        <v>#REF!</v>
      </c>
      <c r="C9" s="172" t="e">
        <f>([0]!P_1_1.3.1.5 [0]!PU)</f>
        <v>#REF!</v>
      </c>
      <c r="D9" s="172" t="e">
        <f>IF(ISTEXT(([0]!P_1_1.3.1.5 [0]!MT)),0,([0]!P_1_1.3.1.5 [0]!MT))</f>
        <v>#REF!</v>
      </c>
    </row>
    <row r="10" spans="1:4" x14ac:dyDescent="0.25">
      <c r="A10" s="170" t="s">
        <v>12</v>
      </c>
      <c r="B10" s="171" t="e">
        <f>IF(ISTEXT(([0]!P_1_1.3.1.6 [0]!Qté)),0,([0]!P_1_1.3.1.6 [0]!Qté))</f>
        <v>#REF!</v>
      </c>
      <c r="C10" s="172" t="e">
        <f>([0]!P_1_1.3.1.6 [0]!PU)</f>
        <v>#REF!</v>
      </c>
      <c r="D10" s="172" t="e">
        <f>IF(ISTEXT(([0]!P_1_1.3.1.6 [0]!MT)),0,([0]!P_1_1.3.1.6 [0]!MT))</f>
        <v>#REF!</v>
      </c>
    </row>
    <row r="11" spans="1:4" x14ac:dyDescent="0.25">
      <c r="A11" s="170" t="s">
        <v>13</v>
      </c>
      <c r="B11" s="171" t="e">
        <f>IF(ISTEXT(([0]!P_1_1.3.1.7 [0]!Qté)),0,([0]!P_1_1.3.1.7 [0]!Qté))</f>
        <v>#REF!</v>
      </c>
      <c r="C11" s="172" t="e">
        <f>([0]!P_1_1.3.1.7 [0]!PU)</f>
        <v>#REF!</v>
      </c>
      <c r="D11" s="172" t="e">
        <f>IF(ISTEXT(([0]!P_1_1.3.1.7 [0]!MT)),0,([0]!P_1_1.3.1.7 [0]!MT))</f>
        <v>#REF!</v>
      </c>
    </row>
    <row r="12" spans="1:4" x14ac:dyDescent="0.25">
      <c r="A12" s="170" t="s">
        <v>14</v>
      </c>
      <c r="B12" s="171" t="e">
        <f>IF(ISTEXT(([0]!P_1_1.3.1.8 [0]!Qté)),0,([0]!P_1_1.3.1.8 [0]!Qté))</f>
        <v>#REF!</v>
      </c>
      <c r="C12" s="172" t="e">
        <f>([0]!P_1_1.3.1.8 [0]!PU)</f>
        <v>#REF!</v>
      </c>
      <c r="D12" s="172" t="e">
        <f>IF(ISTEXT(([0]!P_1_1.3.1.8 [0]!MT)),0,([0]!P_1_1.3.1.8 [0]!MT))</f>
        <v>#REF!</v>
      </c>
    </row>
    <row r="13" spans="1:4" x14ac:dyDescent="0.25">
      <c r="A13" s="170" t="s">
        <v>15</v>
      </c>
      <c r="B13" s="171" t="e">
        <f>IF(ISTEXT(([0]!P_1_1.3.2.1 [0]!Qté)),0,([0]!P_1_1.3.2.1 [0]!Qté))</f>
        <v>#REF!</v>
      </c>
      <c r="C13" s="172" t="e">
        <f>([0]!P_1_1.3.2.1 [0]!PU)</f>
        <v>#REF!</v>
      </c>
      <c r="D13" s="172" t="e">
        <f>IF(ISTEXT(([0]!P_1_1.3.2.1 [0]!MT)),0,([0]!P_1_1.3.2.1 [0]!MT))</f>
        <v>#REF!</v>
      </c>
    </row>
    <row r="14" spans="1:4" x14ac:dyDescent="0.25">
      <c r="A14" s="170" t="s">
        <v>16</v>
      </c>
      <c r="B14" s="171" t="e">
        <f>IF(ISTEXT(([0]!P_1_1.3.2.2 [0]!Qté)),0,([0]!P_1_1.3.2.2 [0]!Qté))</f>
        <v>#REF!</v>
      </c>
      <c r="C14" s="172" t="e">
        <f>([0]!P_1_1.3.2.2 [0]!PU)</f>
        <v>#REF!</v>
      </c>
      <c r="D14" s="172" t="e">
        <f>IF(ISTEXT(([0]!P_1_1.3.2.2 [0]!MT)),0,([0]!P_1_1.3.2.2 [0]!MT))</f>
        <v>#REF!</v>
      </c>
    </row>
    <row r="15" spans="1:4" x14ac:dyDescent="0.25">
      <c r="A15" s="170" t="s">
        <v>17</v>
      </c>
      <c r="B15" s="171" t="e">
        <f>IF(ISTEXT(([0]!P_1_1.3.2.3 [0]!Qté)),0,([0]!P_1_1.3.2.3 [0]!Qté))</f>
        <v>#REF!</v>
      </c>
      <c r="C15" s="172" t="e">
        <f>([0]!P_1_1.3.2.3 [0]!PU)</f>
        <v>#REF!</v>
      </c>
      <c r="D15" s="172" t="e">
        <f>IF(ISTEXT(([0]!P_1_1.3.2.3 [0]!MT)),0,([0]!P_1_1.3.2.3 [0]!MT))</f>
        <v>#REF!</v>
      </c>
    </row>
    <row r="16" spans="1:4" x14ac:dyDescent="0.25">
      <c r="A16" s="170" t="s">
        <v>18</v>
      </c>
      <c r="B16" s="171" t="e">
        <f>IF(ISTEXT(([0]!P_1_1.3.2.4 [0]!Qté)),0,([0]!P_1_1.3.2.4 [0]!Qté))</f>
        <v>#REF!</v>
      </c>
      <c r="C16" s="172" t="e">
        <f>([0]!P_1_1.3.2.4 [0]!PU)</f>
        <v>#REF!</v>
      </c>
      <c r="D16" s="172" t="e">
        <f>IF(ISTEXT(([0]!P_1_1.3.2.4 [0]!MT)),0,([0]!P_1_1.3.2.4 [0]!MT))</f>
        <v>#REF!</v>
      </c>
    </row>
    <row r="17" spans="1:4" x14ac:dyDescent="0.25">
      <c r="A17" s="170" t="s">
        <v>19</v>
      </c>
      <c r="B17" s="171" t="e">
        <f>IF(ISTEXT(([0]!P_1_1.3.3.1 [0]!Qté)),0,([0]!P_1_1.3.3.1 [0]!Qté))</f>
        <v>#REF!</v>
      </c>
      <c r="C17" s="172" t="e">
        <f>([0]!P_1_1.3.3.1 [0]!PU)</f>
        <v>#REF!</v>
      </c>
      <c r="D17" s="172" t="e">
        <f>IF(ISTEXT(([0]!P_1_1.3.3.1 [0]!MT)),0,([0]!P_1_1.3.3.1 [0]!MT))</f>
        <v>#REF!</v>
      </c>
    </row>
    <row r="18" spans="1:4" x14ac:dyDescent="0.25">
      <c r="A18" s="170" t="s">
        <v>20</v>
      </c>
      <c r="B18" s="171" t="e">
        <f>IF(ISTEXT(([0]!P_1_1.3.3.2 [0]!Qté)),0,([0]!P_1_1.3.3.2 [0]!Qté))</f>
        <v>#REF!</v>
      </c>
      <c r="C18" s="172" t="e">
        <f>([0]!P_1_1.3.3.2 [0]!PU)</f>
        <v>#REF!</v>
      </c>
      <c r="D18" s="172" t="e">
        <f>IF(ISTEXT(([0]!P_1_1.3.3.2 [0]!MT)),0,([0]!P_1_1.3.3.2 [0]!MT))</f>
        <v>#REF!</v>
      </c>
    </row>
    <row r="19" spans="1:4" x14ac:dyDescent="0.25">
      <c r="A19" s="170" t="s">
        <v>21</v>
      </c>
      <c r="B19" s="171" t="e">
        <f>IF(ISTEXT(([0]!P_1_1.3.3.3 [0]!Qté)),0,([0]!P_1_1.3.3.3 [0]!Qté))</f>
        <v>#REF!</v>
      </c>
      <c r="C19" s="172" t="e">
        <f>([0]!P_1_1.3.3.3 [0]!PU)</f>
        <v>#REF!</v>
      </c>
      <c r="D19" s="172" t="e">
        <f>IF(ISTEXT(([0]!P_1_1.3.3.3 [0]!MT)),0,([0]!P_1_1.3.3.3 [0]!MT))</f>
        <v>#REF!</v>
      </c>
    </row>
    <row r="20" spans="1:4" x14ac:dyDescent="0.25">
      <c r="A20" s="170" t="s">
        <v>22</v>
      </c>
      <c r="B20" s="171" t="e">
        <f>IF(ISTEXT(([0]!P_1_1.3.3.4 [0]!Qté)),0,([0]!P_1_1.3.3.4 [0]!Qté))</f>
        <v>#REF!</v>
      </c>
      <c r="C20" s="172" t="e">
        <f>([0]!P_1_1.3.3.4 [0]!PU)</f>
        <v>#REF!</v>
      </c>
      <c r="D20" s="172" t="e">
        <f>IF(ISTEXT(([0]!P_1_1.3.3.4 [0]!MT)),0,([0]!P_1_1.3.3.4 [0]!MT))</f>
        <v>#REF!</v>
      </c>
    </row>
    <row r="21" spans="1:4" x14ac:dyDescent="0.25">
      <c r="A21" s="170" t="s">
        <v>23</v>
      </c>
      <c r="B21" s="171" t="e">
        <f>IF(ISTEXT(([0]!P_1_1.3.4 [0]!Qté)),0,([0]!P_1_1.3.4 [0]!Qté))</f>
        <v>#REF!</v>
      </c>
      <c r="C21" s="172" t="e">
        <f>([0]!P_1_1.3.4 [0]!PU)</f>
        <v>#REF!</v>
      </c>
      <c r="D21" s="172" t="e">
        <f>IF(ISTEXT(([0]!P_1_1.3.4 [0]!MT)),0,([0]!P_1_1.3.4 [0]!MT))</f>
        <v>#REF!</v>
      </c>
    </row>
    <row r="22" spans="1:4" x14ac:dyDescent="0.25">
      <c r="A22" s="170" t="s">
        <v>24</v>
      </c>
      <c r="B22" s="171" t="e">
        <f>IF(ISTEXT(([0]!P_1_1.3.5 [0]!Qté)),0,([0]!P_1_1.3.5 [0]!Qté))</f>
        <v>#REF!</v>
      </c>
      <c r="C22" s="172" t="e">
        <f>([0]!P_1_1.3.5 [0]!PU)</f>
        <v>#REF!</v>
      </c>
      <c r="D22" s="172" t="e">
        <f>IF(ISTEXT(([0]!P_1_1.3.5 [0]!MT)),0,([0]!P_1_1.3.5 [0]!MT))</f>
        <v>#REF!</v>
      </c>
    </row>
    <row r="23" spans="1:4" x14ac:dyDescent="0.25">
      <c r="A23" s="170" t="s">
        <v>25</v>
      </c>
      <c r="B23" s="171" t="e">
        <f>IF(ISTEXT(([0]!P_1_1.3.6 [0]!Qté)),0,([0]!P_1_1.3.6 [0]!Qté))</f>
        <v>#REF!</v>
      </c>
      <c r="C23" s="172" t="e">
        <f>([0]!P_1_1.3.6 [0]!PU)</f>
        <v>#REF!</v>
      </c>
      <c r="D23" s="172" t="e">
        <f>IF(ISTEXT(([0]!P_1_1.3.6 [0]!MT)),0,([0]!P_1_1.3.6 [0]!MT))</f>
        <v>#REF!</v>
      </c>
    </row>
    <row r="24" spans="1:4" x14ac:dyDescent="0.25">
      <c r="A24" s="170" t="s">
        <v>26</v>
      </c>
      <c r="B24" s="171" t="e">
        <f>IF(ISTEXT(([0]!P_1_1.3.7 [0]!Qté)),0,([0]!P_1_1.3.7 [0]!Qté))</f>
        <v>#REF!</v>
      </c>
      <c r="C24" s="172" t="e">
        <f>([0]!P_1_1.3.7 [0]!PU)</f>
        <v>#REF!</v>
      </c>
      <c r="D24" s="172" t="e">
        <f>IF(ISTEXT(([0]!P_1_1.3.7 [0]!MT)),0,([0]!P_1_1.3.7 [0]!MT))</f>
        <v>#REF!</v>
      </c>
    </row>
    <row r="25" spans="1:4" x14ac:dyDescent="0.25">
      <c r="A25" s="170" t="s">
        <v>27</v>
      </c>
      <c r="B25" s="171" t="e">
        <f>IF(ISTEXT(([0]!P_1_1.3.8 [0]!Qté)),0,([0]!P_1_1.3.8 [0]!Qté))</f>
        <v>#REF!</v>
      </c>
      <c r="C25" s="172" t="e">
        <f>([0]!P_1_1.3.8 [0]!PU)</f>
        <v>#REF!</v>
      </c>
      <c r="D25" s="172" t="e">
        <f>IF(ISTEXT(([0]!P_1_1.3.8 [0]!MT)),0,([0]!P_1_1.3.8 [0]!MT))</f>
        <v>#REF!</v>
      </c>
    </row>
    <row r="26" spans="1:4" x14ac:dyDescent="0.25">
      <c r="A26" s="170" t="s">
        <v>28</v>
      </c>
      <c r="B26" s="171" t="e">
        <f>IF(ISTEXT(([0]!P_1_1.3.9 [0]!Qté)),0,([0]!P_1_1.3.9 [0]!Qté))</f>
        <v>#REF!</v>
      </c>
      <c r="C26" s="172" t="e">
        <f>([0]!P_1_1.3.9 [0]!PU)</f>
        <v>#REF!</v>
      </c>
      <c r="D26" s="172" t="e">
        <f>IF(ISTEXT(([0]!P_1_1.3.9 [0]!MT)),0,([0]!P_1_1.3.9 [0]!MT))</f>
        <v>#REF!</v>
      </c>
    </row>
    <row r="27" spans="1:4" x14ac:dyDescent="0.25">
      <c r="A27" s="170" t="s">
        <v>29</v>
      </c>
      <c r="B27" s="171" t="e">
        <f>IF(ISTEXT(([0]!P_1_1.3.10 [0]!Qté)),0,([0]!P_1_1.3.10 [0]!Qté))</f>
        <v>#REF!</v>
      </c>
      <c r="C27" s="172" t="e">
        <f>([0]!P_1_1.3.10 [0]!PU)</f>
        <v>#REF!</v>
      </c>
      <c r="D27" s="172" t="e">
        <f>IF(ISTEXT(([0]!P_1_1.3.10 [0]!MT)),0,([0]!P_1_1.3.10 [0]!MT))</f>
        <v>#REF!</v>
      </c>
    </row>
    <row r="28" spans="1:4" x14ac:dyDescent="0.25">
      <c r="A28" s="170" t="s">
        <v>30</v>
      </c>
      <c r="B28" s="171" t="e">
        <f>IF(ISTEXT(([0]!P_1_1.3.11 [0]!Qté)),0,([0]!P_1_1.3.11 [0]!Qté))</f>
        <v>#REF!</v>
      </c>
      <c r="C28" s="172" t="e">
        <f>([0]!P_1_1.3.11 [0]!PU)</f>
        <v>#REF!</v>
      </c>
      <c r="D28" s="172" t="e">
        <f>IF(ISTEXT(([0]!P_1_1.3.11 [0]!MT)),0,([0]!P_1_1.3.11 [0]!MT))</f>
        <v>#REF!</v>
      </c>
    </row>
    <row r="29" spans="1:4" x14ac:dyDescent="0.25">
      <c r="A29" s="170" t="s">
        <v>31</v>
      </c>
      <c r="B29" s="171" t="e">
        <f>IF(ISTEXT(([0]!P_1_1.4.1 [0]!Qté)),0,([0]!P_1_1.4.1 [0]!Qté))</f>
        <v>#REF!</v>
      </c>
      <c r="C29" s="172" t="e">
        <f>([0]!P_1_1.4.1 [0]!PU)</f>
        <v>#REF!</v>
      </c>
      <c r="D29" s="172" t="e">
        <f>IF(ISTEXT(([0]!P_1_1.4.1 [0]!MT)),0,([0]!P_1_1.4.1 [0]!MT))</f>
        <v>#REF!</v>
      </c>
    </row>
    <row r="30" spans="1:4" x14ac:dyDescent="0.25">
      <c r="A30" s="170" t="s">
        <v>32</v>
      </c>
      <c r="B30" s="171" t="e">
        <f>IF(ISTEXT(([0]!P_1_1.4.2 [0]!Qté)),0,([0]!P_1_1.4.2 [0]!Qté))</f>
        <v>#REF!</v>
      </c>
      <c r="C30" s="172" t="e">
        <f>([0]!P_1_1.4.2 [0]!PU)</f>
        <v>#REF!</v>
      </c>
      <c r="D30" s="172" t="e">
        <f>IF(ISTEXT(([0]!P_1_1.4.2 [0]!MT)),0,([0]!P_1_1.4.2 [0]!MT))</f>
        <v>#REF!</v>
      </c>
    </row>
    <row r="31" spans="1:4" x14ac:dyDescent="0.25">
      <c r="A31" s="170" t="s">
        <v>33</v>
      </c>
      <c r="B31" s="171" t="e">
        <f>IF(ISTEXT(([0]!P_1_1.4.3 [0]!Qté)),0,([0]!P_1_1.4.3 [0]!Qté))</f>
        <v>#REF!</v>
      </c>
      <c r="C31" s="172" t="e">
        <f>([0]!P_1_1.4.3 [0]!PU)</f>
        <v>#REF!</v>
      </c>
      <c r="D31" s="172" t="e">
        <f>IF(ISTEXT(([0]!P_1_1.4.3 [0]!MT)),0,([0]!P_1_1.4.3 [0]!MT))</f>
        <v>#REF!</v>
      </c>
    </row>
    <row r="32" spans="1:4" x14ac:dyDescent="0.25">
      <c r="A32" s="170" t="s">
        <v>34</v>
      </c>
      <c r="B32" s="171" t="e">
        <f>IF(ISTEXT(([0]!P_1_1.5 [0]!Qté)),0,([0]!P_1_1.5 [0]!Qté))</f>
        <v>#REF!</v>
      </c>
      <c r="C32" s="172" t="e">
        <f>([0]!P_1_1.5 [0]!PU)</f>
        <v>#REF!</v>
      </c>
      <c r="D32" s="172" t="e">
        <f>IF(ISTEXT(([0]!P_1_1.5 [0]!MT)),0,([0]!P_1_1.5 [0]!MT))</f>
        <v>#REF!</v>
      </c>
    </row>
    <row r="33" spans="1:4" x14ac:dyDescent="0.25">
      <c r="A33" s="170" t="s">
        <v>35</v>
      </c>
      <c r="B33" s="171" t="e">
        <f>IF(ISTEXT(([0]!P_1_1.6 [0]!Qté)),0,([0]!P_1_1.6 [0]!Qté))</f>
        <v>#REF!</v>
      </c>
      <c r="C33" s="172" t="e">
        <f>([0]!P_1_1.6 [0]!PU)</f>
        <v>#REF!</v>
      </c>
      <c r="D33" s="172" t="e">
        <f>IF(ISTEXT(([0]!P_1_1.6 [0]!MT)),0,([0]!P_1_1.6 [0]!MT))</f>
        <v>#REF!</v>
      </c>
    </row>
    <row r="34" spans="1:4" x14ac:dyDescent="0.25">
      <c r="A34" s="170" t="s">
        <v>36</v>
      </c>
      <c r="B34" s="171" t="e">
        <f>IF(ISTEXT(([0]!P_1_1.7.1 [0]!Qté)),0,([0]!P_1_1.7.1 [0]!Qté))</f>
        <v>#REF!</v>
      </c>
      <c r="C34" s="172" t="e">
        <f>([0]!P_1_1.7.1 [0]!PU)</f>
        <v>#REF!</v>
      </c>
      <c r="D34" s="172" t="e">
        <f>IF(ISTEXT(([0]!P_1_1.7.1 [0]!MT)),0,([0]!P_1_1.7.1 [0]!MT))</f>
        <v>#REF!</v>
      </c>
    </row>
    <row r="35" spans="1:4" x14ac:dyDescent="0.25">
      <c r="A35" s="170" t="s">
        <v>37</v>
      </c>
      <c r="B35" s="171" t="e">
        <f>IF(ISTEXT(([0]!P_1_1.7.2 [0]!Qté)),0,([0]!P_1_1.7.2 [0]!Qté))</f>
        <v>#REF!</v>
      </c>
      <c r="C35" s="172" t="e">
        <f>([0]!P_1_1.7.2 [0]!PU)</f>
        <v>#REF!</v>
      </c>
      <c r="D35" s="172" t="e">
        <f>IF(ISTEXT(([0]!P_1_1.7.2 [0]!MT)),0,([0]!P_1_1.7.2 [0]!MT))</f>
        <v>#REF!</v>
      </c>
    </row>
    <row r="36" spans="1:4" x14ac:dyDescent="0.25">
      <c r="A36" s="170" t="s">
        <v>38</v>
      </c>
      <c r="B36" s="171" t="e">
        <f>IF(ISTEXT(([0]!P_1_1.7.3 [0]!Qté)),0,([0]!P_1_1.7.3 [0]!Qté))</f>
        <v>#REF!</v>
      </c>
      <c r="C36" s="172" t="e">
        <f>([0]!P_1_1.7.3 [0]!PU)</f>
        <v>#REF!</v>
      </c>
      <c r="D36" s="172" t="e">
        <f>IF(ISTEXT(([0]!P_1_1.7.3 [0]!MT)),0,([0]!P_1_1.7.3 [0]!MT))</f>
        <v>#REF!</v>
      </c>
    </row>
    <row r="37" spans="1:4" x14ac:dyDescent="0.25">
      <c r="A37" s="170" t="s">
        <v>39</v>
      </c>
      <c r="B37" s="171" t="e">
        <f>IF(ISTEXT(([0]!P_1_2.1.1 [0]!Qté)),0,([0]!P_1_2.1.1 [0]!Qté))</f>
        <v>#REF!</v>
      </c>
      <c r="C37" s="172" t="e">
        <f>([0]!P_1_2.1.1 [0]!PU)</f>
        <v>#REF!</v>
      </c>
      <c r="D37" s="172" t="e">
        <f>IF(ISTEXT(([0]!P_1_2.1.1 [0]!MT)),0,([0]!P_1_2.1.1 [0]!MT))</f>
        <v>#REF!</v>
      </c>
    </row>
    <row r="38" spans="1:4" x14ac:dyDescent="0.25">
      <c r="A38" s="170" t="s">
        <v>40</v>
      </c>
      <c r="B38" s="171" t="e">
        <f>IF(ISTEXT(([0]!P_1_2.1.2 [0]!Qté)),0,([0]!P_1_2.1.2 [0]!Qté))</f>
        <v>#REF!</v>
      </c>
      <c r="C38" s="172" t="e">
        <f>([0]!P_1_2.1.2 [0]!PU)</f>
        <v>#REF!</v>
      </c>
      <c r="D38" s="172" t="e">
        <f>IF(ISTEXT(([0]!P_1_2.1.2 [0]!MT)),0,([0]!P_1_2.1.2 [0]!MT))</f>
        <v>#REF!</v>
      </c>
    </row>
    <row r="39" spans="1:4" x14ac:dyDescent="0.25">
      <c r="A39" s="170" t="s">
        <v>41</v>
      </c>
      <c r="B39" s="171" t="e">
        <f>IF(ISTEXT(([0]!P_1_2.1.3 [0]!Qté)),0,([0]!P_1_2.1.3 [0]!Qté))</f>
        <v>#REF!</v>
      </c>
      <c r="C39" s="172" t="e">
        <f>([0]!P_1_2.1.3 [0]!PU)</f>
        <v>#REF!</v>
      </c>
      <c r="D39" s="172" t="e">
        <f>IF(ISTEXT(([0]!P_1_2.1.3 [0]!MT)),0,([0]!P_1_2.1.3 [0]!MT))</f>
        <v>#REF!</v>
      </c>
    </row>
    <row r="40" spans="1:4" x14ac:dyDescent="0.25">
      <c r="A40" s="170" t="s">
        <v>42</v>
      </c>
      <c r="B40" s="171" t="e">
        <f>IF(ISTEXT(([0]!P_1_2.1.4 [0]!Qté)),0,([0]!P_1_2.1.4 [0]!Qté))</f>
        <v>#REF!</v>
      </c>
      <c r="C40" s="172" t="e">
        <f>([0]!P_1_2.1.4 [0]!PU)</f>
        <v>#REF!</v>
      </c>
      <c r="D40" s="172" t="e">
        <f>IF(ISTEXT(([0]!P_1_2.1.4 [0]!MT)),0,([0]!P_1_2.1.4 [0]!MT))</f>
        <v>#REF!</v>
      </c>
    </row>
    <row r="41" spans="1:4" x14ac:dyDescent="0.25">
      <c r="A41" s="170" t="s">
        <v>43</v>
      </c>
      <c r="B41" s="171" t="e">
        <f>IF(ISTEXT(([0]!P_1_2.1.5 [0]!Qté)),0,([0]!P_1_2.1.5 [0]!Qté))</f>
        <v>#REF!</v>
      </c>
      <c r="C41" s="172" t="e">
        <f>([0]!P_1_2.1.5 [0]!PU)</f>
        <v>#REF!</v>
      </c>
      <c r="D41" s="172" t="e">
        <f>IF(ISTEXT(([0]!P_1_2.1.5 [0]!MT)),0,([0]!P_1_2.1.5 [0]!MT))</f>
        <v>#REF!</v>
      </c>
    </row>
    <row r="42" spans="1:4" x14ac:dyDescent="0.25">
      <c r="A42" s="170" t="s">
        <v>44</v>
      </c>
      <c r="B42" s="171" t="e">
        <f>IF(ISTEXT(([0]!P_1_2.2.1 [0]!Qté)),0,([0]!P_1_2.2.1 [0]!Qté))</f>
        <v>#REF!</v>
      </c>
      <c r="C42" s="172" t="e">
        <f>([0]!P_1_2.2.1 [0]!PU)</f>
        <v>#REF!</v>
      </c>
      <c r="D42" s="172" t="e">
        <f>IF(ISTEXT(([0]!P_1_2.2.1 [0]!MT)),0,([0]!P_1_2.2.1 [0]!MT))</f>
        <v>#REF!</v>
      </c>
    </row>
    <row r="43" spans="1:4" x14ac:dyDescent="0.25">
      <c r="A43" s="170" t="s">
        <v>45</v>
      </c>
      <c r="B43" s="171" t="e">
        <f>IF(ISTEXT(([0]!P_1_2.2.2 [0]!Qté)),0,([0]!P_1_2.2.2 [0]!Qté))</f>
        <v>#REF!</v>
      </c>
      <c r="C43" s="172" t="e">
        <f>([0]!P_1_2.2.2 [0]!PU)</f>
        <v>#REF!</v>
      </c>
      <c r="D43" s="172" t="e">
        <f>IF(ISTEXT(([0]!P_1_2.2.2 [0]!MT)),0,([0]!P_1_2.2.2 [0]!MT))</f>
        <v>#REF!</v>
      </c>
    </row>
    <row r="44" spans="1:4" x14ac:dyDescent="0.25">
      <c r="A44" s="170" t="s">
        <v>46</v>
      </c>
      <c r="B44" s="171" t="e">
        <f>IF(ISTEXT(([0]!P_1_2.2.3 [0]!Qté)),0,([0]!P_1_2.2.3 [0]!Qté))</f>
        <v>#REF!</v>
      </c>
      <c r="C44" s="172" t="e">
        <f>([0]!P_1_2.2.3 [0]!PU)</f>
        <v>#REF!</v>
      </c>
      <c r="D44" s="172" t="e">
        <f>IF(ISTEXT(([0]!P_1_2.2.3 [0]!MT)),0,([0]!P_1_2.2.3 [0]!MT))</f>
        <v>#REF!</v>
      </c>
    </row>
    <row r="45" spans="1:4" x14ac:dyDescent="0.25">
      <c r="A45" s="170" t="s">
        <v>47</v>
      </c>
      <c r="B45" s="171" t="e">
        <f>IF(ISTEXT(([0]!P_1_2.2.4 [0]!Qté)),0,([0]!P_1_2.2.4 [0]!Qté))</f>
        <v>#REF!</v>
      </c>
      <c r="C45" s="172" t="e">
        <f>([0]!P_1_2.2.4 [0]!PU)</f>
        <v>#REF!</v>
      </c>
      <c r="D45" s="172" t="e">
        <f>IF(ISTEXT(([0]!P_1_2.2.4 [0]!MT)),0,([0]!P_1_2.2.4 [0]!MT))</f>
        <v>#REF!</v>
      </c>
    </row>
    <row r="46" spans="1:4" x14ac:dyDescent="0.25">
      <c r="A46" s="170" t="s">
        <v>48</v>
      </c>
      <c r="B46" s="171" t="e">
        <f>IF(ISTEXT(([0]!P_1_2.2.5 [0]!Qté)),0,([0]!P_1_2.2.5 [0]!Qté))</f>
        <v>#REF!</v>
      </c>
      <c r="C46" s="172" t="e">
        <f>([0]!P_1_2.2.5 [0]!PU)</f>
        <v>#REF!</v>
      </c>
      <c r="D46" s="172" t="e">
        <f>IF(ISTEXT(([0]!P_1_2.2.5 [0]!MT)),0,([0]!P_1_2.2.5 [0]!MT))</f>
        <v>#REF!</v>
      </c>
    </row>
    <row r="47" spans="1:4" x14ac:dyDescent="0.25">
      <c r="A47" s="170" t="s">
        <v>49</v>
      </c>
      <c r="B47" s="171" t="e">
        <f>IF(ISTEXT(([0]!P_1_2.2.6 [0]!Qté)),0,([0]!P_1_2.2.6 [0]!Qté))</f>
        <v>#REF!</v>
      </c>
      <c r="C47" s="172" t="e">
        <f>([0]!P_1_2.2.6 [0]!PU)</f>
        <v>#REF!</v>
      </c>
      <c r="D47" s="172" t="e">
        <f>IF(ISTEXT(([0]!P_1_2.2.6 [0]!MT)),0,([0]!P_1_2.2.6 [0]!MT))</f>
        <v>#REF!</v>
      </c>
    </row>
    <row r="48" spans="1:4" x14ac:dyDescent="0.25">
      <c r="A48" s="170" t="s">
        <v>50</v>
      </c>
      <c r="B48" s="171" t="e">
        <f>IF(ISTEXT(([0]!P_1_2.2.7 [0]!Qté)),0,([0]!P_1_2.2.7 [0]!Qté))</f>
        <v>#REF!</v>
      </c>
      <c r="C48" s="172" t="e">
        <f>([0]!P_1_2.2.7 [0]!PU)</f>
        <v>#REF!</v>
      </c>
      <c r="D48" s="172" t="e">
        <f>IF(ISTEXT(([0]!P_1_2.2.7 [0]!MT)),0,([0]!P_1_2.2.7 [0]!MT))</f>
        <v>#REF!</v>
      </c>
    </row>
    <row r="49" spans="1:4" x14ac:dyDescent="0.25">
      <c r="A49" s="170" t="s">
        <v>51</v>
      </c>
      <c r="B49" s="171" t="e">
        <f>IF(ISTEXT(([0]!P_1_2.2.8 [0]!Qté)),0,([0]!P_1_2.2.8 [0]!Qté))</f>
        <v>#REF!</v>
      </c>
      <c r="C49" s="172" t="e">
        <f>([0]!P_1_2.2.8 [0]!PU)</f>
        <v>#REF!</v>
      </c>
      <c r="D49" s="172" t="e">
        <f>IF(ISTEXT(([0]!P_1_2.2.8 [0]!MT)),0,([0]!P_1_2.2.8 [0]!MT))</f>
        <v>#REF!</v>
      </c>
    </row>
    <row r="50" spans="1:4" x14ac:dyDescent="0.25">
      <c r="A50" s="170" t="s">
        <v>52</v>
      </c>
      <c r="B50" s="171" t="e">
        <f>IF(ISTEXT(([0]!P_1_2.3.1 [0]!Qté)),0,([0]!P_1_2.3.1 [0]!Qté))</f>
        <v>#REF!</v>
      </c>
      <c r="C50" s="172" t="e">
        <f>([0]!P_1_2.3.1 [0]!PU)</f>
        <v>#REF!</v>
      </c>
      <c r="D50" s="172" t="e">
        <f>IF(ISTEXT(([0]!P_1_2.3.1 [0]!MT)),0,([0]!P_1_2.3.1 [0]!MT))</f>
        <v>#REF!</v>
      </c>
    </row>
    <row r="51" spans="1:4" x14ac:dyDescent="0.25">
      <c r="A51" s="170" t="s">
        <v>53</v>
      </c>
      <c r="B51" s="171" t="e">
        <f>IF(ISTEXT(([0]!P_1_2.3.2 [0]!Qté)),0,([0]!P_1_2.3.2 [0]!Qté))</f>
        <v>#REF!</v>
      </c>
      <c r="C51" s="172" t="e">
        <f>([0]!P_1_2.3.2 [0]!PU)</f>
        <v>#REF!</v>
      </c>
      <c r="D51" s="172" t="e">
        <f>IF(ISTEXT(([0]!P_1_2.3.2 [0]!MT)),0,([0]!P_1_2.3.2 [0]!MT))</f>
        <v>#REF!</v>
      </c>
    </row>
    <row r="52" spans="1:4" x14ac:dyDescent="0.25">
      <c r="A52" s="170" t="s">
        <v>54</v>
      </c>
      <c r="B52" s="171" t="e">
        <f>IF(ISTEXT(([0]!P_1_2.3.3 [0]!Qté)),0,([0]!P_1_2.3.3 [0]!Qté))</f>
        <v>#REF!</v>
      </c>
      <c r="C52" s="172" t="e">
        <f>([0]!P_1_2.3.3 [0]!PU)</f>
        <v>#REF!</v>
      </c>
      <c r="D52" s="172" t="e">
        <f>IF(ISTEXT(([0]!P_1_2.3.3 [0]!MT)),0,([0]!P_1_2.3.3 [0]!MT))</f>
        <v>#REF!</v>
      </c>
    </row>
    <row r="53" spans="1:4" x14ac:dyDescent="0.25">
      <c r="A53" s="170" t="s">
        <v>55</v>
      </c>
      <c r="B53" s="171" t="e">
        <f>IF(ISTEXT(([0]!P_1_2.3.4 [0]!Qté)),0,([0]!P_1_2.3.4 [0]!Qté))</f>
        <v>#REF!</v>
      </c>
      <c r="C53" s="172" t="e">
        <f>([0]!P_1_2.3.4 [0]!PU)</f>
        <v>#REF!</v>
      </c>
      <c r="D53" s="172" t="e">
        <f>IF(ISTEXT(([0]!P_1_2.3.4 [0]!MT)),0,([0]!P_1_2.3.4 [0]!MT))</f>
        <v>#REF!</v>
      </c>
    </row>
    <row r="54" spans="1:4" x14ac:dyDescent="0.25">
      <c r="A54" s="170" t="s">
        <v>56</v>
      </c>
      <c r="B54" s="171" t="e">
        <f>IF(ISTEXT(([0]!P_1_2.3.5 [0]!Qté)),0,([0]!P_1_2.3.5 [0]!Qté))</f>
        <v>#REF!</v>
      </c>
      <c r="C54" s="172" t="e">
        <f>([0]!P_1_2.3.5 [0]!PU)</f>
        <v>#REF!</v>
      </c>
      <c r="D54" s="172" t="e">
        <f>IF(ISTEXT(([0]!P_1_2.3.5 [0]!MT)),0,([0]!P_1_2.3.5 [0]!MT))</f>
        <v>#REF!</v>
      </c>
    </row>
    <row r="55" spans="1:4" x14ac:dyDescent="0.25">
      <c r="A55" s="170" t="s">
        <v>57</v>
      </c>
      <c r="B55" s="171" t="e">
        <f>IF(ISTEXT(([0]!P_1_2.4.1 [0]!Qté)),0,([0]!P_1_2.4.1 [0]!Qté))</f>
        <v>#REF!</v>
      </c>
      <c r="C55" s="172" t="e">
        <f>([0]!P_1_2.4.1 [0]!PU)</f>
        <v>#REF!</v>
      </c>
      <c r="D55" s="172" t="e">
        <f>IF(ISTEXT(([0]!P_1_2.4.1 [0]!MT)),0,([0]!P_1_2.4.1 [0]!MT))</f>
        <v>#REF!</v>
      </c>
    </row>
    <row r="56" spans="1:4" x14ac:dyDescent="0.25">
      <c r="A56" s="170" t="s">
        <v>58</v>
      </c>
      <c r="B56" s="171" t="e">
        <f>IF(ISTEXT(([0]!P_1_2.4.2 [0]!Qté)),0,([0]!P_1_2.4.2 [0]!Qté))</f>
        <v>#REF!</v>
      </c>
      <c r="C56" s="172" t="e">
        <f>([0]!P_1_2.4.2 [0]!PU)</f>
        <v>#REF!</v>
      </c>
      <c r="D56" s="172" t="e">
        <f>IF(ISTEXT(([0]!P_1_2.4.2 [0]!MT)),0,([0]!P_1_2.4.2 [0]!MT))</f>
        <v>#REF!</v>
      </c>
    </row>
    <row r="57" spans="1:4" x14ac:dyDescent="0.25">
      <c r="A57" s="170" t="s">
        <v>59</v>
      </c>
      <c r="B57" s="171" t="e">
        <f>IF(ISTEXT(([0]!P_1_2.4.3 [0]!Qté)),0,([0]!P_1_2.4.3 [0]!Qté))</f>
        <v>#REF!</v>
      </c>
      <c r="C57" s="172" t="e">
        <f>([0]!P_1_2.4.3 [0]!PU)</f>
        <v>#REF!</v>
      </c>
      <c r="D57" s="172" t="e">
        <f>IF(ISTEXT(([0]!P_1_2.4.3 [0]!MT)),0,([0]!P_1_2.4.3 [0]!MT))</f>
        <v>#REF!</v>
      </c>
    </row>
    <row r="58" spans="1:4" x14ac:dyDescent="0.25">
      <c r="A58" s="170" t="s">
        <v>60</v>
      </c>
      <c r="B58" s="171" t="e">
        <f>IF(ISTEXT(([0]!P_1_2.4.4 [0]!Qté)),0,([0]!P_1_2.4.4 [0]!Qté))</f>
        <v>#REF!</v>
      </c>
      <c r="C58" s="172" t="e">
        <f>([0]!P_1_2.4.4 [0]!PU)</f>
        <v>#REF!</v>
      </c>
      <c r="D58" s="172" t="e">
        <f>IF(ISTEXT(([0]!P_1_2.4.4 [0]!MT)),0,([0]!P_1_2.4.4 [0]!MT))</f>
        <v>#REF!</v>
      </c>
    </row>
    <row r="59" spans="1:4" x14ac:dyDescent="0.25">
      <c r="A59" s="170" t="s">
        <v>61</v>
      </c>
      <c r="B59" s="171" t="e">
        <f>IF(ISTEXT(([0]!P_1_2.4.5 [0]!Qté)),0,([0]!P_1_2.4.5 [0]!Qté))</f>
        <v>#REF!</v>
      </c>
      <c r="C59" s="172" t="e">
        <f>([0]!P_1_2.4.5 [0]!PU)</f>
        <v>#REF!</v>
      </c>
      <c r="D59" s="172" t="e">
        <f>IF(ISTEXT(([0]!P_1_2.4.5 [0]!MT)),0,([0]!P_1_2.4.5 [0]!MT))</f>
        <v>#REF!</v>
      </c>
    </row>
    <row r="60" spans="1:4" x14ac:dyDescent="0.25">
      <c r="A60" s="170" t="s">
        <v>62</v>
      </c>
      <c r="B60" s="171" t="e">
        <f>IF(ISTEXT(([0]!P_1_2.4.6 [0]!Qté)),0,([0]!P_1_2.4.6 [0]!Qté))</f>
        <v>#REF!</v>
      </c>
      <c r="C60" s="172" t="e">
        <f>([0]!P_1_2.4.6 [0]!PU)</f>
        <v>#REF!</v>
      </c>
      <c r="D60" s="172" t="e">
        <f>IF(ISTEXT(([0]!P_1_2.4.6 [0]!MT)),0,([0]!P_1_2.4.6 [0]!MT))</f>
        <v>#REF!</v>
      </c>
    </row>
    <row r="61" spans="1:4" x14ac:dyDescent="0.25">
      <c r="A61" s="170" t="s">
        <v>63</v>
      </c>
      <c r="B61" s="171" t="e">
        <f>IF(ISTEXT(([0]!P_1_2.4.7 [0]!Qté)),0,([0]!P_1_2.4.7 [0]!Qté))</f>
        <v>#REF!</v>
      </c>
      <c r="C61" s="172" t="e">
        <f>([0]!P_1_2.4.7 [0]!PU)</f>
        <v>#REF!</v>
      </c>
      <c r="D61" s="172" t="e">
        <f>IF(ISTEXT(([0]!P_1_2.4.7 [0]!MT)),0,([0]!P_1_2.4.7 [0]!MT))</f>
        <v>#REF!</v>
      </c>
    </row>
    <row r="62" spans="1:4" x14ac:dyDescent="0.25">
      <c r="A62" s="170" t="s">
        <v>64</v>
      </c>
      <c r="B62" s="171" t="e">
        <f>IF(ISTEXT(([0]!P_1_2.5.1 [0]!Qté)),0,([0]!P_1_2.5.1 [0]!Qté))</f>
        <v>#REF!</v>
      </c>
      <c r="C62" s="172" t="e">
        <f>([0]!P_1_2.5.1 [0]!PU)</f>
        <v>#REF!</v>
      </c>
      <c r="D62" s="172" t="e">
        <f>IF(ISTEXT(([0]!P_1_2.5.1 [0]!MT)),0,([0]!P_1_2.5.1 [0]!MT))</f>
        <v>#REF!</v>
      </c>
    </row>
    <row r="63" spans="1:4" x14ac:dyDescent="0.25">
      <c r="A63" s="170" t="s">
        <v>65</v>
      </c>
      <c r="B63" s="171" t="e">
        <f>IF(ISTEXT(([0]!P_1_2.5.2 [0]!Qté)),0,([0]!P_1_2.5.2 [0]!Qté))</f>
        <v>#REF!</v>
      </c>
      <c r="C63" s="172" t="e">
        <f>([0]!P_1_2.5.2 [0]!PU)</f>
        <v>#REF!</v>
      </c>
      <c r="D63" s="172" t="e">
        <f>IF(ISTEXT(([0]!P_1_2.5.2 [0]!MT)),0,([0]!P_1_2.5.2 [0]!MT))</f>
        <v>#REF!</v>
      </c>
    </row>
    <row r="64" spans="1:4" x14ac:dyDescent="0.25">
      <c r="A64" s="170" t="s">
        <v>66</v>
      </c>
      <c r="B64" s="171" t="e">
        <f>IF(ISTEXT(([0]!P_1_2.5.3 [0]!Qté)),0,([0]!P_1_2.5.3 [0]!Qté))</f>
        <v>#REF!</v>
      </c>
      <c r="C64" s="172" t="e">
        <f>([0]!P_1_2.5.3 [0]!PU)</f>
        <v>#REF!</v>
      </c>
      <c r="D64" s="172" t="e">
        <f>IF(ISTEXT(([0]!P_1_2.5.3 [0]!MT)),0,([0]!P_1_2.5.3 [0]!MT))</f>
        <v>#REF!</v>
      </c>
    </row>
    <row r="65" spans="1:4" x14ac:dyDescent="0.25">
      <c r="A65" s="170" t="s">
        <v>67</v>
      </c>
      <c r="B65" s="171" t="e">
        <f>IF(ISTEXT(([0]!P_1_2.5.4 [0]!Qté)),0,([0]!P_1_2.5.4 [0]!Qté))</f>
        <v>#REF!</v>
      </c>
      <c r="C65" s="172" t="e">
        <f>([0]!P_1_2.5.4 [0]!PU)</f>
        <v>#REF!</v>
      </c>
      <c r="D65" s="172" t="e">
        <f>IF(ISTEXT(([0]!P_1_2.5.4 [0]!MT)),0,([0]!P_1_2.5.4 [0]!MT))</f>
        <v>#REF!</v>
      </c>
    </row>
    <row r="66" spans="1:4" x14ac:dyDescent="0.25">
      <c r="A66" s="170" t="s">
        <v>68</v>
      </c>
      <c r="B66" s="171" t="e">
        <f>IF(ISTEXT(([0]!P_1_2.5.5 [0]!Qté)),0,([0]!P_1_2.5.5 [0]!Qté))</f>
        <v>#REF!</v>
      </c>
      <c r="C66" s="172" t="e">
        <f>([0]!P_1_2.5.5 [0]!PU)</f>
        <v>#REF!</v>
      </c>
      <c r="D66" s="172" t="e">
        <f>IF(ISTEXT(([0]!P_1_2.5.5 [0]!MT)),0,([0]!P_1_2.5.5 [0]!MT))</f>
        <v>#REF!</v>
      </c>
    </row>
    <row r="67" spans="1:4" x14ac:dyDescent="0.25">
      <c r="A67" s="170" t="s">
        <v>69</v>
      </c>
      <c r="B67" s="171" t="e">
        <f>IF(ISTEXT(([0]!P_1_2.6.1 [0]!Qté)),0,([0]!P_1_2.6.1 [0]!Qté))</f>
        <v>#REF!</v>
      </c>
      <c r="C67" s="172" t="e">
        <f>([0]!P_1_2.6.1 [0]!PU)</f>
        <v>#REF!</v>
      </c>
      <c r="D67" s="172" t="e">
        <f>IF(ISTEXT(([0]!P_1_2.6.1 [0]!MT)),0,([0]!P_1_2.6.1 [0]!MT))</f>
        <v>#REF!</v>
      </c>
    </row>
    <row r="68" spans="1:4" x14ac:dyDescent="0.25">
      <c r="A68" s="170" t="s">
        <v>70</v>
      </c>
      <c r="B68" s="171" t="e">
        <f>IF(ISTEXT(([0]!P_1_2.6.2 [0]!Qté)),0,([0]!P_1_2.6.2 [0]!Qté))</f>
        <v>#REF!</v>
      </c>
      <c r="C68" s="172" t="e">
        <f>([0]!P_1_2.6.2 [0]!PU)</f>
        <v>#REF!</v>
      </c>
      <c r="D68" s="172" t="e">
        <f>IF(ISTEXT(([0]!P_1_2.6.2 [0]!MT)),0,([0]!P_1_2.6.2 [0]!MT))</f>
        <v>#REF!</v>
      </c>
    </row>
    <row r="69" spans="1:4" x14ac:dyDescent="0.25">
      <c r="A69" s="170" t="s">
        <v>71</v>
      </c>
      <c r="B69" s="171" t="e">
        <f>IF(ISTEXT(([0]!P_1_2.6.3 [0]!Qté)),0,([0]!P_1_2.6.3 [0]!Qté))</f>
        <v>#REF!</v>
      </c>
      <c r="C69" s="172" t="e">
        <f>([0]!P_1_2.6.3 [0]!PU)</f>
        <v>#REF!</v>
      </c>
      <c r="D69" s="172" t="e">
        <f>IF(ISTEXT(([0]!P_1_2.6.3 [0]!MT)),0,([0]!P_1_2.6.3 [0]!MT))</f>
        <v>#REF!</v>
      </c>
    </row>
    <row r="70" spans="1:4" x14ac:dyDescent="0.25">
      <c r="A70" s="170" t="s">
        <v>72</v>
      </c>
      <c r="B70" s="171" t="e">
        <f>IF(ISTEXT(([0]!P_1_2.6.4 [0]!Qté)),0,([0]!P_1_2.6.4 [0]!Qté))</f>
        <v>#REF!</v>
      </c>
      <c r="C70" s="172" t="e">
        <f>([0]!P_1_2.6.4 [0]!PU)</f>
        <v>#REF!</v>
      </c>
      <c r="D70" s="172" t="e">
        <f>IF(ISTEXT(([0]!P_1_2.6.4 [0]!MT)),0,([0]!P_1_2.6.4 [0]!MT))</f>
        <v>#REF!</v>
      </c>
    </row>
    <row r="71" spans="1:4" x14ac:dyDescent="0.25">
      <c r="A71" s="170" t="s">
        <v>73</v>
      </c>
      <c r="B71" s="171" t="e">
        <f>IF(ISTEXT(([0]!P_1_3.1.1 [0]!Qté)),0,([0]!P_1_3.1.1 [0]!Qté))</f>
        <v>#REF!</v>
      </c>
      <c r="C71" s="172" t="e">
        <f>([0]!P_1_3.1.1 [0]!PU)</f>
        <v>#REF!</v>
      </c>
      <c r="D71" s="172" t="e">
        <f>IF(ISTEXT(([0]!P_1_3.1.1 [0]!MT)),0,([0]!P_1_3.1.1 [0]!MT))</f>
        <v>#REF!</v>
      </c>
    </row>
    <row r="72" spans="1:4" x14ac:dyDescent="0.25">
      <c r="A72" s="170" t="s">
        <v>74</v>
      </c>
      <c r="B72" s="171" t="e">
        <f>IF(ISTEXT(([0]!P_1_3.1.2 [0]!Qté)),0,([0]!P_1_3.1.2 [0]!Qté))</f>
        <v>#REF!</v>
      </c>
      <c r="C72" s="172" t="e">
        <f>([0]!P_1_3.1.2 [0]!PU)</f>
        <v>#REF!</v>
      </c>
      <c r="D72" s="172" t="e">
        <f>IF(ISTEXT(([0]!P_1_3.1.2 [0]!MT)),0,([0]!P_1_3.1.2 [0]!MT))</f>
        <v>#REF!</v>
      </c>
    </row>
    <row r="73" spans="1:4" x14ac:dyDescent="0.25">
      <c r="A73" s="170" t="s">
        <v>75</v>
      </c>
      <c r="B73" s="171" t="e">
        <f>IF(ISTEXT(([0]!P_1_3.1.3 [0]!Qté)),0,([0]!P_1_3.1.3 [0]!Qté))</f>
        <v>#REF!</v>
      </c>
      <c r="C73" s="172" t="e">
        <f>([0]!P_1_3.1.3 [0]!PU)</f>
        <v>#REF!</v>
      </c>
      <c r="D73" s="172" t="e">
        <f>IF(ISTEXT(([0]!P_1_3.1.3 [0]!MT)),0,([0]!P_1_3.1.3 [0]!MT))</f>
        <v>#REF!</v>
      </c>
    </row>
    <row r="74" spans="1:4" x14ac:dyDescent="0.25">
      <c r="A74" s="170" t="s">
        <v>76</v>
      </c>
      <c r="B74" s="171" t="e">
        <f>IF(ISTEXT(([0]!P_1_3.4 [0]!Qté)),0,([0]!P_1_3.4 [0]!Qté))</f>
        <v>#REF!</v>
      </c>
      <c r="C74" s="172" t="e">
        <f>([0]!P_1_3.4 [0]!PU)</f>
        <v>#REF!</v>
      </c>
      <c r="D74" s="172" t="e">
        <f>IF(ISTEXT(([0]!P_1_3.4 [0]!MT)),0,([0]!P_1_3.4 [0]!MT))</f>
        <v>#REF!</v>
      </c>
    </row>
    <row r="75" spans="1:4" x14ac:dyDescent="0.25">
      <c r="A75" s="170" t="s">
        <v>77</v>
      </c>
      <c r="B75" s="171" t="e">
        <f>IF(ISTEXT(([0]!P_1_3.1.5 [0]!Qté)),0,([0]!P_1_3.1.5 [0]!Qté))</f>
        <v>#REF!</v>
      </c>
      <c r="C75" s="172" t="e">
        <f>([0]!P_1_3.1.5 [0]!PU)</f>
        <v>#REF!</v>
      </c>
      <c r="D75" s="172" t="e">
        <f>IF(ISTEXT(([0]!P_1_3.1.5 [0]!MT)),0,([0]!P_1_3.1.5 [0]!MT))</f>
        <v>#REF!</v>
      </c>
    </row>
    <row r="76" spans="1:4" x14ac:dyDescent="0.25">
      <c r="A76" s="170" t="s">
        <v>78</v>
      </c>
      <c r="B76" s="171" t="e">
        <f>IF(ISTEXT(([0]!P_1_3.1.6 [0]!Qté)),0,([0]!P_1_3.1.6 [0]!Qté))</f>
        <v>#REF!</v>
      </c>
      <c r="C76" s="172" t="e">
        <f>([0]!P_1_3.1.6 [0]!PU)</f>
        <v>#REF!</v>
      </c>
      <c r="D76" s="172" t="e">
        <f>IF(ISTEXT(([0]!P_1_3.1.6 [0]!MT)),0,([0]!P_1_3.1.6 [0]!MT))</f>
        <v>#REF!</v>
      </c>
    </row>
    <row r="77" spans="1:4" x14ac:dyDescent="0.25">
      <c r="A77" s="170" t="s">
        <v>79</v>
      </c>
      <c r="B77" s="171" t="e">
        <f>IF(ISTEXT(([0]!P_1_3.7 [0]!Qté)),0,([0]!P_1_3.7 [0]!Qté))</f>
        <v>#REF!</v>
      </c>
      <c r="C77" s="172" t="e">
        <f>([0]!P_1_3.7 [0]!PU)</f>
        <v>#REF!</v>
      </c>
      <c r="D77" s="172" t="e">
        <f>IF(ISTEXT(([0]!P_1_3.7 [0]!MT)),0,([0]!P_1_3.7 [0]!MT))</f>
        <v>#REF!</v>
      </c>
    </row>
    <row r="78" spans="1:4" x14ac:dyDescent="0.25">
      <c r="A78" s="170" t="s">
        <v>80</v>
      </c>
      <c r="B78" s="171" t="e">
        <f>IF(ISTEXT(([0]!P_1_3.8 [0]!Qté)),0,([0]!P_1_3.8 [0]!Qté))</f>
        <v>#REF!</v>
      </c>
      <c r="C78" s="172" t="e">
        <f>([0]!P_1_3.8 [0]!PU)</f>
        <v>#REF!</v>
      </c>
      <c r="D78" s="172" t="e">
        <f>IF(ISTEXT(([0]!P_1_3.8 [0]!MT)),0,([0]!P_1_3.8 [0]!MT))</f>
        <v>#REF!</v>
      </c>
    </row>
    <row r="79" spans="1:4" x14ac:dyDescent="0.25">
      <c r="A79" s="170" t="s">
        <v>81</v>
      </c>
      <c r="B79" s="171" t="e">
        <f>IF(ISTEXT(([0]!P_1_3.2.1 [0]!Qté)),0,([0]!P_1_3.2.1 [0]!Qté))</f>
        <v>#REF!</v>
      </c>
      <c r="C79" s="172" t="e">
        <f>([0]!P_1_3.2.1 [0]!PU)</f>
        <v>#REF!</v>
      </c>
      <c r="D79" s="172" t="e">
        <f>IF(ISTEXT(([0]!P_1_3.2.1 [0]!MT)),0,([0]!P_1_3.2.1 [0]!MT))</f>
        <v>#REF!</v>
      </c>
    </row>
    <row r="80" spans="1:4" x14ac:dyDescent="0.25">
      <c r="A80" s="170" t="s">
        <v>82</v>
      </c>
      <c r="B80" s="171" t="e">
        <f>IF(ISTEXT(([0]!P_1_3.2.2 [0]!Qté)),0,([0]!P_1_3.2.2 [0]!Qté))</f>
        <v>#REF!</v>
      </c>
      <c r="C80" s="172" t="e">
        <f>([0]!P_1_3.2.2 [0]!PU)</f>
        <v>#REF!</v>
      </c>
      <c r="D80" s="172" t="e">
        <f>IF(ISTEXT(([0]!P_1_3.2.2 [0]!MT)),0,([0]!P_1_3.2.2 [0]!MT))</f>
        <v>#REF!</v>
      </c>
    </row>
    <row r="81" spans="1:4" x14ac:dyDescent="0.25">
      <c r="A81" s="170" t="s">
        <v>83</v>
      </c>
      <c r="B81" s="171" t="e">
        <f>IF(ISTEXT(([0]!P_1_3.2.3 [0]!Qté)),0,([0]!P_1_3.2.3 [0]!Qté))</f>
        <v>#REF!</v>
      </c>
      <c r="C81" s="172" t="e">
        <f>([0]!P_1_3.2.3 [0]!PU)</f>
        <v>#REF!</v>
      </c>
      <c r="D81" s="172" t="e">
        <f>IF(ISTEXT(([0]!P_1_3.2.3 [0]!MT)),0,([0]!P_1_3.2.3 [0]!MT))</f>
        <v>#REF!</v>
      </c>
    </row>
    <row r="82" spans="1:4" x14ac:dyDescent="0.25">
      <c r="A82" s="170" t="s">
        <v>84</v>
      </c>
      <c r="B82" s="171" t="e">
        <f>IF(ISTEXT(([0]!P_1_3.3.1 [0]!Qté)),0,([0]!P_1_3.3.1 [0]!Qté))</f>
        <v>#REF!</v>
      </c>
      <c r="C82" s="172" t="e">
        <f>([0]!P_1_3.3.1 [0]!PU)</f>
        <v>#REF!</v>
      </c>
      <c r="D82" s="172" t="e">
        <f>IF(ISTEXT(([0]!P_1_3.3.1 [0]!MT)),0,([0]!P_1_3.3.1 [0]!MT))</f>
        <v>#REF!</v>
      </c>
    </row>
    <row r="83" spans="1:4" x14ac:dyDescent="0.25">
      <c r="A83" s="170" t="s">
        <v>85</v>
      </c>
      <c r="B83" s="171" t="e">
        <f>IF(ISTEXT(([0]!P_1_3.3.2 [0]!Qté)),0,([0]!P_1_3.3.2 [0]!Qté))</f>
        <v>#REF!</v>
      </c>
      <c r="C83" s="172" t="e">
        <f>([0]!P_1_3.3.2 [0]!PU)</f>
        <v>#REF!</v>
      </c>
      <c r="D83" s="172" t="e">
        <f>IF(ISTEXT(([0]!P_1_3.3.2 [0]!MT)),0,([0]!P_1_3.3.2 [0]!MT))</f>
        <v>#REF!</v>
      </c>
    </row>
    <row r="84" spans="1:4" x14ac:dyDescent="0.25">
      <c r="A84" s="170" t="s">
        <v>86</v>
      </c>
      <c r="B84" s="171" t="e">
        <f>IF(ISTEXT(([0]!P_1_3.3.3 [0]!Qté)),0,([0]!P_1_3.3.3 [0]!Qté))</f>
        <v>#REF!</v>
      </c>
      <c r="C84" s="172" t="e">
        <f>([0]!P_1_3.3.3 [0]!PU)</f>
        <v>#REF!</v>
      </c>
      <c r="D84" s="172" t="e">
        <f>IF(ISTEXT(([0]!P_1_3.3.3 [0]!MT)),0,([0]!P_1_3.3.3 [0]!MT))</f>
        <v>#REF!</v>
      </c>
    </row>
    <row r="85" spans="1:4" x14ac:dyDescent="0.25">
      <c r="A85" s="170" t="s">
        <v>87</v>
      </c>
      <c r="B85" s="171" t="e">
        <f>IF(ISTEXT(([0]!P_1_3.4.1 [0]!Qté)),0,([0]!P_1_3.4.1 [0]!Qté))</f>
        <v>#REF!</v>
      </c>
      <c r="C85" s="172" t="e">
        <f>([0]!P_1_3.4.1 [0]!PU)</f>
        <v>#REF!</v>
      </c>
      <c r="D85" s="172" t="e">
        <f>IF(ISTEXT(([0]!P_1_3.4.1 [0]!MT)),0,([0]!P_1_3.4.1 [0]!MT))</f>
        <v>#REF!</v>
      </c>
    </row>
    <row r="86" spans="1:4" x14ac:dyDescent="0.25">
      <c r="A86" s="170" t="s">
        <v>88</v>
      </c>
      <c r="B86" s="171" t="e">
        <f>IF(ISTEXT(([0]!P_1_3.4.2 [0]!Qté)),0,([0]!P_1_3.4.2 [0]!Qté))</f>
        <v>#REF!</v>
      </c>
      <c r="C86" s="172" t="e">
        <f>([0]!P_1_3.4.2 [0]!PU)</f>
        <v>#REF!</v>
      </c>
      <c r="D86" s="172" t="e">
        <f>IF(ISTEXT(([0]!P_1_3.4.2 [0]!MT)),0,([0]!P_1_3.4.2 [0]!MT))</f>
        <v>#REF!</v>
      </c>
    </row>
    <row r="87" spans="1:4" x14ac:dyDescent="0.25">
      <c r="A87" s="170" t="s">
        <v>89</v>
      </c>
      <c r="B87" s="171" t="e">
        <f>IF(ISTEXT(([0]!P_1_3.4.3 [0]!Qté)),0,([0]!P_1_3.4.3 [0]!Qté))</f>
        <v>#REF!</v>
      </c>
      <c r="C87" s="172" t="e">
        <f>([0]!P_1_3.4.3 [0]!PU)</f>
        <v>#REF!</v>
      </c>
      <c r="D87" s="172" t="e">
        <f>IF(ISTEXT(([0]!P_1_3.4.3 [0]!MT)),0,([0]!P_1_3.4.3 [0]!MT))</f>
        <v>#REF!</v>
      </c>
    </row>
    <row r="88" spans="1:4" x14ac:dyDescent="0.25">
      <c r="A88" s="170" t="s">
        <v>90</v>
      </c>
      <c r="B88" s="171" t="e">
        <f>IF(ISTEXT(([0]!P_1_3.5.1 [0]!Qté)),0,([0]!P_1_3.5.1 [0]!Qté))</f>
        <v>#REF!</v>
      </c>
      <c r="C88" s="172" t="e">
        <f>([0]!P_1_3.5.1 [0]!PU)</f>
        <v>#REF!</v>
      </c>
      <c r="D88" s="172" t="e">
        <f>IF(ISTEXT(([0]!P_1_3.5.1 [0]!MT)),0,([0]!P_1_3.5.1 [0]!MT))</f>
        <v>#REF!</v>
      </c>
    </row>
    <row r="89" spans="1:4" x14ac:dyDescent="0.25">
      <c r="A89" s="170" t="s">
        <v>91</v>
      </c>
      <c r="B89" s="171" t="e">
        <f>IF(ISTEXT(([0]!P_1_3.5.2 [0]!Qté)),0,([0]!P_1_3.5.2 [0]!Qté))</f>
        <v>#REF!</v>
      </c>
      <c r="C89" s="172" t="e">
        <f>([0]!P_1_3.5.2 [0]!PU)</f>
        <v>#REF!</v>
      </c>
      <c r="D89" s="172" t="e">
        <f>IF(ISTEXT(([0]!P_1_3.5.2 [0]!MT)),0,([0]!P_1_3.5.2 [0]!MT))</f>
        <v>#REF!</v>
      </c>
    </row>
    <row r="90" spans="1:4" x14ac:dyDescent="0.25">
      <c r="A90" s="170" t="s">
        <v>92</v>
      </c>
      <c r="B90" s="171" t="e">
        <f>IF(ISTEXT(([0]!P_1_4.1.1 [0]!Qté)),0,([0]!P_1_4.1.1 [0]!Qté))</f>
        <v>#REF!</v>
      </c>
      <c r="C90" s="172" t="e">
        <f>([0]!P_1_4.1.1 [0]!PU)</f>
        <v>#REF!</v>
      </c>
      <c r="D90" s="172" t="e">
        <f>IF(ISTEXT(([0]!P_1_4.1.1 [0]!MT)),0,([0]!P_1_4.1.1 [0]!MT))</f>
        <v>#REF!</v>
      </c>
    </row>
    <row r="91" spans="1:4" x14ac:dyDescent="0.25">
      <c r="A91" s="170" t="s">
        <v>93</v>
      </c>
      <c r="B91" s="171" t="e">
        <f>IF(ISTEXT(([0]!P_1_4.1.2 [0]!Qté)),0,([0]!P_1_4.1.2 [0]!Qté))</f>
        <v>#REF!</v>
      </c>
      <c r="C91" s="172" t="e">
        <f>([0]!P_1_4.1.2 [0]!PU)</f>
        <v>#REF!</v>
      </c>
      <c r="D91" s="172" t="e">
        <f>IF(ISTEXT(([0]!P_1_4.1.2 [0]!MT)),0,([0]!P_1_4.1.2 [0]!MT))</f>
        <v>#REF!</v>
      </c>
    </row>
    <row r="92" spans="1:4" x14ac:dyDescent="0.25">
      <c r="A92" s="170" t="s">
        <v>94</v>
      </c>
      <c r="B92" s="171" t="e">
        <f>IF(ISTEXT(([0]!P_1_4.1.3 [0]!Qté)),0,([0]!P_1_4.1.3 [0]!Qté))</f>
        <v>#REF!</v>
      </c>
      <c r="C92" s="172" t="e">
        <f>([0]!P_1_4.1.3 [0]!PU)</f>
        <v>#REF!</v>
      </c>
      <c r="D92" s="172" t="e">
        <f>IF(ISTEXT(([0]!P_1_4.1.3 [0]!MT)),0,([0]!P_1_4.1.3 [0]!MT))</f>
        <v>#REF!</v>
      </c>
    </row>
    <row r="93" spans="1:4" x14ac:dyDescent="0.25">
      <c r="A93" s="170" t="s">
        <v>95</v>
      </c>
      <c r="B93" s="171" t="e">
        <f>IF(ISTEXT(([0]!P_1_4.1.4 [0]!Qté)),0,([0]!P_1_4.1.4 [0]!Qté))</f>
        <v>#REF!</v>
      </c>
      <c r="C93" s="172" t="e">
        <f>([0]!P_1_4.1.4 [0]!PU)</f>
        <v>#REF!</v>
      </c>
      <c r="D93" s="172" t="e">
        <f>IF(ISTEXT(([0]!P_1_4.1.4 [0]!MT)),0,([0]!P_1_4.1.4 [0]!MT))</f>
        <v>#REF!</v>
      </c>
    </row>
    <row r="94" spans="1:4" x14ac:dyDescent="0.25">
      <c r="A94" s="170" t="s">
        <v>96</v>
      </c>
      <c r="B94" s="171" t="e">
        <f>IF(ISTEXT(([0]!P_1_4.1.5 [0]!Qté)),0,([0]!P_1_4.1.5 [0]!Qté))</f>
        <v>#REF!</v>
      </c>
      <c r="C94" s="172" t="e">
        <f>([0]!P_1_4.1.5 [0]!PU)</f>
        <v>#REF!</v>
      </c>
      <c r="D94" s="172" t="e">
        <f>IF(ISTEXT(([0]!P_1_4.1.5 [0]!MT)),0,([0]!P_1_4.1.5 [0]!MT))</f>
        <v>#REF!</v>
      </c>
    </row>
    <row r="95" spans="1:4" x14ac:dyDescent="0.25">
      <c r="A95" s="170" t="s">
        <v>97</v>
      </c>
      <c r="B95" s="171" t="e">
        <f>IF(ISTEXT(([0]!P_1_4.1.6 [0]!Qté)),0,([0]!P_1_4.1.6 [0]!Qté))</f>
        <v>#REF!</v>
      </c>
      <c r="C95" s="172" t="e">
        <f>([0]!P_1_4.1.6 [0]!PU)</f>
        <v>#REF!</v>
      </c>
      <c r="D95" s="172" t="e">
        <f>IF(ISTEXT(([0]!P_1_4.1.6 [0]!MT)),0,([0]!P_1_4.1.6 [0]!MT))</f>
        <v>#REF!</v>
      </c>
    </row>
    <row r="96" spans="1:4" x14ac:dyDescent="0.25">
      <c r="A96" s="170" t="s">
        <v>98</v>
      </c>
      <c r="B96" s="171" t="e">
        <f>IF(ISTEXT(([0]!P_1_4.1.7 [0]!Qté)),0,([0]!P_1_4.1.7 [0]!Qté))</f>
        <v>#REF!</v>
      </c>
      <c r="C96" s="172" t="e">
        <f>([0]!P_1_4.1.7 [0]!PU)</f>
        <v>#REF!</v>
      </c>
      <c r="D96" s="172" t="e">
        <f>IF(ISTEXT(([0]!P_1_4.1.7 [0]!MT)),0,([0]!P_1_4.1.7 [0]!MT))</f>
        <v>#REF!</v>
      </c>
    </row>
    <row r="97" spans="1:4" x14ac:dyDescent="0.25">
      <c r="A97" s="170" t="s">
        <v>99</v>
      </c>
      <c r="B97" s="171" t="e">
        <f>IF(ISTEXT(([0]!P_1_4.1.8 [0]!Qté)),0,([0]!P_1_4.1.8 [0]!Qté))</f>
        <v>#REF!</v>
      </c>
      <c r="C97" s="172" t="e">
        <f>([0]!P_1_4.1.8 [0]!PU)</f>
        <v>#REF!</v>
      </c>
      <c r="D97" s="172" t="e">
        <f>IF(ISTEXT(([0]!P_1_4.1.8 [0]!MT)),0,([0]!P_1_4.1.8 [0]!MT))</f>
        <v>#REF!</v>
      </c>
    </row>
    <row r="98" spans="1:4" x14ac:dyDescent="0.25">
      <c r="A98" s="170" t="s">
        <v>100</v>
      </c>
      <c r="B98" s="171" t="e">
        <f>IF(ISTEXT(([0]!P_1_4.1.9 [0]!Qté)),0,([0]!P_1_4.1.9 [0]!Qté))</f>
        <v>#REF!</v>
      </c>
      <c r="C98" s="172" t="e">
        <f>([0]!P_1_4.1.9 [0]!PU)</f>
        <v>#REF!</v>
      </c>
      <c r="D98" s="172" t="e">
        <f>IF(ISTEXT(([0]!P_1_4.1.9 [0]!MT)),0,([0]!P_1_4.1.9 [0]!MT))</f>
        <v>#REF!</v>
      </c>
    </row>
    <row r="99" spans="1:4" x14ac:dyDescent="0.25">
      <c r="A99" s="170" t="s">
        <v>101</v>
      </c>
      <c r="B99" s="171" t="e">
        <f>IF(ISTEXT(([0]!P_1_4.1.10 [0]!Qté)),0,([0]!P_1_4.1.10 [0]!Qté))</f>
        <v>#REF!</v>
      </c>
      <c r="C99" s="172" t="e">
        <f>([0]!P_1_4.1.10 [0]!PU)</f>
        <v>#REF!</v>
      </c>
      <c r="D99" s="172" t="e">
        <f>IF(ISTEXT(([0]!P_1_4.1.10 [0]!MT)),0,([0]!P_1_4.1.10 [0]!MT))</f>
        <v>#REF!</v>
      </c>
    </row>
    <row r="100" spans="1:4" x14ac:dyDescent="0.25">
      <c r="A100" s="170" t="s">
        <v>102</v>
      </c>
      <c r="B100" s="171" t="e">
        <f>IF(ISTEXT(([0]!P_1_4.1.11 [0]!Qté)),0,([0]!P_1_4.1.11 [0]!Qté))</f>
        <v>#REF!</v>
      </c>
      <c r="C100" s="172" t="e">
        <f>([0]!P_1_4.1.11 [0]!PU)</f>
        <v>#REF!</v>
      </c>
      <c r="D100" s="172" t="e">
        <f>IF(ISTEXT(([0]!P_1_4.1.11 [0]!MT)),0,([0]!P_1_4.1.11 [0]!MT))</f>
        <v>#REF!</v>
      </c>
    </row>
    <row r="101" spans="1:4" x14ac:dyDescent="0.25">
      <c r="A101" s="170" t="s">
        <v>103</v>
      </c>
      <c r="B101" s="171" t="e">
        <f>IF(ISTEXT(([0]!P_1_4.1.12 [0]!Qté)),0,([0]!P_1_4.1.12 [0]!Qté))</f>
        <v>#REF!</v>
      </c>
      <c r="C101" s="172" t="e">
        <f>([0]!P_1_4.1.12 [0]!PU)</f>
        <v>#REF!</v>
      </c>
      <c r="D101" s="172" t="e">
        <f>IF(ISTEXT(([0]!P_1_4.1.12 [0]!MT)),0,([0]!P_1_4.1.12 [0]!MT))</f>
        <v>#REF!</v>
      </c>
    </row>
    <row r="102" spans="1:4" x14ac:dyDescent="0.25">
      <c r="A102" s="170" t="s">
        <v>104</v>
      </c>
      <c r="B102" s="171" t="e">
        <f>IF(ISTEXT(([0]!P_1_4.1.13 [0]!Qté)),0,([0]!P_1_4.1.13 [0]!Qté))</f>
        <v>#REF!</v>
      </c>
      <c r="C102" s="172" t="e">
        <f>([0]!P_1_4.1.13 [0]!PU)</f>
        <v>#REF!</v>
      </c>
      <c r="D102" s="172" t="e">
        <f>IF(ISTEXT(([0]!P_1_4.1.13 [0]!MT)),0,([0]!P_1_4.1.13 [0]!MT))</f>
        <v>#REF!</v>
      </c>
    </row>
    <row r="103" spans="1:4" x14ac:dyDescent="0.25">
      <c r="A103" s="170" t="s">
        <v>105</v>
      </c>
      <c r="B103" s="171" t="e">
        <f>IF(ISTEXT(([0]!P_1_4.1.14 [0]!Qté)),0,([0]!P_1_4.1.14 [0]!Qté))</f>
        <v>#REF!</v>
      </c>
      <c r="C103" s="172" t="e">
        <f>([0]!P_1_4.1.14 [0]!PU)</f>
        <v>#REF!</v>
      </c>
      <c r="D103" s="172" t="e">
        <f>IF(ISTEXT(([0]!P_1_4.1.14 [0]!MT)),0,([0]!P_1_4.1.14 [0]!MT))</f>
        <v>#REF!</v>
      </c>
    </row>
    <row r="104" spans="1:4" x14ac:dyDescent="0.25">
      <c r="A104" s="170" t="s">
        <v>106</v>
      </c>
      <c r="B104" s="171" t="e">
        <f>IF(ISTEXT(([0]!P_1_4.2.1 [0]!Qté)),0,([0]!P_1_4.2.1 [0]!Qté))</f>
        <v>#REF!</v>
      </c>
      <c r="C104" s="172" t="e">
        <f>([0]!P_1_4.2.1 [0]!PU)</f>
        <v>#REF!</v>
      </c>
      <c r="D104" s="172" t="e">
        <f>IF(ISTEXT(([0]!P_1_4.2.1 [0]!MT)),0,([0]!P_1_4.2.1 [0]!MT))</f>
        <v>#REF!</v>
      </c>
    </row>
    <row r="105" spans="1:4" x14ac:dyDescent="0.25">
      <c r="A105" s="170" t="s">
        <v>107</v>
      </c>
      <c r="B105" s="171" t="e">
        <f>IF(ISTEXT(([0]!P_1_4.2.2 [0]!Qté)),0,([0]!P_1_4.2.2 [0]!Qté))</f>
        <v>#REF!</v>
      </c>
      <c r="C105" s="172" t="e">
        <f>([0]!P_1_4.2.2 [0]!PU)</f>
        <v>#REF!</v>
      </c>
      <c r="D105" s="172" t="e">
        <f>IF(ISTEXT(([0]!P_1_4.2.2 [0]!MT)),0,([0]!P_1_4.2.2 [0]!MT))</f>
        <v>#REF!</v>
      </c>
    </row>
    <row r="106" spans="1:4" x14ac:dyDescent="0.25">
      <c r="A106" s="170" t="s">
        <v>108</v>
      </c>
      <c r="B106" s="171" t="e">
        <f>IF(ISTEXT(([0]!P_1_4.2.3 [0]!Qté)),0,([0]!P_1_4.2.3 [0]!Qté))</f>
        <v>#REF!</v>
      </c>
      <c r="C106" s="172" t="e">
        <f>([0]!P_1_4.2.3 [0]!PU)</f>
        <v>#REF!</v>
      </c>
      <c r="D106" s="172" t="e">
        <f>IF(ISTEXT(([0]!P_1_4.2.3 [0]!MT)),0,([0]!P_1_4.2.3 [0]!MT))</f>
        <v>#REF!</v>
      </c>
    </row>
    <row r="107" spans="1:4" x14ac:dyDescent="0.25">
      <c r="A107" s="170" t="s">
        <v>109</v>
      </c>
      <c r="B107" s="171" t="e">
        <f>IF(ISTEXT(([0]!P_1_4.2.4 [0]!Qté)),0,([0]!P_1_4.2.4 [0]!Qté))</f>
        <v>#REF!</v>
      </c>
      <c r="C107" s="172" t="e">
        <f>([0]!P_1_4.2.4 [0]!PU)</f>
        <v>#REF!</v>
      </c>
      <c r="D107" s="172" t="e">
        <f>IF(ISTEXT(([0]!P_1_4.2.4 [0]!MT)),0,([0]!P_1_4.2.4 [0]!MT))</f>
        <v>#REF!</v>
      </c>
    </row>
    <row r="108" spans="1:4" x14ac:dyDescent="0.25">
      <c r="A108" s="170" t="s">
        <v>110</v>
      </c>
      <c r="B108" s="171" t="e">
        <f>IF(ISTEXT(([0]!P_1_4.2.5 [0]!Qté)),0,([0]!P_1_4.2.5 [0]!Qté))</f>
        <v>#REF!</v>
      </c>
      <c r="C108" s="172" t="e">
        <f>([0]!P_1_4.2.5 [0]!PU)</f>
        <v>#REF!</v>
      </c>
      <c r="D108" s="172" t="e">
        <f>IF(ISTEXT(([0]!P_1_4.2.5 [0]!MT)),0,([0]!P_1_4.2.5 [0]!MT))</f>
        <v>#REF!</v>
      </c>
    </row>
    <row r="109" spans="1:4" x14ac:dyDescent="0.25">
      <c r="A109" s="170" t="s">
        <v>111</v>
      </c>
      <c r="B109" s="171" t="e">
        <f>IF(ISTEXT(([0]!P_1_4.2.6.1 [0]!Qté)),0,([0]!P_1_4.2.6.1 [0]!Qté))</f>
        <v>#REF!</v>
      </c>
      <c r="C109" s="172" t="e">
        <f>([0]!P_1_4.2.6.1 [0]!PU)</f>
        <v>#REF!</v>
      </c>
      <c r="D109" s="172" t="e">
        <f>IF(ISTEXT(([0]!P_1_4.2.6.1 [0]!MT)),0,([0]!P_1_4.2.6.1 [0]!MT))</f>
        <v>#REF!</v>
      </c>
    </row>
    <row r="110" spans="1:4" x14ac:dyDescent="0.25">
      <c r="A110" s="170" t="s">
        <v>112</v>
      </c>
      <c r="B110" s="171" t="e">
        <f>IF(ISTEXT(([0]!P_1_4.2.6.2 [0]!Qté)),0,([0]!P_1_4.2.6.2 [0]!Qté))</f>
        <v>#REF!</v>
      </c>
      <c r="C110" s="172" t="e">
        <f>([0]!P_1_4.2.6.2 [0]!PU)</f>
        <v>#REF!</v>
      </c>
      <c r="D110" s="172" t="e">
        <f>IF(ISTEXT(([0]!P_1_4.2.6.2 [0]!MT)),0,([0]!P_1_4.2.6.2 [0]!MT))</f>
        <v>#REF!</v>
      </c>
    </row>
    <row r="111" spans="1:4" x14ac:dyDescent="0.25">
      <c r="A111" s="170" t="s">
        <v>113</v>
      </c>
      <c r="B111" s="171" t="e">
        <f>IF(ISTEXT(([0]!P_1_4.2.6.3 [0]!Qté)),0,([0]!P_1_4.2.6.3 [0]!Qté))</f>
        <v>#REF!</v>
      </c>
      <c r="C111" s="172" t="e">
        <f>([0]!P_1_4.2.6.3 [0]!PU)</f>
        <v>#REF!</v>
      </c>
      <c r="D111" s="172" t="e">
        <f>IF(ISTEXT(([0]!P_1_4.2.6.3 [0]!MT)),0,([0]!P_1_4.2.6.3 [0]!MT))</f>
        <v>#REF!</v>
      </c>
    </row>
    <row r="112" spans="1:4" x14ac:dyDescent="0.25">
      <c r="A112" s="170" t="s">
        <v>114</v>
      </c>
      <c r="B112" s="171" t="e">
        <f>IF(ISTEXT(([0]!P_1_4.2.7.1 [0]!Qté)),0,([0]!P_1_4.2.7.1 [0]!Qté))</f>
        <v>#REF!</v>
      </c>
      <c r="C112" s="172" t="e">
        <f>([0]!P_1_4.2.7.1 [0]!PU)</f>
        <v>#REF!</v>
      </c>
      <c r="D112" s="172" t="e">
        <f>IF(ISTEXT(([0]!P_1_4.2.7.1 [0]!MT)),0,([0]!P_1_4.2.7.1 [0]!MT))</f>
        <v>#REF!</v>
      </c>
    </row>
    <row r="113" spans="1:4" x14ac:dyDescent="0.25">
      <c r="A113" s="170" t="s">
        <v>115</v>
      </c>
      <c r="B113" s="171" t="e">
        <f>IF(ISTEXT(([0]!P_1_4.2.7.2 [0]!Qté)),0,([0]!P_1_4.2.7.2 [0]!Qté))</f>
        <v>#REF!</v>
      </c>
      <c r="C113" s="172" t="e">
        <f>([0]!P_1_4.2.7.2 [0]!PU)</f>
        <v>#REF!</v>
      </c>
      <c r="D113" s="172" t="e">
        <f>IF(ISTEXT(([0]!P_1_4.2.7.2 [0]!MT)),0,([0]!P_1_4.2.7.2 [0]!MT))</f>
        <v>#REF!</v>
      </c>
    </row>
    <row r="114" spans="1:4" x14ac:dyDescent="0.25">
      <c r="A114" s="170" t="s">
        <v>116</v>
      </c>
      <c r="B114" s="171" t="e">
        <f>IF(ISTEXT(([0]!P_1_4.2.7.3 [0]!Qté)),0,([0]!P_1_4.2.7.3 [0]!Qté))</f>
        <v>#REF!</v>
      </c>
      <c r="C114" s="172" t="e">
        <f>([0]!P_1_4.2.7.3 [0]!PU)</f>
        <v>#REF!</v>
      </c>
      <c r="D114" s="172" t="e">
        <f>IF(ISTEXT(([0]!P_1_4.2.7.3 [0]!MT)),0,([0]!P_1_4.2.7.3 [0]!MT))</f>
        <v>#REF!</v>
      </c>
    </row>
    <row r="115" spans="1:4" x14ac:dyDescent="0.25">
      <c r="A115" s="170" t="s">
        <v>117</v>
      </c>
      <c r="B115" s="171" t="e">
        <f>IF(ISTEXT(([0]!P_1_5.1.1 [0]!Qté)),0,([0]!P_1_5.1.1 [0]!Qté))</f>
        <v>#REF!</v>
      </c>
      <c r="C115" s="172" t="e">
        <f>([0]!P_1_5.1.1 [0]!PU)</f>
        <v>#REF!</v>
      </c>
      <c r="D115" s="172" t="e">
        <f>IF(ISTEXT(([0]!P_1_5.1.1 [0]!MT)),0,([0]!P_1_5.1.1 [0]!MT))</f>
        <v>#REF!</v>
      </c>
    </row>
    <row r="116" spans="1:4" x14ac:dyDescent="0.25">
      <c r="A116" s="170" t="s">
        <v>118</v>
      </c>
      <c r="B116" s="171" t="e">
        <f>IF(ISTEXT(([0]!P_1_5.1.2 [0]!Qté)),0,([0]!P_1_5.1.2 [0]!Qté))</f>
        <v>#REF!</v>
      </c>
      <c r="C116" s="172" t="e">
        <f>([0]!P_1_5.1.2 [0]!PU)</f>
        <v>#REF!</v>
      </c>
      <c r="D116" s="172" t="e">
        <f>IF(ISTEXT(([0]!P_1_5.1.2 [0]!MT)),0,([0]!P_1_5.1.2 [0]!MT))</f>
        <v>#REF!</v>
      </c>
    </row>
    <row r="117" spans="1:4" x14ac:dyDescent="0.25">
      <c r="A117" s="170" t="s">
        <v>119</v>
      </c>
      <c r="B117" s="171" t="e">
        <f>IF(ISTEXT(([0]!P_1_5.1.3 [0]!Qté)),0,([0]!P_1_5.1.3 [0]!Qté))</f>
        <v>#REF!</v>
      </c>
      <c r="C117" s="172" t="e">
        <f>([0]!P_1_5.1.3 [0]!PU)</f>
        <v>#REF!</v>
      </c>
      <c r="D117" s="172" t="e">
        <f>IF(ISTEXT(([0]!P_1_5.1.3 [0]!MT)),0,([0]!P_1_5.1.3 [0]!MT))</f>
        <v>#REF!</v>
      </c>
    </row>
    <row r="118" spans="1:4" x14ac:dyDescent="0.25">
      <c r="A118" s="170" t="s">
        <v>120</v>
      </c>
      <c r="B118" s="171" t="e">
        <f>IF(ISTEXT(([0]!P_1_5.1.4 [0]!Qté)),0,([0]!P_1_5.1.4 [0]!Qté))</f>
        <v>#REF!</v>
      </c>
      <c r="C118" s="172" t="e">
        <f>([0]!P_1_5.1.4 [0]!PU)</f>
        <v>#REF!</v>
      </c>
      <c r="D118" s="172" t="e">
        <f>IF(ISTEXT(([0]!P_1_5.1.4 [0]!MT)),0,([0]!P_1_5.1.4 [0]!MT))</f>
        <v>#REF!</v>
      </c>
    </row>
    <row r="119" spans="1:4" x14ac:dyDescent="0.25">
      <c r="A119" s="170" t="s">
        <v>121</v>
      </c>
      <c r="B119" s="171" t="e">
        <f>IF(ISTEXT(([0]!P_1_5.1.5 [0]!Qté)),0,([0]!P_1_5.1.5 [0]!Qté))</f>
        <v>#REF!</v>
      </c>
      <c r="C119" s="172" t="e">
        <f>([0]!P_1_5.1.5 [0]!PU)</f>
        <v>#REF!</v>
      </c>
      <c r="D119" s="172" t="e">
        <f>IF(ISTEXT(([0]!P_1_5.1.5 [0]!MT)),0,([0]!P_1_5.1.5 [0]!MT))</f>
        <v>#REF!</v>
      </c>
    </row>
    <row r="120" spans="1:4" x14ac:dyDescent="0.25">
      <c r="A120" s="170" t="s">
        <v>122</v>
      </c>
      <c r="B120" s="171" t="e">
        <f>IF(ISTEXT(([0]!P_1_5.1.6 [0]!Qté)),0,([0]!P_1_5.1.6 [0]!Qté))</f>
        <v>#REF!</v>
      </c>
      <c r="C120" s="172" t="e">
        <f>([0]!P_1_5.1.6 [0]!PU)</f>
        <v>#REF!</v>
      </c>
      <c r="D120" s="172" t="e">
        <f>IF(ISTEXT(([0]!P_1_5.1.6 [0]!MT)),0,([0]!P_1_5.1.6 [0]!MT))</f>
        <v>#REF!</v>
      </c>
    </row>
    <row r="121" spans="1:4" x14ac:dyDescent="0.25">
      <c r="A121" s="170" t="s">
        <v>123</v>
      </c>
      <c r="B121" s="171" t="e">
        <f>IF(ISTEXT(([0]!P_1_5.1.7 [0]!Qté)),0,([0]!P_1_5.1.7 [0]!Qté))</f>
        <v>#REF!</v>
      </c>
      <c r="C121" s="172" t="e">
        <f>([0]!P_1_5.1.7 [0]!PU)</f>
        <v>#REF!</v>
      </c>
      <c r="D121" s="172" t="e">
        <f>IF(ISTEXT(([0]!P_1_5.1.7 [0]!MT)),0,([0]!P_1_5.1.7 [0]!MT))</f>
        <v>#REF!</v>
      </c>
    </row>
    <row r="122" spans="1:4" x14ac:dyDescent="0.25">
      <c r="A122" s="170" t="s">
        <v>124</v>
      </c>
      <c r="B122" s="171" t="e">
        <f>IF(ISTEXT(([0]!P_1_5.1.8 [0]!Qté)),0,([0]!P_1_5.1.8 [0]!Qté))</f>
        <v>#REF!</v>
      </c>
      <c r="C122" s="172" t="e">
        <f>([0]!P_1_5.1.8 [0]!PU)</f>
        <v>#REF!</v>
      </c>
      <c r="D122" s="172" t="e">
        <f>IF(ISTEXT(([0]!P_1_5.1.8 [0]!MT)),0,([0]!P_1_5.1.8 [0]!MT))</f>
        <v>#REF!</v>
      </c>
    </row>
    <row r="123" spans="1:4" x14ac:dyDescent="0.25">
      <c r="A123" s="170" t="s">
        <v>125</v>
      </c>
      <c r="B123" s="171" t="e">
        <f>IF(ISTEXT(([0]!P_1_5.1.9.1 [0]!Qté)),0,([0]!P_1_5.1.9.1 [0]!Qté))</f>
        <v>#REF!</v>
      </c>
      <c r="C123" s="172" t="e">
        <f>([0]!P_1_5.1.9.1 [0]!PU)</f>
        <v>#REF!</v>
      </c>
      <c r="D123" s="172" t="e">
        <f>IF(ISTEXT(([0]!P_1_5.1.9.1 [0]!MT)),0,([0]!P_1_5.1.9.1 [0]!MT))</f>
        <v>#REF!</v>
      </c>
    </row>
    <row r="124" spans="1:4" x14ac:dyDescent="0.25">
      <c r="A124" s="170" t="s">
        <v>126</v>
      </c>
      <c r="B124" s="171" t="e">
        <f>IF(ISTEXT(([0]!P_1_5.1.9.2 [0]!Qté)),0,([0]!P_1_5.1.9.2 [0]!Qté))</f>
        <v>#REF!</v>
      </c>
      <c r="C124" s="172" t="e">
        <f>([0]!P_1_5.1.9.2 [0]!PU)</f>
        <v>#REF!</v>
      </c>
      <c r="D124" s="172" t="e">
        <f>IF(ISTEXT(([0]!P_1_5.1.9.2 [0]!MT)),0,([0]!P_1_5.1.9.2 [0]!MT))</f>
        <v>#REF!</v>
      </c>
    </row>
    <row r="125" spans="1:4" x14ac:dyDescent="0.25">
      <c r="A125" s="170" t="s">
        <v>127</v>
      </c>
      <c r="B125" s="171" t="e">
        <f>IF(ISTEXT(([0]!P_1_5.1.9.3 [0]!Qté)),0,([0]!P_1_5.1.9.3 [0]!Qté))</f>
        <v>#REF!</v>
      </c>
      <c r="C125" s="172" t="e">
        <f>([0]!P_1_5.1.9.3 [0]!PU)</f>
        <v>#REF!</v>
      </c>
      <c r="D125" s="172" t="e">
        <f>IF(ISTEXT(([0]!P_1_5.1.9.3 [0]!MT)),0,([0]!P_1_5.1.9.3 [0]!MT))</f>
        <v>#REF!</v>
      </c>
    </row>
    <row r="126" spans="1:4" x14ac:dyDescent="0.25">
      <c r="A126" s="170" t="s">
        <v>128</v>
      </c>
      <c r="B126" s="171" t="e">
        <f>IF(ISTEXT(([0]!P_1_5.1.9.4 [0]!Qté)),0,([0]!P_1_5.1.9.4 [0]!Qté))</f>
        <v>#REF!</v>
      </c>
      <c r="C126" s="172" t="e">
        <f>([0]!P_1_5.1.9.4 [0]!PU)</f>
        <v>#REF!</v>
      </c>
      <c r="D126" s="172" t="e">
        <f>IF(ISTEXT(([0]!P_1_5.1.9.4 [0]!MT)),0,([0]!P_1_5.1.9.4 [0]!MT))</f>
        <v>#REF!</v>
      </c>
    </row>
    <row r="127" spans="1:4" x14ac:dyDescent="0.25">
      <c r="A127" s="170" t="s">
        <v>129</v>
      </c>
      <c r="B127" s="171" t="e">
        <f>IF(ISTEXT(([0]!P_1_5.1.9.5 [0]!Qté)),0,([0]!P_1_5.1.9.5 [0]!Qté))</f>
        <v>#REF!</v>
      </c>
      <c r="C127" s="172" t="e">
        <f>([0]!P_1_5.1.9.5 [0]!PU)</f>
        <v>#REF!</v>
      </c>
      <c r="D127" s="172" t="e">
        <f>IF(ISTEXT(([0]!P_1_5.1.9.5 [0]!MT)),0,([0]!P_1_5.1.9.5 [0]!MT))</f>
        <v>#REF!</v>
      </c>
    </row>
    <row r="128" spans="1:4" x14ac:dyDescent="0.25">
      <c r="A128" s="170" t="s">
        <v>130</v>
      </c>
      <c r="B128" s="171" t="e">
        <f>IF(ISTEXT(([0]!P_1_5.1.9.6 [0]!Qté)),0,([0]!P_1_5.1.9.6 [0]!Qté))</f>
        <v>#REF!</v>
      </c>
      <c r="C128" s="172" t="e">
        <f>([0]!P_1_5.1.9.6 [0]!PU)</f>
        <v>#REF!</v>
      </c>
      <c r="D128" s="172" t="e">
        <f>IF(ISTEXT(([0]!P_1_5.1.9.6 [0]!MT)),0,([0]!P_1_5.1.9.6 [0]!MT))</f>
        <v>#REF!</v>
      </c>
    </row>
    <row r="129" spans="1:4" x14ac:dyDescent="0.25">
      <c r="A129" s="170" t="s">
        <v>131</v>
      </c>
      <c r="B129" s="171" t="e">
        <f>IF(ISTEXT(([0]!P_1_5.1.9.7 [0]!Qté)),0,([0]!P_1_5.1.9.7 [0]!Qté))</f>
        <v>#REF!</v>
      </c>
      <c r="C129" s="172" t="e">
        <f>([0]!P_1_5.1.9.7 [0]!PU)</f>
        <v>#REF!</v>
      </c>
      <c r="D129" s="172" t="e">
        <f>IF(ISTEXT(([0]!P_1_5.1.9.7 [0]!MT)),0,([0]!P_1_5.1.9.7 [0]!MT))</f>
        <v>#REF!</v>
      </c>
    </row>
    <row r="130" spans="1:4" x14ac:dyDescent="0.25">
      <c r="A130" s="170" t="s">
        <v>132</v>
      </c>
      <c r="B130" s="171" t="e">
        <f>IF(ISTEXT(([0]!P_1_5.1.9.8 [0]!Qté)),0,([0]!P_1_5.1.9.8 [0]!Qté))</f>
        <v>#REF!</v>
      </c>
      <c r="C130" s="172" t="e">
        <f>([0]!P_1_5.1.9.8 [0]!PU)</f>
        <v>#REF!</v>
      </c>
      <c r="D130" s="172" t="e">
        <f>IF(ISTEXT(([0]!P_1_5.1.9.8 [0]!MT)),0,([0]!P_1_5.1.9.8 [0]!MT))</f>
        <v>#REF!</v>
      </c>
    </row>
    <row r="131" spans="1:4" x14ac:dyDescent="0.25">
      <c r="A131" s="170" t="s">
        <v>133</v>
      </c>
      <c r="B131" s="171" t="e">
        <f>IF(ISTEXT(([0]!P_1_5.1.9.9 [0]!Qté)),0,([0]!P_1_5.1.9.9 [0]!Qté))</f>
        <v>#REF!</v>
      </c>
      <c r="C131" s="172" t="e">
        <f>([0]!P_1_5.1.9.9 [0]!PU)</f>
        <v>#REF!</v>
      </c>
      <c r="D131" s="172" t="e">
        <f>IF(ISTEXT(([0]!P_1_5.1.9.9 [0]!MT)),0,([0]!P_1_5.1.9.9 [0]!MT))</f>
        <v>#REF!</v>
      </c>
    </row>
    <row r="132" spans="1:4" x14ac:dyDescent="0.25">
      <c r="A132" s="170" t="s">
        <v>134</v>
      </c>
      <c r="B132" s="171" t="e">
        <f>IF(ISTEXT(([0]!P_1_5.1.9.10 [0]!Qté)),0,([0]!P_1_5.1.9.10 [0]!Qté))</f>
        <v>#REF!</v>
      </c>
      <c r="C132" s="172" t="e">
        <f>([0]!P_1_5.1.9.10 [0]!PU)</f>
        <v>#REF!</v>
      </c>
      <c r="D132" s="172" t="e">
        <f>IF(ISTEXT(([0]!P_1_5.1.9.10 [0]!MT)),0,([0]!P_1_5.1.9.10 [0]!MT))</f>
        <v>#REF!</v>
      </c>
    </row>
    <row r="133" spans="1:4" x14ac:dyDescent="0.25">
      <c r="A133" s="170" t="s">
        <v>135</v>
      </c>
      <c r="B133" s="171" t="e">
        <f>IF(ISTEXT(([0]!P_1_5.1.10.1 [0]!Qté)),0,([0]!P_1_5.1.10.1 [0]!Qté))</f>
        <v>#REF!</v>
      </c>
      <c r="C133" s="172" t="e">
        <f>([0]!P_1_5.1.10.1 [0]!PU)</f>
        <v>#REF!</v>
      </c>
      <c r="D133" s="172" t="e">
        <f>IF(ISTEXT(([0]!P_1_5.1.10.1 [0]!MT)),0,([0]!P_1_5.1.10.1 [0]!MT))</f>
        <v>#REF!</v>
      </c>
    </row>
    <row r="134" spans="1:4" x14ac:dyDescent="0.25">
      <c r="A134" s="170" t="s">
        <v>136</v>
      </c>
      <c r="B134" s="171" t="e">
        <f>IF(ISTEXT(([0]!P_1_5.1.10.2 [0]!Qté)),0,([0]!P_1_5.1.10.2 [0]!Qté))</f>
        <v>#REF!</v>
      </c>
      <c r="C134" s="172" t="e">
        <f>([0]!P_1_5.1.10.2 [0]!PU)</f>
        <v>#REF!</v>
      </c>
      <c r="D134" s="172" t="e">
        <f>IF(ISTEXT(([0]!P_1_5.1.10.2 [0]!MT)),0,([0]!P_1_5.1.10.2 [0]!MT))</f>
        <v>#REF!</v>
      </c>
    </row>
    <row r="135" spans="1:4" x14ac:dyDescent="0.25">
      <c r="A135" s="170" t="s">
        <v>137</v>
      </c>
      <c r="B135" s="171" t="e">
        <f>IF(ISTEXT(([0]!P_1_5.1.10.3 [0]!Qté)),0,([0]!P_1_5.1.10.3 [0]!Qté))</f>
        <v>#REF!</v>
      </c>
      <c r="C135" s="172" t="e">
        <f>([0]!P_1_5.1.10.3 [0]!PU)</f>
        <v>#REF!</v>
      </c>
      <c r="D135" s="172" t="e">
        <f>IF(ISTEXT(([0]!P_1_5.1.10.3 [0]!MT)),0,([0]!P_1_5.1.10.3 [0]!MT))</f>
        <v>#REF!</v>
      </c>
    </row>
    <row r="136" spans="1:4" x14ac:dyDescent="0.25">
      <c r="A136" s="170" t="s">
        <v>138</v>
      </c>
      <c r="B136" s="171" t="e">
        <f>IF(ISTEXT(([0]!P_1_5.1.11.1 [0]!Qté)),0,([0]!P_1_5.1.11.1 [0]!Qté))</f>
        <v>#REF!</v>
      </c>
      <c r="C136" s="172" t="e">
        <f>([0]!P_1_5.1.11.1 [0]!PU)</f>
        <v>#REF!</v>
      </c>
      <c r="D136" s="172" t="e">
        <f>IF(ISTEXT(([0]!P_1_5.1.11.1 [0]!MT)),0,([0]!P_1_5.1.11.1 [0]!MT))</f>
        <v>#REF!</v>
      </c>
    </row>
    <row r="137" spans="1:4" x14ac:dyDescent="0.25">
      <c r="A137" s="170" t="s">
        <v>139</v>
      </c>
      <c r="B137" s="171" t="e">
        <f>IF(ISTEXT(([0]!P_1_5.1.11.2 [0]!Qté)),0,([0]!P_1_5.1.11.2 [0]!Qté))</f>
        <v>#REF!</v>
      </c>
      <c r="C137" s="172" t="e">
        <f>([0]!P_1_5.1.11.2 [0]!PU)</f>
        <v>#REF!</v>
      </c>
      <c r="D137" s="172" t="e">
        <f>IF(ISTEXT(([0]!P_1_5.1.11.2 [0]!MT)),0,([0]!P_1_5.1.11.2 [0]!MT))</f>
        <v>#REF!</v>
      </c>
    </row>
    <row r="138" spans="1:4" x14ac:dyDescent="0.25">
      <c r="A138" s="170" t="s">
        <v>140</v>
      </c>
      <c r="B138" s="171" t="e">
        <f>IF(ISTEXT(([0]!P_1_5.1.11.3 [0]!Qté)),0,([0]!P_1_5.1.11.3 [0]!Qté))</f>
        <v>#REF!</v>
      </c>
      <c r="C138" s="172" t="e">
        <f>([0]!P_1_5.1.11.3 [0]!PU)</f>
        <v>#REF!</v>
      </c>
      <c r="D138" s="172" t="e">
        <f>IF(ISTEXT(([0]!P_1_5.1.11.3 [0]!MT)),0,([0]!P_1_5.1.11.3 [0]!MT))</f>
        <v>#REF!</v>
      </c>
    </row>
    <row r="139" spans="1:4" x14ac:dyDescent="0.25">
      <c r="A139" s="170" t="s">
        <v>141</v>
      </c>
      <c r="B139" s="171" t="e">
        <f>IF(ISTEXT(([0]!P_1_5.1.12 [0]!Qté)),0,([0]!P_1_5.1.12 [0]!Qté))</f>
        <v>#REF!</v>
      </c>
      <c r="C139" s="172" t="e">
        <f>([0]!P_1_5.1.12 [0]!PU)</f>
        <v>#REF!</v>
      </c>
      <c r="D139" s="172" t="e">
        <f>IF(ISTEXT(([0]!P_1_5.1.12 [0]!MT)),0,([0]!P_1_5.1.12 [0]!MT))</f>
        <v>#REF!</v>
      </c>
    </row>
    <row r="140" spans="1:4" x14ac:dyDescent="0.25">
      <c r="A140" s="170" t="s">
        <v>142</v>
      </c>
      <c r="B140" s="171" t="e">
        <f>IF(ISTEXT(([0]!P_1_5.1.13.1 [0]!Qté)),0,([0]!P_1_5.1.13.1 [0]!Qté))</f>
        <v>#REF!</v>
      </c>
      <c r="C140" s="172" t="e">
        <f>([0]!P_1_5.1.13.1 [0]!PU)</f>
        <v>#REF!</v>
      </c>
      <c r="D140" s="172" t="e">
        <f>IF(ISTEXT(([0]!P_1_5.1.13.1 [0]!MT)),0,([0]!P_1_5.1.13.1 [0]!MT))</f>
        <v>#REF!</v>
      </c>
    </row>
    <row r="141" spans="1:4" x14ac:dyDescent="0.25">
      <c r="A141" s="170" t="s">
        <v>143</v>
      </c>
      <c r="B141" s="171" t="e">
        <f>IF(ISTEXT(([0]!P_1_5.1.13.2 [0]!Qté)),0,([0]!P_1_5.1.13.2 [0]!Qté))</f>
        <v>#REF!</v>
      </c>
      <c r="C141" s="172" t="e">
        <f>([0]!P_1_5.1.13.2 [0]!PU)</f>
        <v>#REF!</v>
      </c>
      <c r="D141" s="172" t="e">
        <f>IF(ISTEXT(([0]!P_1_5.1.13.2 [0]!MT)),0,([0]!P_1_5.1.13.2 [0]!MT))</f>
        <v>#REF!</v>
      </c>
    </row>
    <row r="142" spans="1:4" x14ac:dyDescent="0.25">
      <c r="A142" s="170" t="s">
        <v>144</v>
      </c>
      <c r="B142" s="171" t="e">
        <f>IF(ISTEXT(([0]!P_1_5.2.1.1 [0]!Qté)),0,([0]!P_1_5.2.1.1 [0]!Qté))</f>
        <v>#REF!</v>
      </c>
      <c r="C142" s="172" t="e">
        <f>([0]!P_1_5.2.1.1 [0]!PU)</f>
        <v>#REF!</v>
      </c>
      <c r="D142" s="172" t="e">
        <f>IF(ISTEXT(([0]!P_1_5.2.1.1 [0]!MT)),0,([0]!P_1_5.2.1.1 [0]!MT))</f>
        <v>#REF!</v>
      </c>
    </row>
    <row r="143" spans="1:4" x14ac:dyDescent="0.25">
      <c r="A143" s="170" t="s">
        <v>145</v>
      </c>
      <c r="B143" s="171" t="e">
        <f>IF(ISTEXT(([0]!P_1_5.2.1.2 [0]!Qté)),0,([0]!P_1_5.2.1.2 [0]!Qté))</f>
        <v>#REF!</v>
      </c>
      <c r="C143" s="172" t="e">
        <f>([0]!P_1_5.2.1.2 [0]!PU)</f>
        <v>#REF!</v>
      </c>
      <c r="D143" s="172" t="e">
        <f>IF(ISTEXT(([0]!P_1_5.2.1.2 [0]!MT)),0,([0]!P_1_5.2.1.2 [0]!MT))</f>
        <v>#REF!</v>
      </c>
    </row>
    <row r="144" spans="1:4" x14ac:dyDescent="0.25">
      <c r="A144" s="170" t="s">
        <v>146</v>
      </c>
      <c r="B144" s="171" t="e">
        <f>IF(ISTEXT(([0]!P_1_5.2.1.3 [0]!Qté)),0,([0]!P_1_5.2.1.3 [0]!Qté))</f>
        <v>#REF!</v>
      </c>
      <c r="C144" s="172" t="e">
        <f>([0]!P_1_5.2.1.3 [0]!PU)</f>
        <v>#REF!</v>
      </c>
      <c r="D144" s="172" t="e">
        <f>IF(ISTEXT(([0]!P_1_5.2.1.3 [0]!MT)),0,([0]!P_1_5.2.1.3 [0]!MT))</f>
        <v>#REF!</v>
      </c>
    </row>
    <row r="145" spans="1:4" x14ac:dyDescent="0.25">
      <c r="A145" s="170" t="s">
        <v>147</v>
      </c>
      <c r="B145" s="171" t="e">
        <f>IF(ISTEXT(([0]!P_1_5.2.1.4 [0]!Qté)),0,([0]!P_1_5.2.1.4 [0]!Qté))</f>
        <v>#REF!</v>
      </c>
      <c r="C145" s="172" t="e">
        <f>([0]!P_1_5.2.1.4 [0]!PU)</f>
        <v>#REF!</v>
      </c>
      <c r="D145" s="172" t="e">
        <f>IF(ISTEXT(([0]!P_1_5.2.1.4 [0]!MT)),0,([0]!P_1_5.2.1.4 [0]!MT))</f>
        <v>#REF!</v>
      </c>
    </row>
    <row r="146" spans="1:4" x14ac:dyDescent="0.25">
      <c r="A146" s="170" t="s">
        <v>148</v>
      </c>
      <c r="B146" s="171" t="e">
        <f>IF(ISTEXT(([0]!P_1_5.2.1.5 [0]!Qté)),0,([0]!P_1_5.2.1.5 [0]!Qté))</f>
        <v>#REF!</v>
      </c>
      <c r="C146" s="172" t="e">
        <f>([0]!P_1_5.2.1.5 [0]!PU)</f>
        <v>#REF!</v>
      </c>
      <c r="D146" s="172" t="e">
        <f>IF(ISTEXT(([0]!P_1_5.2.1.5 [0]!MT)),0,([0]!P_1_5.2.1.5 [0]!MT))</f>
        <v>#REF!</v>
      </c>
    </row>
    <row r="147" spans="1:4" x14ac:dyDescent="0.25">
      <c r="A147" s="170" t="s">
        <v>149</v>
      </c>
      <c r="B147" s="171" t="e">
        <f>IF(ISTEXT(([0]!P_1_5.2.1.6 [0]!Qté)),0,([0]!P_1_5.2.1.6 [0]!Qté))</f>
        <v>#REF!</v>
      </c>
      <c r="C147" s="172" t="e">
        <f>([0]!P_1_5.2.1.6 [0]!PU)</f>
        <v>#REF!</v>
      </c>
      <c r="D147" s="172" t="e">
        <f>IF(ISTEXT(([0]!P_1_5.2.1.6 [0]!MT)),0,([0]!P_1_5.2.1.6 [0]!MT))</f>
        <v>#REF!</v>
      </c>
    </row>
    <row r="148" spans="1:4" x14ac:dyDescent="0.25">
      <c r="A148" s="170" t="s">
        <v>150</v>
      </c>
      <c r="B148" s="171" t="e">
        <f>IF(ISTEXT(([0]!P_1_5.2.1.7 [0]!Qté)),0,([0]!P_1_5.2.1.7 [0]!Qté))</f>
        <v>#REF!</v>
      </c>
      <c r="C148" s="172" t="e">
        <f>([0]!P_1_5.2.1.7 [0]!PU)</f>
        <v>#REF!</v>
      </c>
      <c r="D148" s="172" t="e">
        <f>IF(ISTEXT(([0]!P_1_5.2.1.7 [0]!MT)),0,([0]!P_1_5.2.1.7 [0]!MT))</f>
        <v>#REF!</v>
      </c>
    </row>
    <row r="149" spans="1:4" x14ac:dyDescent="0.25">
      <c r="A149" s="170" t="s">
        <v>151</v>
      </c>
      <c r="B149" s="171" t="e">
        <f>IF(ISTEXT(([0]!P_1_5.2.1.8 [0]!Qté)),0,([0]!P_1_5.2.1.8 [0]!Qté))</f>
        <v>#REF!</v>
      </c>
      <c r="C149" s="172" t="e">
        <f>([0]!P_1_5.2.1.8 [0]!PU)</f>
        <v>#REF!</v>
      </c>
      <c r="D149" s="172" t="e">
        <f>IF(ISTEXT(([0]!P_1_5.2.1.8 [0]!MT)),0,([0]!P_1_5.2.1.8 [0]!MT))</f>
        <v>#REF!</v>
      </c>
    </row>
    <row r="150" spans="1:4" x14ac:dyDescent="0.25">
      <c r="A150" s="170" t="s">
        <v>152</v>
      </c>
      <c r="B150" s="171" t="e">
        <f>IF(ISTEXT(([0]!P_1_5.2.1.9 [0]!Qté)),0,([0]!P_1_5.2.1.9 [0]!Qté))</f>
        <v>#REF!</v>
      </c>
      <c r="C150" s="172" t="e">
        <f>([0]!P_1_5.2.1.9 [0]!PU)</f>
        <v>#REF!</v>
      </c>
      <c r="D150" s="172" t="e">
        <f>IF(ISTEXT(([0]!P_1_5.2.1.9 [0]!MT)),0,([0]!P_1_5.2.1.9 [0]!MT))</f>
        <v>#REF!</v>
      </c>
    </row>
    <row r="151" spans="1:4" x14ac:dyDescent="0.25">
      <c r="A151" s="170" t="s">
        <v>153</v>
      </c>
      <c r="B151" s="171" t="e">
        <f>IF(ISTEXT(([0]!P_1_5.2.1.10 [0]!Qté)),0,([0]!P_1_5.2.1.10 [0]!Qté))</f>
        <v>#REF!</v>
      </c>
      <c r="C151" s="172" t="e">
        <f>([0]!P_1_5.2.1.10 [0]!PU)</f>
        <v>#REF!</v>
      </c>
      <c r="D151" s="172" t="e">
        <f>IF(ISTEXT(([0]!P_1_5.2.1.10 [0]!MT)),0,([0]!P_1_5.2.1.10 [0]!MT))</f>
        <v>#REF!</v>
      </c>
    </row>
    <row r="152" spans="1:4" x14ac:dyDescent="0.25">
      <c r="A152" s="170" t="s">
        <v>154</v>
      </c>
      <c r="B152" s="171" t="e">
        <f>IF(ISTEXT(([0]!P_1_5.2.1.11 [0]!Qté)),0,([0]!P_1_5.2.1.11 [0]!Qté))</f>
        <v>#REF!</v>
      </c>
      <c r="C152" s="172" t="e">
        <f>([0]!P_1_5.2.1.11 [0]!PU)</f>
        <v>#REF!</v>
      </c>
      <c r="D152" s="172" t="e">
        <f>IF(ISTEXT(([0]!P_1_5.2.1.11 [0]!MT)),0,([0]!P_1_5.2.1.11 [0]!MT))</f>
        <v>#REF!</v>
      </c>
    </row>
    <row r="153" spans="1:4" x14ac:dyDescent="0.25">
      <c r="A153" s="170" t="s">
        <v>155</v>
      </c>
      <c r="B153" s="171" t="e">
        <f>IF(ISTEXT(([0]!P_1_5.2.1.12 [0]!Qté)),0,([0]!P_1_5.2.1.12 [0]!Qté))</f>
        <v>#REF!</v>
      </c>
      <c r="C153" s="172" t="e">
        <f>([0]!P_1_5.2.1.12 [0]!PU)</f>
        <v>#REF!</v>
      </c>
      <c r="D153" s="172" t="e">
        <f>IF(ISTEXT(([0]!P_1_5.2.1.12 [0]!MT)),0,([0]!P_1_5.2.1.12 [0]!MT))</f>
        <v>#REF!</v>
      </c>
    </row>
    <row r="154" spans="1:4" x14ac:dyDescent="0.25">
      <c r="A154" s="170" t="s">
        <v>156</v>
      </c>
      <c r="B154" s="171" t="e">
        <f>IF(ISTEXT(([0]!P_1_5.2.1.13 [0]!Qté)),0,([0]!P_1_5.2.1.13 [0]!Qté))</f>
        <v>#REF!</v>
      </c>
      <c r="C154" s="172" t="e">
        <f>([0]!P_1_5.2.1.13 [0]!PU)</f>
        <v>#REF!</v>
      </c>
      <c r="D154" s="172" t="e">
        <f>IF(ISTEXT(([0]!P_1_5.2.1.13 [0]!MT)),0,([0]!P_1_5.2.1.13 [0]!MT))</f>
        <v>#REF!</v>
      </c>
    </row>
    <row r="155" spans="1:4" x14ac:dyDescent="0.25">
      <c r="A155" s="170" t="s">
        <v>157</v>
      </c>
      <c r="B155" s="171" t="e">
        <f>IF(ISTEXT(([0]!P_1_5.2.2.1 [0]!Qté)),0,([0]!P_1_5.2.2.1 [0]!Qté))</f>
        <v>#REF!</v>
      </c>
      <c r="C155" s="172" t="e">
        <f>([0]!P_1_5.2.2.1 [0]!PU)</f>
        <v>#REF!</v>
      </c>
      <c r="D155" s="172" t="e">
        <f>IF(ISTEXT(([0]!P_1_5.2.2.1 [0]!MT)),0,([0]!P_1_5.2.2.1 [0]!MT))</f>
        <v>#REF!</v>
      </c>
    </row>
    <row r="156" spans="1:4" x14ac:dyDescent="0.25">
      <c r="A156" s="170" t="s">
        <v>158</v>
      </c>
      <c r="B156" s="171" t="e">
        <f>IF(ISTEXT(([0]!P_1_5.2.2.2 [0]!Qté)),0,([0]!P_1_5.2.2.2 [0]!Qté))</f>
        <v>#REF!</v>
      </c>
      <c r="C156" s="172" t="e">
        <f>([0]!P_1_5.2.2.2 [0]!PU)</f>
        <v>#REF!</v>
      </c>
      <c r="D156" s="172" t="e">
        <f>IF(ISTEXT(([0]!P_1_5.2.2.2 [0]!MT)),0,([0]!P_1_5.2.2.2 [0]!MT))</f>
        <v>#REF!</v>
      </c>
    </row>
    <row r="157" spans="1:4" x14ac:dyDescent="0.25">
      <c r="A157" s="170" t="s">
        <v>159</v>
      </c>
      <c r="B157" s="171" t="e">
        <f>IF(ISTEXT(([0]!P_1_5.2.2.3 [0]!Qté)),0,([0]!P_1_5.2.2.3 [0]!Qté))</f>
        <v>#REF!</v>
      </c>
      <c r="C157" s="172" t="e">
        <f>([0]!P_1_5.2.2.3 [0]!PU)</f>
        <v>#REF!</v>
      </c>
      <c r="D157" s="172" t="e">
        <f>IF(ISTEXT(([0]!P_1_5.2.2.3 [0]!MT)),0,([0]!P_1_5.2.2.3 [0]!MT))</f>
        <v>#REF!</v>
      </c>
    </row>
    <row r="158" spans="1:4" x14ac:dyDescent="0.25">
      <c r="A158" s="170" t="s">
        <v>160</v>
      </c>
      <c r="B158" s="171" t="e">
        <f>IF(ISTEXT(([0]!P_1_5.2.2.4 [0]!Qté)),0,([0]!P_1_5.2.2.4 [0]!Qté))</f>
        <v>#REF!</v>
      </c>
      <c r="C158" s="172" t="e">
        <f>([0]!P_1_5.2.2.4 [0]!PU)</f>
        <v>#REF!</v>
      </c>
      <c r="D158" s="172" t="e">
        <f>IF(ISTEXT(([0]!P_1_5.2.2.4 [0]!MT)),0,([0]!P_1_5.2.2.4 [0]!MT))</f>
        <v>#REF!</v>
      </c>
    </row>
    <row r="159" spans="1:4" x14ac:dyDescent="0.25">
      <c r="A159" s="170" t="s">
        <v>161</v>
      </c>
      <c r="B159" s="171" t="e">
        <f>IF(ISTEXT(([0]!P_1_5.2.2.5 [0]!Qté)),0,([0]!P_1_5.2.2.5 [0]!Qté))</f>
        <v>#REF!</v>
      </c>
      <c r="C159" s="172" t="e">
        <f>([0]!P_1_5.2.2.5 [0]!PU)</f>
        <v>#REF!</v>
      </c>
      <c r="D159" s="172" t="e">
        <f>IF(ISTEXT(([0]!P_1_5.2.2.5 [0]!MT)),0,([0]!P_1_5.2.2.5 [0]!MT))</f>
        <v>#REF!</v>
      </c>
    </row>
    <row r="160" spans="1:4" x14ac:dyDescent="0.25">
      <c r="A160" s="170" t="s">
        <v>162</v>
      </c>
      <c r="B160" s="171" t="e">
        <f>IF(ISTEXT(([0]!P_1_5.2.2.6 [0]!Qté)),0,([0]!P_1_5.2.2.6 [0]!Qté))</f>
        <v>#REF!</v>
      </c>
      <c r="C160" s="172" t="e">
        <f>([0]!P_1_5.2.2.6 [0]!PU)</f>
        <v>#REF!</v>
      </c>
      <c r="D160" s="172" t="e">
        <f>IF(ISTEXT(([0]!P_1_5.2.2.6 [0]!MT)),0,([0]!P_1_5.2.2.6 [0]!MT))</f>
        <v>#REF!</v>
      </c>
    </row>
    <row r="161" spans="1:4" x14ac:dyDescent="0.25">
      <c r="A161" s="170" t="s">
        <v>163</v>
      </c>
      <c r="B161" s="171" t="e">
        <f>IF(ISTEXT(([0]!P_1_5.2.2.7 [0]!Qté)),0,([0]!P_1_5.2.2.7 [0]!Qté))</f>
        <v>#REF!</v>
      </c>
      <c r="C161" s="172" t="e">
        <f>([0]!P_1_5.2.2.7 [0]!PU)</f>
        <v>#REF!</v>
      </c>
      <c r="D161" s="172" t="e">
        <f>IF(ISTEXT(([0]!P_1_5.2.2.7 [0]!MT)),0,([0]!P_1_5.2.2.7 [0]!MT))</f>
        <v>#REF!</v>
      </c>
    </row>
    <row r="162" spans="1:4" x14ac:dyDescent="0.25">
      <c r="A162" s="170" t="s">
        <v>164</v>
      </c>
      <c r="B162" s="171" t="e">
        <f>IF(ISTEXT(([0]!P_1_5.2.2.8 [0]!Qté)),0,([0]!P_1_5.2.2.8 [0]!Qté))</f>
        <v>#REF!</v>
      </c>
      <c r="C162" s="172" t="e">
        <f>([0]!P_1_5.2.2.8 [0]!PU)</f>
        <v>#REF!</v>
      </c>
      <c r="D162" s="172" t="e">
        <f>IF(ISTEXT(([0]!P_1_5.2.2.8 [0]!MT)),0,([0]!P_1_5.2.2.8 [0]!MT))</f>
        <v>#REF!</v>
      </c>
    </row>
    <row r="163" spans="1:4" x14ac:dyDescent="0.25">
      <c r="A163" s="170" t="s">
        <v>165</v>
      </c>
      <c r="B163" s="171" t="e">
        <f>IF(ISTEXT(([0]!P_1_5.2.2.9 [0]!Qté)),0,([0]!P_1_5.2.2.9 [0]!Qté))</f>
        <v>#REF!</v>
      </c>
      <c r="C163" s="172" t="e">
        <f>([0]!P_1_5.2.2.9 [0]!PU)</f>
        <v>#REF!</v>
      </c>
      <c r="D163" s="172" t="e">
        <f>IF(ISTEXT(([0]!P_1_5.2.2.9 [0]!MT)),0,([0]!P_1_5.2.2.9 [0]!MT))</f>
        <v>#REF!</v>
      </c>
    </row>
    <row r="164" spans="1:4" x14ac:dyDescent="0.25">
      <c r="A164" s="170" t="s">
        <v>166</v>
      </c>
      <c r="B164" s="171" t="e">
        <f>IF(ISTEXT(([0]!P_1_5.2.2.10 [0]!Qté)),0,([0]!P_1_5.2.2.10 [0]!Qté))</f>
        <v>#REF!</v>
      </c>
      <c r="C164" s="172" t="e">
        <f>([0]!P_1_5.2.2.10 [0]!PU)</f>
        <v>#REF!</v>
      </c>
      <c r="D164" s="172" t="e">
        <f>IF(ISTEXT(([0]!P_1_5.2.2.10 [0]!MT)),0,([0]!P_1_5.2.2.10 [0]!MT))</f>
        <v>#REF!</v>
      </c>
    </row>
    <row r="165" spans="1:4" x14ac:dyDescent="0.25">
      <c r="A165" s="170" t="s">
        <v>167</v>
      </c>
      <c r="B165" s="171" t="e">
        <f>IF(ISTEXT(([0]!P_1_5.2.3.1 [0]!Qté)),0,([0]!P_1_5.2.3.1 [0]!Qté))</f>
        <v>#REF!</v>
      </c>
      <c r="C165" s="172" t="e">
        <f>([0]!P_1_5.2.3.1 [0]!PU)</f>
        <v>#REF!</v>
      </c>
      <c r="D165" s="172" t="e">
        <f>IF(ISTEXT(([0]!P_1_5.2.3.1 [0]!MT)),0,([0]!P_1_5.2.3.1 [0]!MT))</f>
        <v>#REF!</v>
      </c>
    </row>
    <row r="166" spans="1:4" x14ac:dyDescent="0.25">
      <c r="A166" s="170" t="s">
        <v>168</v>
      </c>
      <c r="B166" s="171" t="e">
        <f>IF(ISTEXT(([0]!P_1_5.2.3.2 [0]!Qté)),0,([0]!P_1_5.2.3.2 [0]!Qté))</f>
        <v>#REF!</v>
      </c>
      <c r="C166" s="172" t="e">
        <f>([0]!P_1_5.2.3.2 [0]!PU)</f>
        <v>#REF!</v>
      </c>
      <c r="D166" s="172" t="e">
        <f>IF(ISTEXT(([0]!P_1_5.2.3.2 [0]!MT)),0,([0]!P_1_5.2.3.2 [0]!MT))</f>
        <v>#REF!</v>
      </c>
    </row>
    <row r="167" spans="1:4" x14ac:dyDescent="0.25">
      <c r="A167" s="170" t="s">
        <v>169</v>
      </c>
      <c r="B167" s="171" t="e">
        <f>IF(ISTEXT(([0]!P_1_5.2.4.1 [0]!Qté)),0,([0]!P_1_5.2.4.1 [0]!Qté))</f>
        <v>#REF!</v>
      </c>
      <c r="C167" s="172" t="e">
        <f>([0]!P_1_5.2.4.1 [0]!PU)</f>
        <v>#REF!</v>
      </c>
      <c r="D167" s="172" t="e">
        <f>IF(ISTEXT(([0]!P_1_5.2.4.1 [0]!MT)),0,([0]!P_1_5.2.4.1 [0]!MT))</f>
        <v>#REF!</v>
      </c>
    </row>
    <row r="168" spans="1:4" x14ac:dyDescent="0.25">
      <c r="A168" s="170" t="s">
        <v>170</v>
      </c>
      <c r="B168" s="171" t="e">
        <f>IF(ISTEXT(([0]!P_1_5.2.4.2 [0]!Qté)),0,([0]!P_1_5.2.4.2 [0]!Qté))</f>
        <v>#REF!</v>
      </c>
      <c r="C168" s="172" t="e">
        <f>([0]!P_1_5.2.4.2 [0]!PU)</f>
        <v>#REF!</v>
      </c>
      <c r="D168" s="172" t="e">
        <f>IF(ISTEXT(([0]!P_1_5.2.4.2 [0]!MT)),0,([0]!P_1_5.2.4.2 [0]!MT))</f>
        <v>#REF!</v>
      </c>
    </row>
    <row r="169" spans="1:4" x14ac:dyDescent="0.25">
      <c r="A169" s="170" t="s">
        <v>171</v>
      </c>
      <c r="B169" s="171" t="e">
        <f>IF(ISTEXT(([0]!P_1_5.2.4.3 [0]!Qté)),0,([0]!P_1_5.2.4.3 [0]!Qté))</f>
        <v>#REF!</v>
      </c>
      <c r="C169" s="172" t="e">
        <f>([0]!P_1_5.2.4.3 [0]!PU)</f>
        <v>#REF!</v>
      </c>
      <c r="D169" s="172" t="e">
        <f>IF(ISTEXT(([0]!P_1_5.2.4.3 [0]!MT)),0,([0]!P_1_5.2.4.3 [0]!MT))</f>
        <v>#REF!</v>
      </c>
    </row>
    <row r="170" spans="1:4" x14ac:dyDescent="0.25">
      <c r="A170" s="170" t="s">
        <v>172</v>
      </c>
      <c r="B170" s="171" t="e">
        <f>IF(ISTEXT(([0]!P_1_5.2.4.4 [0]!Qté)),0,([0]!P_1_5.2.4.4 [0]!Qté))</f>
        <v>#REF!</v>
      </c>
      <c r="C170" s="172" t="e">
        <f>([0]!P_1_5.2.4.4 [0]!PU)</f>
        <v>#REF!</v>
      </c>
      <c r="D170" s="172" t="e">
        <f>IF(ISTEXT(([0]!P_1_5.2.4.4 [0]!MT)),0,([0]!P_1_5.2.4.4 [0]!MT))</f>
        <v>#REF!</v>
      </c>
    </row>
    <row r="171" spans="1:4" x14ac:dyDescent="0.25">
      <c r="A171" s="170" t="s">
        <v>173</v>
      </c>
      <c r="B171" s="171" t="e">
        <f>IF(ISTEXT(([0]!P_1_5.2.4.5 [0]!Qté)),0,([0]!P_1_5.2.4.5 [0]!Qté))</f>
        <v>#REF!</v>
      </c>
      <c r="C171" s="172" t="e">
        <f>([0]!P_1_5.2.4.5 [0]!PU)</f>
        <v>#REF!</v>
      </c>
      <c r="D171" s="172" t="e">
        <f>IF(ISTEXT(([0]!P_1_5.2.4.5 [0]!MT)),0,([0]!P_1_5.2.4.5 [0]!MT))</f>
        <v>#REF!</v>
      </c>
    </row>
    <row r="172" spans="1:4" x14ac:dyDescent="0.25">
      <c r="A172" s="170" t="s">
        <v>174</v>
      </c>
      <c r="B172" s="171" t="e">
        <f>IF(ISTEXT(([0]!P_1_5.2.4.6 [0]!Qté)),0,([0]!P_1_5.2.4.6 [0]!Qté))</f>
        <v>#REF!</v>
      </c>
      <c r="C172" s="172" t="e">
        <f>([0]!P_1_5.2.4.6 [0]!PU)</f>
        <v>#REF!</v>
      </c>
      <c r="D172" s="172" t="e">
        <f>IF(ISTEXT(([0]!P_1_5.2.4.6 [0]!MT)),0,([0]!P_1_5.2.4.6 [0]!MT))</f>
        <v>#REF!</v>
      </c>
    </row>
    <row r="173" spans="1:4" x14ac:dyDescent="0.25">
      <c r="A173" s="170" t="s">
        <v>175</v>
      </c>
      <c r="B173" s="171" t="e">
        <f>IF(ISTEXT(([0]!P_1_5.2.4.7 [0]!Qté)),0,([0]!P_1_5.2.4.7 [0]!Qté))</f>
        <v>#REF!</v>
      </c>
      <c r="C173" s="172" t="e">
        <f>([0]!P_1_5.2.4.7 [0]!PU)</f>
        <v>#REF!</v>
      </c>
      <c r="D173" s="172" t="e">
        <f>IF(ISTEXT(([0]!P_1_5.2.4.7 [0]!MT)),0,([0]!P_1_5.2.4.7 [0]!MT))</f>
        <v>#REF!</v>
      </c>
    </row>
    <row r="174" spans="1:4" x14ac:dyDescent="0.25">
      <c r="A174" s="170" t="s">
        <v>176</v>
      </c>
      <c r="B174" s="171" t="e">
        <f>IF(ISTEXT(([0]!P_1_5.2.4.8 [0]!Qté)),0,([0]!P_1_5.2.4.8 [0]!Qté))</f>
        <v>#REF!</v>
      </c>
      <c r="C174" s="172" t="e">
        <f>([0]!P_1_5.2.4.8 [0]!PU)</f>
        <v>#REF!</v>
      </c>
      <c r="D174" s="172" t="e">
        <f>IF(ISTEXT(([0]!P_1_5.2.4.8 [0]!MT)),0,([0]!P_1_5.2.4.8 [0]!MT))</f>
        <v>#REF!</v>
      </c>
    </row>
    <row r="175" spans="1:4" x14ac:dyDescent="0.25">
      <c r="A175" s="170" t="s">
        <v>177</v>
      </c>
      <c r="B175" s="171" t="e">
        <f>IF(ISTEXT(([0]!P_1_5.2.4.9 [0]!Qté)),0,([0]!P_1_5.2.4.9 [0]!Qté))</f>
        <v>#REF!</v>
      </c>
      <c r="C175" s="172" t="e">
        <f>([0]!P_1_5.2.4.9 [0]!PU)</f>
        <v>#REF!</v>
      </c>
      <c r="D175" s="172" t="e">
        <f>IF(ISTEXT(([0]!P_1_5.2.4.9 [0]!MT)),0,([0]!P_1_5.2.4.9 [0]!MT))</f>
        <v>#REF!</v>
      </c>
    </row>
    <row r="176" spans="1:4" x14ac:dyDescent="0.25">
      <c r="A176" s="170" t="s">
        <v>178</v>
      </c>
      <c r="B176" s="171" t="e">
        <f>IF(ISTEXT(([0]!P_1_5.2.4.10 [0]!Qté)),0,([0]!P_1_5.2.4.10 [0]!Qté))</f>
        <v>#REF!</v>
      </c>
      <c r="C176" s="172" t="e">
        <f>([0]!P_1_5.2.4.10 [0]!PU)</f>
        <v>#REF!</v>
      </c>
      <c r="D176" s="172" t="e">
        <f>IF(ISTEXT(([0]!P_1_5.2.4.10 [0]!MT)),0,([0]!P_1_5.2.4.10 [0]!MT))</f>
        <v>#REF!</v>
      </c>
    </row>
    <row r="177" spans="1:4" x14ac:dyDescent="0.25">
      <c r="A177" s="170" t="s">
        <v>179</v>
      </c>
      <c r="B177" s="171" t="e">
        <f>IF(ISTEXT(([0]!P_1_5.2.4.11 [0]!Qté)),0,([0]!P_1_5.2.4.11 [0]!Qté))</f>
        <v>#REF!</v>
      </c>
      <c r="C177" s="172" t="e">
        <f>([0]!P_1_5.2.4.11 [0]!PU)</f>
        <v>#REF!</v>
      </c>
      <c r="D177" s="172" t="e">
        <f>IF(ISTEXT(([0]!P_1_5.2.4.11 [0]!MT)),0,([0]!P_1_5.2.4.11 [0]!MT))</f>
        <v>#REF!</v>
      </c>
    </row>
    <row r="178" spans="1:4" x14ac:dyDescent="0.25">
      <c r="A178" s="170" t="s">
        <v>180</v>
      </c>
      <c r="B178" s="171" t="e">
        <f>IF(ISTEXT(([0]!P_1_5.2.4.12 [0]!Qté)),0,([0]!P_1_5.2.4.12 [0]!Qté))</f>
        <v>#REF!</v>
      </c>
      <c r="C178" s="172" t="e">
        <f>([0]!P_1_5.2.4.12 [0]!PU)</f>
        <v>#REF!</v>
      </c>
      <c r="D178" s="172" t="e">
        <f>IF(ISTEXT(([0]!P_1_5.2.4.12 [0]!MT)),0,([0]!P_1_5.2.4.12 [0]!MT))</f>
        <v>#REF!</v>
      </c>
    </row>
    <row r="179" spans="1:4" x14ac:dyDescent="0.25">
      <c r="A179" s="170" t="s">
        <v>181</v>
      </c>
      <c r="B179" s="171" t="e">
        <f>IF(ISTEXT(([0]!P_1_5.2.4.13 [0]!Qté)),0,([0]!P_1_5.2.4.13 [0]!Qté))</f>
        <v>#REF!</v>
      </c>
      <c r="C179" s="172" t="e">
        <f>([0]!P_1_5.2.4.13 [0]!PU)</f>
        <v>#REF!</v>
      </c>
      <c r="D179" s="172" t="e">
        <f>IF(ISTEXT(([0]!P_1_5.2.4.13 [0]!MT)),0,([0]!P_1_5.2.4.13 [0]!MT))</f>
        <v>#REF!</v>
      </c>
    </row>
    <row r="180" spans="1:4" x14ac:dyDescent="0.25">
      <c r="A180" s="170" t="s">
        <v>182</v>
      </c>
      <c r="B180" s="171" t="e">
        <f>IF(ISTEXT(([0]!P_1_5.2.4.14 [0]!Qté)),0,([0]!P_1_5.2.4.14 [0]!Qté))</f>
        <v>#REF!</v>
      </c>
      <c r="C180" s="172" t="e">
        <f>([0]!P_1_5.2.4.14 [0]!PU)</f>
        <v>#REF!</v>
      </c>
      <c r="D180" s="172" t="e">
        <f>IF(ISTEXT(([0]!P_1_5.2.4.14 [0]!MT)),0,([0]!P_1_5.2.4.14 [0]!MT))</f>
        <v>#REF!</v>
      </c>
    </row>
    <row r="181" spans="1:4" x14ac:dyDescent="0.25">
      <c r="A181" s="170" t="s">
        <v>183</v>
      </c>
      <c r="B181" s="171" t="e">
        <f>IF(ISTEXT(([0]!P_1_5.2.4.15 [0]!Qté)),0,([0]!P_1_5.2.4.15 [0]!Qté))</f>
        <v>#REF!</v>
      </c>
      <c r="C181" s="172" t="e">
        <f>([0]!P_1_5.2.4.15 [0]!PU)</f>
        <v>#REF!</v>
      </c>
      <c r="D181" s="172" t="e">
        <f>IF(ISTEXT(([0]!P_1_5.2.4.15 [0]!MT)),0,([0]!P_1_5.2.4.15 [0]!MT))</f>
        <v>#REF!</v>
      </c>
    </row>
    <row r="182" spans="1:4" x14ac:dyDescent="0.25">
      <c r="A182" s="170" t="s">
        <v>184</v>
      </c>
      <c r="B182" s="171" t="e">
        <f>IF(ISTEXT(([0]!P_1_5.2.4.16 [0]!Qté)),0,([0]!P_1_5.2.4.16 [0]!Qté))</f>
        <v>#REF!</v>
      </c>
      <c r="C182" s="172" t="e">
        <f>([0]!P_1_5.2.4.16 [0]!PU)</f>
        <v>#REF!</v>
      </c>
      <c r="D182" s="172" t="e">
        <f>IF(ISTEXT(([0]!P_1_5.2.4.16 [0]!MT)),0,([0]!P_1_5.2.4.16 [0]!MT))</f>
        <v>#REF!</v>
      </c>
    </row>
    <row r="183" spans="1:4" x14ac:dyDescent="0.25">
      <c r="A183" s="170" t="s">
        <v>185</v>
      </c>
      <c r="B183" s="171" t="e">
        <f>IF(ISTEXT(([0]!P_1_5.2.4.17 [0]!Qté)),0,([0]!P_1_5.2.4.17 [0]!Qté))</f>
        <v>#REF!</v>
      </c>
      <c r="C183" s="172" t="e">
        <f>([0]!P_1_5.2.4.17 [0]!PU)</f>
        <v>#REF!</v>
      </c>
      <c r="D183" s="172" t="e">
        <f>IF(ISTEXT(([0]!P_1_5.2.4.17 [0]!MT)),0,([0]!P_1_5.2.4.17 [0]!MT))</f>
        <v>#REF!</v>
      </c>
    </row>
    <row r="184" spans="1:4" x14ac:dyDescent="0.25">
      <c r="A184" s="170" t="s">
        <v>186</v>
      </c>
      <c r="B184" s="171" t="e">
        <f>IF(ISTEXT(([0]!P_1_5.3.1 [0]!Qté)),0,([0]!P_1_5.3.1 [0]!Qté))</f>
        <v>#REF!</v>
      </c>
      <c r="C184" s="172" t="e">
        <f>([0]!P_1_5.3.1 [0]!PU)</f>
        <v>#REF!</v>
      </c>
      <c r="D184" s="172" t="e">
        <f>IF(ISTEXT(([0]!P_1_5.3.1 [0]!MT)),0,([0]!P_1_5.3.1 [0]!MT))</f>
        <v>#REF!</v>
      </c>
    </row>
    <row r="185" spans="1:4" x14ac:dyDescent="0.25">
      <c r="A185" s="170" t="s">
        <v>187</v>
      </c>
      <c r="B185" s="171" t="e">
        <f>IF(ISTEXT(([0]!P_1_5.3.2 [0]!Qté)),0,([0]!P_1_5.3.2 [0]!Qté))</f>
        <v>#REF!</v>
      </c>
      <c r="C185" s="172" t="e">
        <f>([0]!P_1_5.3.2 [0]!PU)</f>
        <v>#REF!</v>
      </c>
      <c r="D185" s="172" t="e">
        <f>IF(ISTEXT(([0]!P_1_5.3.2 [0]!MT)),0,([0]!P_1_5.3.2 [0]!MT))</f>
        <v>#REF!</v>
      </c>
    </row>
    <row r="186" spans="1:4" x14ac:dyDescent="0.25">
      <c r="A186" s="170" t="s">
        <v>188</v>
      </c>
      <c r="B186" s="171" t="e">
        <f>IF(ISTEXT(([0]!P_1_5.3.3 [0]!Qté)),0,([0]!P_1_5.3.3 [0]!Qté))</f>
        <v>#REF!</v>
      </c>
      <c r="C186" s="172" t="e">
        <f>([0]!P_1_5.3.3 [0]!PU)</f>
        <v>#REF!</v>
      </c>
      <c r="D186" s="172" t="e">
        <f>IF(ISTEXT(([0]!P_1_5.3.3 [0]!MT)),0,([0]!P_1_5.3.3 [0]!MT))</f>
        <v>#REF!</v>
      </c>
    </row>
    <row r="187" spans="1:4" x14ac:dyDescent="0.25">
      <c r="A187" s="170" t="s">
        <v>189</v>
      </c>
      <c r="B187" s="171" t="e">
        <f>IF(ISTEXT(([0]!P_1_5.3.4 [0]!Qté)),0,([0]!P_1_5.3.4 [0]!Qté))</f>
        <v>#REF!</v>
      </c>
      <c r="C187" s="172" t="e">
        <f>([0]!P_1_5.3.4 [0]!PU)</f>
        <v>#REF!</v>
      </c>
      <c r="D187" s="172" t="e">
        <f>IF(ISTEXT(([0]!P_1_5.3.4 [0]!MT)),0,([0]!P_1_5.3.4 [0]!MT))</f>
        <v>#REF!</v>
      </c>
    </row>
    <row r="188" spans="1:4" x14ac:dyDescent="0.25">
      <c r="A188" s="170" t="s">
        <v>190</v>
      </c>
      <c r="B188" s="171" t="e">
        <f>IF(ISTEXT(([0]!P_1_5.3.5 [0]!Qté)),0,([0]!P_1_5.3.5 [0]!Qté))</f>
        <v>#REF!</v>
      </c>
      <c r="C188" s="172" t="e">
        <f>([0]!P_1_5.3.5 [0]!PU)</f>
        <v>#REF!</v>
      </c>
      <c r="D188" s="172" t="e">
        <f>IF(ISTEXT(([0]!P_1_5.3.5 [0]!MT)),0,([0]!P_1_5.3.5 [0]!MT))</f>
        <v>#REF!</v>
      </c>
    </row>
    <row r="189" spans="1:4" x14ac:dyDescent="0.25">
      <c r="A189" s="170" t="s">
        <v>191</v>
      </c>
      <c r="B189" s="171" t="e">
        <f>IF(ISTEXT(([0]!P_1_5.3.6 [0]!Qté)),0,([0]!P_1_5.3.6 [0]!Qté))</f>
        <v>#REF!</v>
      </c>
      <c r="C189" s="172" t="e">
        <f>([0]!P_1_5.3.6 [0]!PU)</f>
        <v>#REF!</v>
      </c>
      <c r="D189" s="172" t="e">
        <f>IF(ISTEXT(([0]!P_1_5.3.6 [0]!MT)),0,([0]!P_1_5.3.6 [0]!MT))</f>
        <v>#REF!</v>
      </c>
    </row>
    <row r="190" spans="1:4" x14ac:dyDescent="0.25">
      <c r="A190" s="170" t="s">
        <v>192</v>
      </c>
      <c r="B190" s="171" t="e">
        <f>IF(ISTEXT(([0]!P_1_5.3.7 [0]!Qté)),0,([0]!P_1_5.3.7 [0]!Qté))</f>
        <v>#REF!</v>
      </c>
      <c r="C190" s="172" t="e">
        <f>([0]!P_1_5.3.7 [0]!PU)</f>
        <v>#REF!</v>
      </c>
      <c r="D190" s="172" t="e">
        <f>IF(ISTEXT(([0]!P_1_5.3.7 [0]!MT)),0,([0]!P_1_5.3.7 [0]!MT))</f>
        <v>#REF!</v>
      </c>
    </row>
    <row r="191" spans="1:4" x14ac:dyDescent="0.25">
      <c r="A191" s="170" t="s">
        <v>193</v>
      </c>
      <c r="B191" s="171" t="e">
        <f>IF(ISTEXT(([0]!P_1_5.3.8 [0]!Qté)),0,([0]!P_1_5.3.8 [0]!Qté))</f>
        <v>#REF!</v>
      </c>
      <c r="C191" s="172" t="e">
        <f>([0]!P_1_5.3.8 [0]!PU)</f>
        <v>#REF!</v>
      </c>
      <c r="D191" s="172" t="e">
        <f>IF(ISTEXT(([0]!P_1_5.3.8 [0]!MT)),0,([0]!P_1_5.3.8 [0]!MT))</f>
        <v>#REF!</v>
      </c>
    </row>
    <row r="192" spans="1:4" x14ac:dyDescent="0.25">
      <c r="A192" s="170" t="s">
        <v>194</v>
      </c>
      <c r="B192" s="171" t="e">
        <f>IF(ISTEXT(([0]!P_1_5.3.9 [0]!Qté)),0,([0]!P_1_5.3.9 [0]!Qté))</f>
        <v>#REF!</v>
      </c>
      <c r="C192" s="172" t="e">
        <f>([0]!P_1_5.3.9 [0]!PU)</f>
        <v>#REF!</v>
      </c>
      <c r="D192" s="172" t="e">
        <f>IF(ISTEXT(([0]!P_1_5.3.9 [0]!MT)),0,([0]!P_1_5.3.9 [0]!MT))</f>
        <v>#REF!</v>
      </c>
    </row>
    <row r="193" spans="1:4" x14ac:dyDescent="0.25">
      <c r="A193" s="170" t="s">
        <v>195</v>
      </c>
      <c r="B193" s="171" t="e">
        <f>IF(ISTEXT(([0]!P_1_5.3.10 [0]!Qté)),0,([0]!P_1_5.3.10 [0]!Qté))</f>
        <v>#REF!</v>
      </c>
      <c r="C193" s="172" t="e">
        <f>([0]!P_1_5.3.10 [0]!PU)</f>
        <v>#REF!</v>
      </c>
      <c r="D193" s="172" t="e">
        <f>IF(ISTEXT(([0]!P_1_5.3.10 [0]!MT)),0,([0]!P_1_5.3.10 [0]!MT))</f>
        <v>#REF!</v>
      </c>
    </row>
    <row r="194" spans="1:4" x14ac:dyDescent="0.25">
      <c r="A194" s="170" t="s">
        <v>196</v>
      </c>
      <c r="B194" s="171" t="e">
        <f>IF(ISTEXT(([0]!P_1_5.3.11 [0]!Qté)),0,([0]!P_1_5.3.11 [0]!Qté))</f>
        <v>#REF!</v>
      </c>
      <c r="C194" s="172" t="e">
        <f>([0]!P_1_5.3.11 [0]!PU)</f>
        <v>#REF!</v>
      </c>
      <c r="D194" s="172" t="e">
        <f>IF(ISTEXT(([0]!P_1_5.3.11 [0]!MT)),0,([0]!P_1_5.3.11 [0]!MT))</f>
        <v>#REF!</v>
      </c>
    </row>
    <row r="195" spans="1:4" x14ac:dyDescent="0.25">
      <c r="A195" s="170" t="s">
        <v>197</v>
      </c>
      <c r="B195" s="171" t="e">
        <f>IF(ISTEXT(([0]!P_1_5.3.12 [0]!Qté)),0,([0]!P_1_5.3.12 [0]!Qté))</f>
        <v>#REF!</v>
      </c>
      <c r="C195" s="172" t="e">
        <f>([0]!P_1_5.3.12 [0]!PU)</f>
        <v>#REF!</v>
      </c>
      <c r="D195" s="172" t="e">
        <f>IF(ISTEXT(([0]!P_1_5.3.12 [0]!MT)),0,([0]!P_1_5.3.12 [0]!MT))</f>
        <v>#REF!</v>
      </c>
    </row>
    <row r="196" spans="1:4" x14ac:dyDescent="0.25">
      <c r="A196" s="170" t="s">
        <v>198</v>
      </c>
      <c r="B196" s="171" t="e">
        <f>IF(ISTEXT(([0]!P_1_5.3.13 [0]!Qté)),0,([0]!P_1_5.3.13 [0]!Qté))</f>
        <v>#REF!</v>
      </c>
      <c r="C196" s="172" t="e">
        <f>([0]!P_1_5.3.13 [0]!PU)</f>
        <v>#REF!</v>
      </c>
      <c r="D196" s="172" t="e">
        <f>IF(ISTEXT(([0]!P_1_5.3.13 [0]!MT)),0,([0]!P_1_5.3.13 [0]!MT))</f>
        <v>#REF!</v>
      </c>
    </row>
    <row r="197" spans="1:4" x14ac:dyDescent="0.25">
      <c r="A197" s="170" t="s">
        <v>199</v>
      </c>
      <c r="B197" s="171" t="e">
        <f>IF(ISTEXT(([0]!P_1_5.3.14 [0]!Qté)),0,([0]!P_1_5.3.14 [0]!Qté))</f>
        <v>#REF!</v>
      </c>
      <c r="C197" s="172" t="e">
        <f>([0]!P_1_5.3.14 [0]!PU)</f>
        <v>#REF!</v>
      </c>
      <c r="D197" s="172" t="e">
        <f>IF(ISTEXT(([0]!P_1_5.3.14 [0]!MT)),0,([0]!P_1_5.3.14 [0]!MT))</f>
        <v>#REF!</v>
      </c>
    </row>
    <row r="198" spans="1:4" x14ac:dyDescent="0.25">
      <c r="A198" s="170" t="s">
        <v>200</v>
      </c>
      <c r="B198" s="171" t="e">
        <f>IF(ISTEXT(([0]!P_1_5.3.15 [0]!Qté)),0,([0]!P_1_5.3.15 [0]!Qté))</f>
        <v>#REF!</v>
      </c>
      <c r="C198" s="172" t="e">
        <f>([0]!P_1_5.3.15 [0]!PU)</f>
        <v>#REF!</v>
      </c>
      <c r="D198" s="172" t="e">
        <f>IF(ISTEXT(([0]!P_1_5.3.15 [0]!MT)),0,([0]!P_1_5.3.15 [0]!MT))</f>
        <v>#REF!</v>
      </c>
    </row>
    <row r="199" spans="1:4" x14ac:dyDescent="0.25">
      <c r="A199" s="170" t="s">
        <v>201</v>
      </c>
      <c r="B199" s="171" t="e">
        <f>IF(ISTEXT(([0]!P_1_5.3.16 [0]!Qté)),0,([0]!P_1_5.3.16 [0]!Qté))</f>
        <v>#REF!</v>
      </c>
      <c r="C199" s="172" t="e">
        <f>([0]!P_1_5.3.16 [0]!PU)</f>
        <v>#REF!</v>
      </c>
      <c r="D199" s="172" t="e">
        <f>IF(ISTEXT(([0]!P_1_5.3.16 [0]!MT)),0,([0]!P_1_5.3.16 [0]!MT))</f>
        <v>#REF!</v>
      </c>
    </row>
    <row r="200" spans="1:4" x14ac:dyDescent="0.25">
      <c r="A200" s="170" t="s">
        <v>202</v>
      </c>
      <c r="B200" s="171" t="e">
        <f>IF(ISTEXT(([0]!P_1_5.3.17 [0]!Qté)),0,([0]!P_1_5.3.17 [0]!Qté))</f>
        <v>#REF!</v>
      </c>
      <c r="C200" s="172" t="e">
        <f>([0]!P_1_5.3.17 [0]!PU)</f>
        <v>#REF!</v>
      </c>
      <c r="D200" s="172" t="e">
        <f>IF(ISTEXT(([0]!P_1_5.3.17 [0]!MT)),0,([0]!P_1_5.3.17 [0]!MT))</f>
        <v>#REF!</v>
      </c>
    </row>
    <row r="201" spans="1:4" x14ac:dyDescent="0.25">
      <c r="A201" s="170" t="s">
        <v>203</v>
      </c>
      <c r="B201" s="171" t="e">
        <f>IF(ISTEXT(([0]!P_1_6.1 [0]!Qté)),0,([0]!P_1_6.1 [0]!Qté))</f>
        <v>#REF!</v>
      </c>
      <c r="C201" s="172" t="e">
        <f>([0]!P_1_6.1 [0]!PU)</f>
        <v>#REF!</v>
      </c>
      <c r="D201" s="172" t="e">
        <f>IF(ISTEXT(([0]!P_1_6.1 [0]!MT)),0,([0]!P_1_6.1 [0]!MT))</f>
        <v>#REF!</v>
      </c>
    </row>
    <row r="202" spans="1:4" x14ac:dyDescent="0.25">
      <c r="A202" s="170" t="s">
        <v>204</v>
      </c>
      <c r="B202" s="171" t="e">
        <f>IF(ISTEXT(([0]!P_1_6.2 [0]!Qté)),0,([0]!P_1_6.2 [0]!Qté))</f>
        <v>#REF!</v>
      </c>
      <c r="C202" s="172" t="e">
        <f>([0]!P_1_6.2 [0]!PU)</f>
        <v>#REF!</v>
      </c>
      <c r="D202" s="172" t="e">
        <f>IF(ISTEXT(([0]!P_1_6.2 [0]!MT)),0,([0]!P_1_6.2 [0]!MT))</f>
        <v>#REF!</v>
      </c>
    </row>
    <row r="203" spans="1:4" x14ac:dyDescent="0.25">
      <c r="A203" s="170" t="s">
        <v>205</v>
      </c>
      <c r="B203" s="171" t="e">
        <f>IF(ISTEXT(([0]!P_1_6.3 [0]!Qté)),0,([0]!P_1_6.3 [0]!Qté))</f>
        <v>#REF!</v>
      </c>
      <c r="C203" s="172" t="e">
        <f>([0]!P_1_6.3 [0]!PU)</f>
        <v>#REF!</v>
      </c>
      <c r="D203" s="172" t="e">
        <f>IF(ISTEXT(([0]!P_1_6.3 [0]!MT)),0,([0]!P_1_6.3 [0]!MT))</f>
        <v>#REF!</v>
      </c>
    </row>
    <row r="204" spans="1:4" x14ac:dyDescent="0.25">
      <c r="A204" s="170" t="s">
        <v>206</v>
      </c>
      <c r="B204" s="171" t="e">
        <f>IF(ISTEXT(([0]!P_1_6.4 [0]!Qté)),0,([0]!P_1_6.4 [0]!Qté))</f>
        <v>#REF!</v>
      </c>
      <c r="C204" s="172" t="e">
        <f>([0]!P_1_6.4 [0]!PU)</f>
        <v>#REF!</v>
      </c>
      <c r="D204" s="172" t="e">
        <f>IF(ISTEXT(([0]!P_1_6.4 [0]!MT)),0,([0]!P_1_6.4 [0]!MT))</f>
        <v>#REF!</v>
      </c>
    </row>
    <row r="205" spans="1:4" x14ac:dyDescent="0.25">
      <c r="A205" s="170" t="s">
        <v>207</v>
      </c>
      <c r="B205" s="171" t="e">
        <f>IF(ISTEXT(([0]!P_1_6.5.1 [0]!Qté)),0,([0]!P_1_6.5.1 [0]!Qté))</f>
        <v>#REF!</v>
      </c>
      <c r="C205" s="172" t="e">
        <f>([0]!P_1_6.5.1 [0]!PU)</f>
        <v>#REF!</v>
      </c>
      <c r="D205" s="172" t="e">
        <f>IF(ISTEXT(([0]!P_1_6.5.1 [0]!MT)),0,([0]!P_1_6.5.1 [0]!MT))</f>
        <v>#REF!</v>
      </c>
    </row>
    <row r="206" spans="1:4" x14ac:dyDescent="0.25">
      <c r="A206" s="170" t="s">
        <v>208</v>
      </c>
      <c r="B206" s="171" t="e">
        <f>IF(ISTEXT(([0]!P_1_6.5.2 [0]!Qté)),0,([0]!P_1_6.5.2 [0]!Qté))</f>
        <v>#REF!</v>
      </c>
      <c r="C206" s="172" t="e">
        <f>([0]!P_1_6.5.2 [0]!PU)</f>
        <v>#REF!</v>
      </c>
      <c r="D206" s="172" t="e">
        <f>IF(ISTEXT(([0]!P_1_6.5.2 [0]!MT)),0,([0]!P_1_6.5.2 [0]!MT))</f>
        <v>#REF!</v>
      </c>
    </row>
    <row r="207" spans="1:4" x14ac:dyDescent="0.25">
      <c r="A207" s="170" t="s">
        <v>209</v>
      </c>
      <c r="B207" s="171" t="e">
        <f>IF(ISTEXT(([0]!P_1_6.5.3 [0]!Qté)),0,([0]!P_1_6.5.3 [0]!Qté))</f>
        <v>#REF!</v>
      </c>
      <c r="C207" s="172" t="e">
        <f>([0]!P_1_6.5.3 [0]!PU)</f>
        <v>#REF!</v>
      </c>
      <c r="D207" s="172" t="e">
        <f>IF(ISTEXT(([0]!P_1_6.5.3 [0]!MT)),0,([0]!P_1_6.5.3 [0]!MT))</f>
        <v>#REF!</v>
      </c>
    </row>
    <row r="208" spans="1:4" x14ac:dyDescent="0.25">
      <c r="A208" s="170" t="s">
        <v>210</v>
      </c>
      <c r="B208" s="171" t="e">
        <f>IF(ISTEXT(([0]!P_1_6.6.1 [0]!Qté)),0,([0]!P_1_6.6.1 [0]!Qté))</f>
        <v>#REF!</v>
      </c>
      <c r="C208" s="172" t="e">
        <f>([0]!P_1_6.6.1 [0]!PU)</f>
        <v>#REF!</v>
      </c>
      <c r="D208" s="172" t="e">
        <f>IF(ISTEXT(([0]!P_1_6.6.1 [0]!MT)),0,([0]!P_1_6.6.1 [0]!MT))</f>
        <v>#REF!</v>
      </c>
    </row>
    <row r="209" spans="1:4" x14ac:dyDescent="0.25">
      <c r="A209" s="170" t="s">
        <v>211</v>
      </c>
      <c r="B209" s="171" t="e">
        <f>IF(ISTEXT(([0]!P_1_6.6.2 [0]!Qté)),0,([0]!P_1_6.6.2 [0]!Qté))</f>
        <v>#REF!</v>
      </c>
      <c r="C209" s="172" t="e">
        <f>([0]!P_1_6.6.2 [0]!PU)</f>
        <v>#REF!</v>
      </c>
      <c r="D209" s="172" t="e">
        <f>IF(ISTEXT(([0]!P_1_6.6.2 [0]!MT)),0,([0]!P_1_6.6.2 [0]!MT))</f>
        <v>#REF!</v>
      </c>
    </row>
    <row r="210" spans="1:4" x14ac:dyDescent="0.25">
      <c r="A210" s="170" t="s">
        <v>212</v>
      </c>
      <c r="B210" s="171" t="e">
        <f>IF(ISTEXT(([0]!P_1_6.6.3 [0]!Qté)),0,([0]!P_1_6.6.3 [0]!Qté))</f>
        <v>#REF!</v>
      </c>
      <c r="C210" s="172" t="e">
        <f>([0]!P_1_6.6.3 [0]!PU)</f>
        <v>#REF!</v>
      </c>
      <c r="D210" s="172" t="e">
        <f>IF(ISTEXT(([0]!P_1_6.6.3 [0]!MT)),0,([0]!P_1_6.6.3 [0]!MT))</f>
        <v>#REF!</v>
      </c>
    </row>
    <row r="211" spans="1:4" x14ac:dyDescent="0.25">
      <c r="A211" s="170" t="s">
        <v>213</v>
      </c>
      <c r="B211" s="171" t="e">
        <f>IF(ISTEXT(([0]!P_1_6.7.1 [0]!Qté)),0,([0]!P_1_6.7.1 [0]!Qté))</f>
        <v>#REF!</v>
      </c>
      <c r="C211" s="172" t="e">
        <f>([0]!P_1_6.7.1 [0]!PU)</f>
        <v>#REF!</v>
      </c>
      <c r="D211" s="172" t="e">
        <f>IF(ISTEXT(([0]!P_1_6.7.1 [0]!MT)),0,([0]!P_1_6.7.1 [0]!MT))</f>
        <v>#REF!</v>
      </c>
    </row>
    <row r="212" spans="1:4" x14ac:dyDescent="0.25">
      <c r="A212" s="170" t="s">
        <v>214</v>
      </c>
      <c r="B212" s="171" t="e">
        <f>IF(ISTEXT(([0]!P_1_6.7.2 [0]!Qté)),0,([0]!P_1_6.7.2 [0]!Qté))</f>
        <v>#REF!</v>
      </c>
      <c r="C212" s="172" t="e">
        <f>([0]!P_1_6.7.2 [0]!PU)</f>
        <v>#REF!</v>
      </c>
      <c r="D212" s="172" t="e">
        <f>IF(ISTEXT(([0]!P_1_6.7.2 [0]!MT)),0,([0]!P_1_6.7.2 [0]!MT))</f>
        <v>#REF!</v>
      </c>
    </row>
    <row r="213" spans="1:4" x14ac:dyDescent="0.25">
      <c r="A213" s="170" t="s">
        <v>215</v>
      </c>
      <c r="B213" s="171" t="e">
        <f>IF(ISTEXT(([0]!P_1_6.7.3 [0]!Qté)),0,([0]!P_1_6.7.3 [0]!Qté))</f>
        <v>#REF!</v>
      </c>
      <c r="C213" s="172" t="e">
        <f>([0]!P_1_6.7.3 [0]!PU)</f>
        <v>#REF!</v>
      </c>
      <c r="D213" s="172" t="e">
        <f>IF(ISTEXT(([0]!P_1_6.7.3 [0]!MT)),0,([0]!P_1_6.7.3 [0]!MT))</f>
        <v>#REF!</v>
      </c>
    </row>
    <row r="214" spans="1:4" x14ac:dyDescent="0.25">
      <c r="A214" s="170" t="s">
        <v>216</v>
      </c>
      <c r="B214" s="171" t="e">
        <f>IF(ISTEXT(([0]!P_1_6.8.1 [0]!Qté)),0,([0]!P_1_6.8.1 [0]!Qté))</f>
        <v>#REF!</v>
      </c>
      <c r="C214" s="172" t="e">
        <f>([0]!P_1_6.8.1 [0]!PU)</f>
        <v>#REF!</v>
      </c>
      <c r="D214" s="172" t="e">
        <f>IF(ISTEXT(([0]!P_1_6.8.1 [0]!MT)),0,([0]!P_1_6.8.1 [0]!MT))</f>
        <v>#REF!</v>
      </c>
    </row>
    <row r="215" spans="1:4" x14ac:dyDescent="0.25">
      <c r="A215" s="170" t="s">
        <v>217</v>
      </c>
      <c r="B215" s="171" t="e">
        <f>IF(ISTEXT(([0]!P_1_6.8.2 [0]!Qté)),0,([0]!P_1_6.8.2 [0]!Qté))</f>
        <v>#REF!</v>
      </c>
      <c r="C215" s="172" t="e">
        <f>([0]!P_1_6.8.2 [0]!PU)</f>
        <v>#REF!</v>
      </c>
      <c r="D215" s="172" t="e">
        <f>IF(ISTEXT(([0]!P_1_6.8.2 [0]!MT)),0,([0]!P_1_6.8.2 [0]!MT))</f>
        <v>#REF!</v>
      </c>
    </row>
    <row r="216" spans="1:4" x14ac:dyDescent="0.25">
      <c r="A216" s="170" t="s">
        <v>218</v>
      </c>
      <c r="B216" s="171" t="e">
        <f>IF(ISTEXT(([0]!P_1_6.8.3 [0]!Qté)),0,([0]!P_1_6.8.3 [0]!Qté))</f>
        <v>#REF!</v>
      </c>
      <c r="C216" s="172" t="e">
        <f>([0]!P_1_6.8.3 [0]!PU)</f>
        <v>#REF!</v>
      </c>
      <c r="D216" s="172" t="e">
        <f>IF(ISTEXT(([0]!P_1_6.8.3 [0]!MT)),0,([0]!P_1_6.8.3 [0]!MT))</f>
        <v>#REF!</v>
      </c>
    </row>
    <row r="217" spans="1:4" x14ac:dyDescent="0.25">
      <c r="A217" s="170" t="s">
        <v>219</v>
      </c>
      <c r="B217" s="171" t="e">
        <f>IF(ISTEXT(([0]!P_1_6.9.1 [0]!Qté)),0,([0]!P_1_6.9.1 [0]!Qté))</f>
        <v>#REF!</v>
      </c>
      <c r="C217" s="172" t="e">
        <f>([0]!P_1_6.9.1 [0]!PU)</f>
        <v>#REF!</v>
      </c>
      <c r="D217" s="172" t="e">
        <f>IF(ISTEXT(([0]!P_1_6.9.1 [0]!MT)),0,([0]!P_1_6.9.1 [0]!MT))</f>
        <v>#REF!</v>
      </c>
    </row>
    <row r="218" spans="1:4" x14ac:dyDescent="0.25">
      <c r="A218" s="170" t="s">
        <v>220</v>
      </c>
      <c r="B218" s="171" t="e">
        <f>IF(ISTEXT(([0]!P_1_6.9.2 [0]!Qté)),0,([0]!P_1_6.9.2 [0]!Qté))</f>
        <v>#REF!</v>
      </c>
      <c r="C218" s="172" t="e">
        <f>([0]!P_1_6.9.2 [0]!PU)</f>
        <v>#REF!</v>
      </c>
      <c r="D218" s="172" t="e">
        <f>IF(ISTEXT(([0]!P_1_6.9.2 [0]!MT)),0,([0]!P_1_6.9.2 [0]!MT))</f>
        <v>#REF!</v>
      </c>
    </row>
    <row r="219" spans="1:4" x14ac:dyDescent="0.25">
      <c r="A219" s="170" t="s">
        <v>221</v>
      </c>
      <c r="B219" s="171" t="e">
        <f>IF(ISTEXT(([0]!P_1_6.9.3 [0]!Qté)),0,([0]!P_1_6.9.3 [0]!Qté))</f>
        <v>#REF!</v>
      </c>
      <c r="C219" s="172" t="e">
        <f>([0]!P_1_6.9.3 [0]!PU)</f>
        <v>#REF!</v>
      </c>
      <c r="D219" s="172" t="e">
        <f>IF(ISTEXT(([0]!P_1_6.9.3 [0]!MT)),0,([0]!P_1_6.9.3 [0]!MT))</f>
        <v>#REF!</v>
      </c>
    </row>
    <row r="220" spans="1:4" x14ac:dyDescent="0.25">
      <c r="A220" s="170" t="s">
        <v>222</v>
      </c>
      <c r="B220" s="171" t="e">
        <f>IF(ISTEXT(([0]!P_1_6.10.1 [0]!Qté)),0,([0]!P_1_6.10.1 [0]!Qté))</f>
        <v>#REF!</v>
      </c>
      <c r="C220" s="172" t="e">
        <f>([0]!P_1_6.10.1 [0]!PU)</f>
        <v>#REF!</v>
      </c>
      <c r="D220" s="172" t="e">
        <f>IF(ISTEXT(([0]!P_1_6.10.1 [0]!MT)),0,([0]!P_1_6.10.1 [0]!MT))</f>
        <v>#REF!</v>
      </c>
    </row>
    <row r="221" spans="1:4" x14ac:dyDescent="0.25">
      <c r="A221" s="170" t="s">
        <v>223</v>
      </c>
      <c r="B221" s="171" t="e">
        <f>IF(ISTEXT(([0]!P_1_6.10.2 [0]!Qté)),0,([0]!P_1_6.10.2 [0]!Qté))</f>
        <v>#REF!</v>
      </c>
      <c r="C221" s="172" t="e">
        <f>([0]!P_1_6.10.2 [0]!PU)</f>
        <v>#REF!</v>
      </c>
      <c r="D221" s="172" t="e">
        <f>IF(ISTEXT(([0]!P_1_6.10.2 [0]!MT)),0,([0]!P_1_6.10.2 [0]!MT))</f>
        <v>#REF!</v>
      </c>
    </row>
    <row r="222" spans="1:4" x14ac:dyDescent="0.25">
      <c r="A222" s="170" t="s">
        <v>224</v>
      </c>
      <c r="B222" s="171" t="e">
        <f>IF(ISTEXT(([0]!P_1_6.10.3 [0]!Qté)),0,([0]!P_1_6.10.3 [0]!Qté))</f>
        <v>#REF!</v>
      </c>
      <c r="C222" s="172" t="e">
        <f>([0]!P_1_6.10.3 [0]!PU)</f>
        <v>#REF!</v>
      </c>
      <c r="D222" s="172" t="e">
        <f>IF(ISTEXT(([0]!P_1_6.10.3 [0]!MT)),0,([0]!P_1_6.10.3 [0]!MT))</f>
        <v>#REF!</v>
      </c>
    </row>
    <row r="223" spans="1:4" x14ac:dyDescent="0.25">
      <c r="A223" s="170" t="s">
        <v>225</v>
      </c>
      <c r="B223" s="171" t="e">
        <f>IF(ISTEXT(([0]!P_1_6.11 [0]!Qté)),0,([0]!P_1_6.11 [0]!Qté))</f>
        <v>#REF!</v>
      </c>
      <c r="C223" s="172" t="e">
        <f>([0]!P_1_6.11 [0]!PU)</f>
        <v>#REF!</v>
      </c>
      <c r="D223" s="172" t="e">
        <f>IF(ISTEXT(([0]!P_1_6.11 [0]!MT)),0,([0]!P_1_6.11 [0]!MT))</f>
        <v>#REF!</v>
      </c>
    </row>
    <row r="224" spans="1:4" x14ac:dyDescent="0.25">
      <c r="A224" s="170" t="s">
        <v>226</v>
      </c>
      <c r="B224" s="171" t="e">
        <f>IF(ISTEXT(([0]!P_1_6.12.1 [0]!Qté)),0,([0]!P_1_6.12.1 [0]!Qté))</f>
        <v>#REF!</v>
      </c>
      <c r="C224" s="172" t="e">
        <f>([0]!P_1_6.12.1 [0]!PU)</f>
        <v>#REF!</v>
      </c>
      <c r="D224" s="172" t="e">
        <f>IF(ISTEXT(([0]!P_1_6.12.1 [0]!MT)),0,([0]!P_1_6.12.1 [0]!MT))</f>
        <v>#REF!</v>
      </c>
    </row>
    <row r="225" spans="1:4" x14ac:dyDescent="0.25">
      <c r="A225" s="170" t="s">
        <v>227</v>
      </c>
      <c r="B225" s="171" t="e">
        <f>IF(ISTEXT(([0]!P_1_6.12.2 [0]!Qté)),0,([0]!P_1_6.12.2 [0]!Qté))</f>
        <v>#REF!</v>
      </c>
      <c r="C225" s="172" t="e">
        <f>([0]!P_1_6.12.2 [0]!PU)</f>
        <v>#REF!</v>
      </c>
      <c r="D225" s="172" t="e">
        <f>IF(ISTEXT(([0]!P_1_6.12.2 [0]!MT)),0,([0]!P_1_6.12.2 [0]!MT))</f>
        <v>#REF!</v>
      </c>
    </row>
    <row r="226" spans="1:4" x14ac:dyDescent="0.25">
      <c r="A226" s="170" t="s">
        <v>228</v>
      </c>
      <c r="B226" s="171" t="e">
        <f>IF(ISTEXT(([0]!P_1_6.13 [0]!Qté)),0,([0]!P_1_6.13 [0]!Qté))</f>
        <v>#REF!</v>
      </c>
      <c r="C226" s="172" t="e">
        <f>([0]!P_1_6.13 [0]!PU)</f>
        <v>#REF!</v>
      </c>
      <c r="D226" s="172" t="e">
        <f>IF(ISTEXT(([0]!P_1_6.13 [0]!MT)),0,([0]!P_1_6.13 [0]!MT))</f>
        <v>#REF!</v>
      </c>
    </row>
    <row r="227" spans="1:4" x14ac:dyDescent="0.25">
      <c r="A227" s="170" t="s">
        <v>229</v>
      </c>
      <c r="B227" s="171" t="e">
        <f>IF(ISTEXT(([0]!P_1_6.14 [0]!Qté)),0,([0]!P_1_6.14 [0]!Qté))</f>
        <v>#REF!</v>
      </c>
      <c r="C227" s="172" t="e">
        <f>([0]!P_1_6.14 [0]!PU)</f>
        <v>#REF!</v>
      </c>
      <c r="D227" s="172" t="e">
        <f>IF(ISTEXT(([0]!P_1_6.14 [0]!MT)),0,([0]!P_1_6.14 [0]!MT))</f>
        <v>#REF!</v>
      </c>
    </row>
    <row r="228" spans="1:4" x14ac:dyDescent="0.25">
      <c r="A228" s="170" t="s">
        <v>230</v>
      </c>
      <c r="B228" s="171" t="e">
        <f>IF(ISTEXT(([0]!P_1_6.15 [0]!Qté)),0,([0]!P_1_6.15 [0]!Qté))</f>
        <v>#REF!</v>
      </c>
      <c r="C228" s="172" t="e">
        <f>([0]!P_1_6.15 [0]!PU)</f>
        <v>#REF!</v>
      </c>
      <c r="D228" s="172" t="e">
        <f>IF(ISTEXT(([0]!P_1_6.15 [0]!MT)),0,([0]!P_1_6.15 [0]!MT))</f>
        <v>#REF!</v>
      </c>
    </row>
    <row r="229" spans="1:4" x14ac:dyDescent="0.25">
      <c r="A229" s="170" t="s">
        <v>231</v>
      </c>
      <c r="B229" s="171" t="e">
        <f>IF(ISTEXT(([0]!P_1_6.16 [0]!Qté)),0,([0]!P_1_6.16 [0]!Qté))</f>
        <v>#REF!</v>
      </c>
      <c r="C229" s="172" t="e">
        <f>([0]!P_1_6.16 [0]!PU)</f>
        <v>#REF!</v>
      </c>
      <c r="D229" s="172" t="e">
        <f>IF(ISTEXT(([0]!P_1_6.16 [0]!MT)),0,([0]!P_1_6.16 [0]!MT))</f>
        <v>#REF!</v>
      </c>
    </row>
    <row r="230" spans="1:4" x14ac:dyDescent="0.25">
      <c r="A230" s="170" t="s">
        <v>232</v>
      </c>
      <c r="B230" s="171" t="e">
        <f>IF(ISTEXT(([0]!P_1_6.17.1 [0]!Qté)),0,([0]!P_1_6.17.1 [0]!Qté))</f>
        <v>#REF!</v>
      </c>
      <c r="C230" s="172" t="e">
        <f>([0]!P_1_6.17.1 [0]!PU)</f>
        <v>#REF!</v>
      </c>
      <c r="D230" s="172" t="e">
        <f>IF(ISTEXT(([0]!P_1_6.17.1 [0]!MT)),0,([0]!P_1_6.17.1 [0]!MT))</f>
        <v>#REF!</v>
      </c>
    </row>
    <row r="231" spans="1:4" x14ac:dyDescent="0.25">
      <c r="A231" s="170" t="s">
        <v>233</v>
      </c>
      <c r="B231" s="171" t="e">
        <f>IF(ISTEXT(([0]!P_1_6.17.2 [0]!Qté)),0,([0]!P_1_6.17.2 [0]!Qté))</f>
        <v>#REF!</v>
      </c>
      <c r="C231" s="172" t="e">
        <f>([0]!P_1_6.17.2 [0]!PU)</f>
        <v>#REF!</v>
      </c>
      <c r="D231" s="172" t="e">
        <f>IF(ISTEXT(([0]!P_1_6.17.2 [0]!MT)),0,([0]!P_1_6.17.2 [0]!MT))</f>
        <v>#REF!</v>
      </c>
    </row>
    <row r="232" spans="1:4" x14ac:dyDescent="0.25">
      <c r="A232" s="170" t="s">
        <v>234</v>
      </c>
      <c r="B232" s="171" t="e">
        <f>IF(ISTEXT(([0]!P_1_6.17.3 [0]!Qté)),0,([0]!P_1_6.17.3 [0]!Qté))</f>
        <v>#REF!</v>
      </c>
      <c r="C232" s="172" t="e">
        <f>([0]!P_1_6.17.3 [0]!PU)</f>
        <v>#REF!</v>
      </c>
      <c r="D232" s="172" t="e">
        <f>IF(ISTEXT(([0]!P_1_6.17.3 [0]!MT)),0,([0]!P_1_6.17.3 [0]!MT))</f>
        <v>#REF!</v>
      </c>
    </row>
    <row r="233" spans="1:4" x14ac:dyDescent="0.25">
      <c r="A233" s="170" t="s">
        <v>235</v>
      </c>
      <c r="B233" s="171" t="e">
        <f>IF(ISTEXT(([0]!P_1_6.17.4 [0]!Qté)),0,([0]!P_1_6.17.4 [0]!Qté))</f>
        <v>#REF!</v>
      </c>
      <c r="C233" s="172" t="e">
        <f>([0]!P_1_6.17.4 [0]!PU)</f>
        <v>#REF!</v>
      </c>
      <c r="D233" s="172" t="e">
        <f>IF(ISTEXT(([0]!P_1_6.17.4 [0]!MT)),0,([0]!P_1_6.17.4 [0]!MT))</f>
        <v>#REF!</v>
      </c>
    </row>
    <row r="234" spans="1:4" x14ac:dyDescent="0.25">
      <c r="A234" s="170" t="s">
        <v>236</v>
      </c>
      <c r="B234" s="171" t="e">
        <f>IF(ISTEXT(([0]!P_1_6.17.5 [0]!Qté)),0,([0]!P_1_6.17.5 [0]!Qté))</f>
        <v>#REF!</v>
      </c>
      <c r="C234" s="172" t="e">
        <f>([0]!P_1_6.17.5 [0]!PU)</f>
        <v>#REF!</v>
      </c>
      <c r="D234" s="172" t="e">
        <f>IF(ISTEXT(([0]!P_1_6.17.5 [0]!MT)),0,([0]!P_1_6.17.5 [0]!MT))</f>
        <v>#REF!</v>
      </c>
    </row>
    <row r="235" spans="1:4" x14ac:dyDescent="0.25">
      <c r="A235" s="170" t="s">
        <v>237</v>
      </c>
      <c r="B235" s="171" t="e">
        <f>IF(ISTEXT(([0]!P_1_7.1.1 [0]!Qté)),0,([0]!P_1_7.1.1 [0]!Qté))</f>
        <v>#REF!</v>
      </c>
      <c r="C235" s="172" t="e">
        <f>([0]!P_1_7.1.1 [0]!PU)</f>
        <v>#REF!</v>
      </c>
      <c r="D235" s="172" t="e">
        <f>IF(ISTEXT(([0]!P_1_7.1.1 [0]!MT)),0,([0]!P_1_7.1.1 [0]!MT))</f>
        <v>#REF!</v>
      </c>
    </row>
    <row r="236" spans="1:4" x14ac:dyDescent="0.25">
      <c r="A236" s="170" t="s">
        <v>238</v>
      </c>
      <c r="B236" s="171" t="e">
        <f>IF(ISTEXT(([0]!P_1_7.1.2 [0]!Qté)),0,([0]!P_1_7.1.2 [0]!Qté))</f>
        <v>#REF!</v>
      </c>
      <c r="C236" s="172" t="e">
        <f>([0]!P_1_7.1.2 [0]!PU)</f>
        <v>#REF!</v>
      </c>
      <c r="D236" s="172" t="e">
        <f>IF(ISTEXT(([0]!P_1_7.1.2 [0]!MT)),0,([0]!P_1_7.1.2 [0]!MT))</f>
        <v>#REF!</v>
      </c>
    </row>
    <row r="237" spans="1:4" x14ac:dyDescent="0.25">
      <c r="A237" s="170" t="s">
        <v>239</v>
      </c>
      <c r="B237" s="171" t="e">
        <f>IF(ISTEXT(([0]!P_1_7.1.3 [0]!Qté)),0,([0]!P_1_7.1.3 [0]!Qté))</f>
        <v>#REF!</v>
      </c>
      <c r="C237" s="172" t="e">
        <f>([0]!P_1_7.1.3 [0]!PU)</f>
        <v>#REF!</v>
      </c>
      <c r="D237" s="172" t="e">
        <f>IF(ISTEXT(([0]!P_1_7.1.3 [0]!MT)),0,([0]!P_1_7.1.3 [0]!MT))</f>
        <v>#REF!</v>
      </c>
    </row>
    <row r="238" spans="1:4" x14ac:dyDescent="0.25">
      <c r="A238" s="170" t="s">
        <v>240</v>
      </c>
      <c r="B238" s="171" t="e">
        <f>IF(ISTEXT(([0]!P_1_7.1.4 [0]!Qté)),0,([0]!P_1_7.1.4 [0]!Qté))</f>
        <v>#REF!</v>
      </c>
      <c r="C238" s="172" t="e">
        <f>([0]!P_1_7.1.4 [0]!PU)</f>
        <v>#REF!</v>
      </c>
      <c r="D238" s="172" t="e">
        <f>IF(ISTEXT(([0]!P_1_7.1.4 [0]!MT)),0,([0]!P_1_7.1.4 [0]!MT))</f>
        <v>#REF!</v>
      </c>
    </row>
    <row r="239" spans="1:4" x14ac:dyDescent="0.25">
      <c r="A239" s="170" t="s">
        <v>241</v>
      </c>
      <c r="B239" s="171" t="e">
        <f>IF(ISTEXT(([0]!P_1_7.1.5 [0]!Qté)),0,([0]!P_1_7.1.5 [0]!Qté))</f>
        <v>#REF!</v>
      </c>
      <c r="C239" s="172" t="e">
        <f>([0]!P_1_7.1.5 [0]!PU)</f>
        <v>#REF!</v>
      </c>
      <c r="D239" s="172" t="e">
        <f>IF(ISTEXT(([0]!P_1_7.1.5 [0]!MT)),0,([0]!P_1_7.1.5 [0]!MT))</f>
        <v>#REF!</v>
      </c>
    </row>
    <row r="240" spans="1:4" x14ac:dyDescent="0.25">
      <c r="A240" s="170" t="s">
        <v>242</v>
      </c>
      <c r="B240" s="171" t="e">
        <f>IF(ISTEXT(([0]!P_1_7.1.6 [0]!Qté)),0,([0]!P_1_7.1.6 [0]!Qté))</f>
        <v>#REF!</v>
      </c>
      <c r="C240" s="172" t="e">
        <f>([0]!P_1_7.1.6 [0]!PU)</f>
        <v>#REF!</v>
      </c>
      <c r="D240" s="172" t="e">
        <f>IF(ISTEXT(([0]!P_1_7.1.6 [0]!MT)),0,([0]!P_1_7.1.6 [0]!MT))</f>
        <v>#REF!</v>
      </c>
    </row>
    <row r="241" spans="1:4" x14ac:dyDescent="0.25">
      <c r="A241" s="170" t="s">
        <v>243</v>
      </c>
      <c r="B241" s="171" t="e">
        <f>IF(ISTEXT(([0]!P_1_7.1.7 [0]!Qté)),0,([0]!P_1_7.1.7 [0]!Qté))</f>
        <v>#REF!</v>
      </c>
      <c r="C241" s="172" t="e">
        <f>([0]!P_1_7.1.7 [0]!PU)</f>
        <v>#REF!</v>
      </c>
      <c r="D241" s="172" t="e">
        <f>IF(ISTEXT(([0]!P_1_7.1.7 [0]!MT)),0,([0]!P_1_7.1.7 [0]!MT))</f>
        <v>#REF!</v>
      </c>
    </row>
    <row r="242" spans="1:4" x14ac:dyDescent="0.25">
      <c r="A242" s="170" t="s">
        <v>244</v>
      </c>
      <c r="B242" s="171" t="e">
        <f>IF(ISTEXT(([0]!P_1_7.2.1 [0]!Qté)),0,([0]!P_1_7.2.1 [0]!Qté))</f>
        <v>#REF!</v>
      </c>
      <c r="C242" s="172" t="e">
        <f>([0]!P_1_7.2.1 [0]!PU)</f>
        <v>#REF!</v>
      </c>
      <c r="D242" s="172" t="e">
        <f>IF(ISTEXT(([0]!P_1_7.2.1 [0]!MT)),0,([0]!P_1_7.2.1 [0]!MT))</f>
        <v>#REF!</v>
      </c>
    </row>
    <row r="243" spans="1:4" x14ac:dyDescent="0.25">
      <c r="A243" s="170" t="s">
        <v>245</v>
      </c>
      <c r="B243" s="171" t="e">
        <f>IF(ISTEXT(([0]!P_1_7.2.2 [0]!Qté)),0,([0]!P_1_7.2.2 [0]!Qté))</f>
        <v>#REF!</v>
      </c>
      <c r="C243" s="172" t="e">
        <f>([0]!P_1_7.2.2 [0]!PU)</f>
        <v>#REF!</v>
      </c>
      <c r="D243" s="172" t="e">
        <f>IF(ISTEXT(([0]!P_1_7.2.2 [0]!MT)),0,([0]!P_1_7.2.2 [0]!MT))</f>
        <v>#REF!</v>
      </c>
    </row>
    <row r="244" spans="1:4" x14ac:dyDescent="0.25">
      <c r="A244" s="170" t="s">
        <v>246</v>
      </c>
      <c r="B244" s="171" t="e">
        <f>IF(ISTEXT(([0]!P_1_7.2.3 [0]!Qté)),0,([0]!P_1_7.2.3 [0]!Qté))</f>
        <v>#REF!</v>
      </c>
      <c r="C244" s="172" t="e">
        <f>([0]!P_1_7.2.3 [0]!PU)</f>
        <v>#REF!</v>
      </c>
      <c r="D244" s="172" t="e">
        <f>IF(ISTEXT(([0]!P_1_7.2.3 [0]!MT)),0,([0]!P_1_7.2.3 [0]!MT))</f>
        <v>#REF!</v>
      </c>
    </row>
    <row r="245" spans="1:4" x14ac:dyDescent="0.25">
      <c r="A245" s="170" t="s">
        <v>247</v>
      </c>
      <c r="B245" s="171" t="e">
        <f>IF(ISTEXT(([0]!P_1_8.1 [0]!Qté)),0,([0]!P_1_8.1 [0]!Qté))</f>
        <v>#REF!</v>
      </c>
      <c r="C245" s="172" t="e">
        <f>([0]!P_1_8.1 [0]!PU)</f>
        <v>#REF!</v>
      </c>
      <c r="D245" s="172" t="e">
        <f>IF(ISTEXT(([0]!P_1_8.1 [0]!MT)),0,([0]!P_1_8.1 [0]!MT))</f>
        <v>#REF!</v>
      </c>
    </row>
    <row r="246" spans="1:4" x14ac:dyDescent="0.25">
      <c r="A246" s="170" t="s">
        <v>248</v>
      </c>
      <c r="B246" s="171" t="e">
        <f>IF(ISTEXT(([0]!P_1_8.2.1 [0]!Qté)),0,([0]!P_1_8.2.1 [0]!Qté))</f>
        <v>#REF!</v>
      </c>
      <c r="C246" s="172" t="e">
        <f>([0]!P_1_8.2.1 [0]!PU)</f>
        <v>#REF!</v>
      </c>
      <c r="D246" s="172" t="e">
        <f>IF(ISTEXT(([0]!P_1_8.2.1 [0]!MT)),0,([0]!P_1_8.2.1 [0]!MT))</f>
        <v>#REF!</v>
      </c>
    </row>
    <row r="247" spans="1:4" x14ac:dyDescent="0.25">
      <c r="A247" s="170" t="s">
        <v>249</v>
      </c>
      <c r="B247" s="171" t="e">
        <f>IF(ISTEXT(([0]!P_1_8.2.2 [0]!Qté)),0,([0]!P_1_8.2.2 [0]!Qté))</f>
        <v>#REF!</v>
      </c>
      <c r="C247" s="172" t="e">
        <f>([0]!P_1_8.2.2 [0]!PU)</f>
        <v>#REF!</v>
      </c>
      <c r="D247" s="172" t="e">
        <f>IF(ISTEXT(([0]!P_1_8.2.2 [0]!MT)),0,([0]!P_1_8.2.2 [0]!MT))</f>
        <v>#REF!</v>
      </c>
    </row>
    <row r="248" spans="1:4" x14ac:dyDescent="0.25">
      <c r="A248" s="170" t="s">
        <v>250</v>
      </c>
      <c r="B248" s="171" t="e">
        <f>IF(ISTEXT(([0]!P_1_8.2.3 [0]!Qté)),0,([0]!P_1_8.2.3 [0]!Qté))</f>
        <v>#REF!</v>
      </c>
      <c r="C248" s="172" t="e">
        <f>([0]!P_1_8.2.3 [0]!PU)</f>
        <v>#REF!</v>
      </c>
      <c r="D248" s="172" t="e">
        <f>IF(ISTEXT(([0]!P_1_8.2.3 [0]!MT)),0,([0]!P_1_8.2.3 [0]!MT))</f>
        <v>#REF!</v>
      </c>
    </row>
    <row r="249" spans="1:4" x14ac:dyDescent="0.25">
      <c r="A249" s="170" t="s">
        <v>251</v>
      </c>
      <c r="B249" s="171" t="e">
        <f>IF(ISTEXT(([0]!P_1_8.2.4 [0]!Qté)),0,([0]!P_1_8.2.4 [0]!Qté))</f>
        <v>#REF!</v>
      </c>
      <c r="C249" s="172" t="e">
        <f>([0]!P_1_8.2.4 [0]!PU)</f>
        <v>#REF!</v>
      </c>
      <c r="D249" s="172" t="e">
        <f>IF(ISTEXT(([0]!P_1_8.2.4 [0]!MT)),0,([0]!P_1_8.2.4 [0]!MT))</f>
        <v>#REF!</v>
      </c>
    </row>
    <row r="250" spans="1:4" x14ac:dyDescent="0.25">
      <c r="A250" s="170" t="s">
        <v>252</v>
      </c>
      <c r="B250" s="171" t="e">
        <f>IF(ISTEXT(([0]!P_1_8.2.5 [0]!Qté)),0,([0]!P_1_8.2.5 [0]!Qté))</f>
        <v>#REF!</v>
      </c>
      <c r="C250" s="172" t="e">
        <f>([0]!P_1_8.2.5 [0]!PU)</f>
        <v>#REF!</v>
      </c>
      <c r="D250" s="172" t="e">
        <f>IF(ISTEXT(([0]!P_1_8.2.5 [0]!MT)),0,([0]!P_1_8.2.5 [0]!MT))</f>
        <v>#REF!</v>
      </c>
    </row>
    <row r="251" spans="1:4" x14ac:dyDescent="0.25">
      <c r="A251" s="170" t="s">
        <v>253</v>
      </c>
      <c r="B251" s="171" t="e">
        <f>IF(ISTEXT(([0]!P_1_8.2.6 [0]!Qté)),0,([0]!P_1_8.2.6 [0]!Qté))</f>
        <v>#REF!</v>
      </c>
      <c r="C251" s="172" t="e">
        <f>([0]!P_1_8.2.6 [0]!PU)</f>
        <v>#REF!</v>
      </c>
      <c r="D251" s="172" t="e">
        <f>IF(ISTEXT(([0]!P_1_8.2.6 [0]!MT)),0,([0]!P_1_8.2.6 [0]!MT))</f>
        <v>#REF!</v>
      </c>
    </row>
    <row r="252" spans="1:4" x14ac:dyDescent="0.25">
      <c r="A252" s="170" t="s">
        <v>254</v>
      </c>
      <c r="B252" s="171" t="e">
        <f>IF(ISTEXT(([0]!P_1_8.2.7 [0]!Qté)),0,([0]!P_1_8.2.7 [0]!Qté))</f>
        <v>#REF!</v>
      </c>
      <c r="C252" s="172" t="e">
        <f>([0]!P_1_8.2.7 [0]!PU)</f>
        <v>#REF!</v>
      </c>
      <c r="D252" s="172" t="e">
        <f>IF(ISTEXT(([0]!P_1_8.2.7 [0]!MT)),0,([0]!P_1_8.2.7 [0]!MT))</f>
        <v>#REF!</v>
      </c>
    </row>
    <row r="253" spans="1:4" x14ac:dyDescent="0.25">
      <c r="A253" s="170" t="s">
        <v>255</v>
      </c>
      <c r="B253" s="171" t="e">
        <f>IF(ISTEXT(([0]!P_1_8.3.1 [0]!Qté)),0,([0]!P_1_8.3.1 [0]!Qté))</f>
        <v>#REF!</v>
      </c>
      <c r="C253" s="172" t="e">
        <f>([0]!P_1_8.3.1 [0]!PU)</f>
        <v>#REF!</v>
      </c>
      <c r="D253" s="172" t="e">
        <f>IF(ISTEXT(([0]!P_1_8.3.1 [0]!MT)),0,([0]!P_1_8.3.1 [0]!MT))</f>
        <v>#REF!</v>
      </c>
    </row>
    <row r="254" spans="1:4" x14ac:dyDescent="0.25">
      <c r="A254" s="170" t="s">
        <v>256</v>
      </c>
      <c r="B254" s="171" t="e">
        <f>IF(ISTEXT(([0]!P_1_8.3.2 [0]!Qté)),0,([0]!P_1_8.3.2 [0]!Qté))</f>
        <v>#REF!</v>
      </c>
      <c r="C254" s="172" t="e">
        <f>([0]!P_1_8.3.2 [0]!PU)</f>
        <v>#REF!</v>
      </c>
      <c r="D254" s="172" t="e">
        <f>IF(ISTEXT(([0]!P_1_8.3.2 [0]!MT)),0,([0]!P_1_8.3.2 [0]!MT))</f>
        <v>#REF!</v>
      </c>
    </row>
    <row r="255" spans="1:4" x14ac:dyDescent="0.25">
      <c r="A255" s="170" t="s">
        <v>257</v>
      </c>
      <c r="B255" s="171" t="e">
        <f>IF(ISTEXT(([0]!P_1_8.3.3 [0]!Qté)),0,([0]!P_1_8.3.3 [0]!Qté))</f>
        <v>#REF!</v>
      </c>
      <c r="C255" s="172" t="e">
        <f>([0]!P_1_8.3.3 [0]!PU)</f>
        <v>#REF!</v>
      </c>
      <c r="D255" s="172" t="e">
        <f>IF(ISTEXT(([0]!P_1_8.3.3 [0]!MT)),0,([0]!P_1_8.3.3 [0]!MT))</f>
        <v>#REF!</v>
      </c>
    </row>
    <row r="256" spans="1:4" x14ac:dyDescent="0.25">
      <c r="A256" s="170" t="s">
        <v>258</v>
      </c>
      <c r="B256" s="171" t="e">
        <f>IF(ISTEXT(([0]!P_1_8.3.4 [0]!Qté)),0,([0]!P_1_8.3.4 [0]!Qté))</f>
        <v>#REF!</v>
      </c>
      <c r="C256" s="172" t="e">
        <f>([0]!P_1_8.3.4 [0]!PU)</f>
        <v>#REF!</v>
      </c>
      <c r="D256" s="172" t="e">
        <f>IF(ISTEXT(([0]!P_1_8.3.4 [0]!MT)),0,([0]!P_1_8.3.4 [0]!MT))</f>
        <v>#REF!</v>
      </c>
    </row>
    <row r="257" spans="1:4" x14ac:dyDescent="0.25">
      <c r="A257" s="170" t="s">
        <v>259</v>
      </c>
      <c r="B257" s="171" t="e">
        <f>IF(ISTEXT(([0]!P_1_8.3.5 [0]!Qté)),0,([0]!P_1_8.3.5 [0]!Qté))</f>
        <v>#REF!</v>
      </c>
      <c r="C257" s="172" t="e">
        <f>([0]!P_1_8.3.5 [0]!PU)</f>
        <v>#REF!</v>
      </c>
      <c r="D257" s="172" t="e">
        <f>IF(ISTEXT(([0]!P_1_8.3.5 [0]!MT)),0,([0]!P_1_8.3.5 [0]!MT))</f>
        <v>#REF!</v>
      </c>
    </row>
    <row r="258" spans="1:4" x14ac:dyDescent="0.25">
      <c r="A258" s="170" t="s">
        <v>260</v>
      </c>
      <c r="B258" s="171" t="e">
        <f>IF(ISTEXT(([0]!P_1_8.3.6 [0]!Qté)),0,([0]!P_1_8.3.6 [0]!Qté))</f>
        <v>#REF!</v>
      </c>
      <c r="C258" s="172" t="e">
        <f>([0]!P_1_8.3.6 [0]!PU)</f>
        <v>#REF!</v>
      </c>
      <c r="D258" s="172" t="e">
        <f>IF(ISTEXT(([0]!P_1_8.3.6 [0]!MT)),0,([0]!P_1_8.3.6 [0]!MT))</f>
        <v>#REF!</v>
      </c>
    </row>
    <row r="259" spans="1:4" x14ac:dyDescent="0.25">
      <c r="A259" s="170" t="s">
        <v>261</v>
      </c>
      <c r="B259" s="171" t="e">
        <f>IF(ISTEXT(([0]!P_1_8.3.7 [0]!Qté)),0,([0]!P_1_8.3.7 [0]!Qté))</f>
        <v>#REF!</v>
      </c>
      <c r="C259" s="172" t="e">
        <f>([0]!P_1_8.3.7 [0]!PU)</f>
        <v>#REF!</v>
      </c>
      <c r="D259" s="172" t="e">
        <f>IF(ISTEXT(([0]!P_1_8.3.7 [0]!MT)),0,([0]!P_1_8.3.7 [0]!MT))</f>
        <v>#REF!</v>
      </c>
    </row>
    <row r="260" spans="1:4" x14ac:dyDescent="0.25">
      <c r="A260" s="170" t="s">
        <v>262</v>
      </c>
      <c r="B260" s="171" t="e">
        <f>IF(ISTEXT(([0]!P_1_8.3.8 [0]!Qté)),0,([0]!P_1_8.3.8 [0]!Qté))</f>
        <v>#REF!</v>
      </c>
      <c r="C260" s="172" t="e">
        <f>([0]!P_1_8.3.8 [0]!PU)</f>
        <v>#REF!</v>
      </c>
      <c r="D260" s="172" t="e">
        <f>IF(ISTEXT(([0]!P_1_8.3.8 [0]!MT)),0,([0]!P_1_8.3.8 [0]!MT))</f>
        <v>#REF!</v>
      </c>
    </row>
    <row r="261" spans="1:4" x14ac:dyDescent="0.25">
      <c r="A261" s="170" t="s">
        <v>263</v>
      </c>
      <c r="B261" s="171" t="e">
        <f>IF(ISTEXT(([0]!P_1_8.3.9 [0]!Qté)),0,([0]!P_1_8.3.9 [0]!Qté))</f>
        <v>#REF!</v>
      </c>
      <c r="C261" s="172" t="e">
        <f>([0]!P_1_8.3.9 [0]!PU)</f>
        <v>#REF!</v>
      </c>
      <c r="D261" s="172" t="e">
        <f>IF(ISTEXT(([0]!P_1_8.3.9 [0]!MT)),0,([0]!P_1_8.3.9 [0]!MT))</f>
        <v>#REF!</v>
      </c>
    </row>
    <row r="262" spans="1:4" x14ac:dyDescent="0.25">
      <c r="A262" s="170" t="s">
        <v>264</v>
      </c>
      <c r="B262" s="171" t="e">
        <f>IF(ISTEXT(([0]!P_1_8.3.10 [0]!Qté)),0,([0]!P_1_8.3.10 [0]!Qté))</f>
        <v>#REF!</v>
      </c>
      <c r="C262" s="172" t="e">
        <f>([0]!P_1_8.3.10 [0]!PU)</f>
        <v>#REF!</v>
      </c>
      <c r="D262" s="172" t="e">
        <f>IF(ISTEXT(([0]!P_1_8.3.10 [0]!MT)),0,([0]!P_1_8.3.10 [0]!MT))</f>
        <v>#REF!</v>
      </c>
    </row>
    <row r="263" spans="1:4" x14ac:dyDescent="0.25">
      <c r="A263" s="170" t="s">
        <v>265</v>
      </c>
      <c r="B263" s="171" t="e">
        <f>IF(ISTEXT(([0]!P_1_8.3.11 [0]!Qté)),0,([0]!P_1_8.3.11 [0]!Qté))</f>
        <v>#REF!</v>
      </c>
      <c r="C263" s="172" t="e">
        <f>([0]!P_1_8.3.11 [0]!PU)</f>
        <v>#REF!</v>
      </c>
      <c r="D263" s="172" t="e">
        <f>IF(ISTEXT(([0]!P_1_8.3.11 [0]!MT)),0,([0]!P_1_8.3.11 [0]!MT))</f>
        <v>#REF!</v>
      </c>
    </row>
    <row r="264" spans="1:4" x14ac:dyDescent="0.25">
      <c r="A264" s="170" t="s">
        <v>266</v>
      </c>
      <c r="B264" s="171" t="e">
        <f>IF(ISTEXT(([0]!P_1_8.4.1 [0]!Qté)),0,([0]!P_1_8.4.1 [0]!Qté))</f>
        <v>#REF!</v>
      </c>
      <c r="C264" s="172" t="e">
        <f>([0]!P_1_8.4.1 [0]!PU)</f>
        <v>#REF!</v>
      </c>
      <c r="D264" s="172" t="e">
        <f>IF(ISTEXT(([0]!P_1_8.4.1 [0]!MT)),0,([0]!P_1_8.4.1 [0]!MT))</f>
        <v>#REF!</v>
      </c>
    </row>
    <row r="265" spans="1:4" x14ac:dyDescent="0.25">
      <c r="A265" s="170" t="s">
        <v>267</v>
      </c>
      <c r="B265" s="171" t="e">
        <f>IF(ISTEXT(([0]!P_1_8.4.2 [0]!Qté)),0,([0]!P_1_8.4.2 [0]!Qté))</f>
        <v>#REF!</v>
      </c>
      <c r="C265" s="172" t="e">
        <f>([0]!P_1_8.4.2 [0]!PU)</f>
        <v>#REF!</v>
      </c>
      <c r="D265" s="172" t="e">
        <f>IF(ISTEXT(([0]!P_1_8.4.2 [0]!MT)),0,([0]!P_1_8.4.2 [0]!MT))</f>
        <v>#REF!</v>
      </c>
    </row>
    <row r="266" spans="1:4" x14ac:dyDescent="0.25">
      <c r="A266" s="170" t="s">
        <v>268</v>
      </c>
      <c r="B266" s="171" t="e">
        <f>IF(ISTEXT(([0]!P_1_8.4.3 [0]!Qté)),0,([0]!P_1_8.4.3 [0]!Qté))</f>
        <v>#REF!</v>
      </c>
      <c r="C266" s="172" t="e">
        <f>([0]!P_1_8.4.3 [0]!PU)</f>
        <v>#REF!</v>
      </c>
      <c r="D266" s="172" t="e">
        <f>IF(ISTEXT(([0]!P_1_8.4.3 [0]!MT)),0,([0]!P_1_8.4.3 [0]!MT))</f>
        <v>#REF!</v>
      </c>
    </row>
    <row r="267" spans="1:4" x14ac:dyDescent="0.25">
      <c r="A267" s="170" t="s">
        <v>269</v>
      </c>
      <c r="B267" s="171" t="e">
        <f>IF(ISTEXT(([0]!P_1_8.4.4 [0]!Qté)),0,([0]!P_1_8.4.4 [0]!Qté))</f>
        <v>#REF!</v>
      </c>
      <c r="C267" s="172" t="e">
        <f>([0]!P_1_8.4.4 [0]!PU)</f>
        <v>#REF!</v>
      </c>
      <c r="D267" s="172" t="e">
        <f>IF(ISTEXT(([0]!P_1_8.4.4 [0]!MT)),0,([0]!P_1_8.4.4 [0]!MT))</f>
        <v>#REF!</v>
      </c>
    </row>
    <row r="268" spans="1:4" x14ac:dyDescent="0.25">
      <c r="A268" s="170" t="s">
        <v>270</v>
      </c>
      <c r="B268" s="171" t="e">
        <f>IF(ISTEXT(([0]!P_1_8.4.5 [0]!Qté)),0,([0]!P_1_8.4.5 [0]!Qté))</f>
        <v>#REF!</v>
      </c>
      <c r="C268" s="172" t="e">
        <f>([0]!P_1_8.4.5 [0]!PU)</f>
        <v>#REF!</v>
      </c>
      <c r="D268" s="172" t="e">
        <f>IF(ISTEXT(([0]!P_1_8.4.5 [0]!MT)),0,([0]!P_1_8.4.5 [0]!MT))</f>
        <v>#REF!</v>
      </c>
    </row>
    <row r="269" spans="1:4" x14ac:dyDescent="0.25">
      <c r="A269" s="170" t="s">
        <v>271</v>
      </c>
      <c r="B269" s="171" t="e">
        <f>IF(ISTEXT(([0]!P_1_8.4.6 [0]!Qté)),0,([0]!P_1_8.4.6 [0]!Qté))</f>
        <v>#REF!</v>
      </c>
      <c r="C269" s="172" t="e">
        <f>([0]!P_1_8.4.6 [0]!PU)</f>
        <v>#REF!</v>
      </c>
      <c r="D269" s="172" t="e">
        <f>IF(ISTEXT(([0]!P_1_8.4.6 [0]!MT)),0,([0]!P_1_8.4.6 [0]!MT))</f>
        <v>#REF!</v>
      </c>
    </row>
    <row r="270" spans="1:4" x14ac:dyDescent="0.25">
      <c r="A270" s="170" t="s">
        <v>272</v>
      </c>
      <c r="B270" s="171" t="e">
        <f>IF(ISTEXT(([0]!P_1_8.4.7 [0]!Qté)),0,([0]!P_1_8.4.7 [0]!Qté))</f>
        <v>#REF!</v>
      </c>
      <c r="C270" s="172" t="e">
        <f>([0]!P_1_8.4.7 [0]!PU)</f>
        <v>#REF!</v>
      </c>
      <c r="D270" s="172" t="e">
        <f>IF(ISTEXT(([0]!P_1_8.4.7 [0]!MT)),0,([0]!P_1_8.4.7 [0]!MT))</f>
        <v>#REF!</v>
      </c>
    </row>
    <row r="271" spans="1:4" x14ac:dyDescent="0.25">
      <c r="A271" s="170" t="s">
        <v>273</v>
      </c>
      <c r="B271" s="171" t="e">
        <f>IF(ISTEXT(([0]!P_1_8.4.8 [0]!Qté)),0,([0]!P_1_8.4.8 [0]!Qté))</f>
        <v>#REF!</v>
      </c>
      <c r="C271" s="172" t="e">
        <f>([0]!P_1_8.4.8 [0]!PU)</f>
        <v>#REF!</v>
      </c>
      <c r="D271" s="172" t="e">
        <f>IF(ISTEXT(([0]!P_1_8.4.8 [0]!MT)),0,([0]!P_1_8.4.8 [0]!MT))</f>
        <v>#REF!</v>
      </c>
    </row>
    <row r="272" spans="1:4" x14ac:dyDescent="0.25">
      <c r="A272" s="170" t="s">
        <v>274</v>
      </c>
      <c r="B272" s="171" t="e">
        <f>IF(ISTEXT(([0]!P_1_8.4.9 [0]!Qté)),0,([0]!P_1_8.4.9 [0]!Qté))</f>
        <v>#REF!</v>
      </c>
      <c r="C272" s="172" t="e">
        <f>([0]!P_1_8.4.9 [0]!PU)</f>
        <v>#REF!</v>
      </c>
      <c r="D272" s="172" t="e">
        <f>IF(ISTEXT(([0]!P_1_8.4.9 [0]!MT)),0,([0]!P_1_8.4.9 [0]!MT))</f>
        <v>#REF!</v>
      </c>
    </row>
    <row r="273" spans="1:4" x14ac:dyDescent="0.25">
      <c r="A273" s="170" t="s">
        <v>275</v>
      </c>
      <c r="B273" s="171" t="e">
        <f>IF(ISTEXT(([0]!P_1_8.4.10 [0]!Qté)),0,([0]!P_1_8.4.10 [0]!Qté))</f>
        <v>#REF!</v>
      </c>
      <c r="C273" s="172" t="e">
        <f>([0]!P_1_8.4.10 [0]!PU)</f>
        <v>#REF!</v>
      </c>
      <c r="D273" s="172" t="e">
        <f>IF(ISTEXT(([0]!P_1_8.4.10 [0]!MT)),0,([0]!P_1_8.4.10 [0]!MT))</f>
        <v>#REF!</v>
      </c>
    </row>
    <row r="274" spans="1:4" x14ac:dyDescent="0.25">
      <c r="A274" s="170" t="s">
        <v>276</v>
      </c>
      <c r="B274" s="171" t="e">
        <f>IF(ISTEXT(([0]!P_1_8.4.11 [0]!Qté)),0,([0]!P_1_8.4.11 [0]!Qté))</f>
        <v>#REF!</v>
      </c>
      <c r="C274" s="172" t="e">
        <f>([0]!P_1_8.4.11 [0]!PU)</f>
        <v>#REF!</v>
      </c>
      <c r="D274" s="172" t="e">
        <f>IF(ISTEXT(([0]!P_1_8.4.11 [0]!MT)),0,([0]!P_1_8.4.11 [0]!MT))</f>
        <v>#REF!</v>
      </c>
    </row>
    <row r="275" spans="1:4" x14ac:dyDescent="0.25">
      <c r="A275" s="170" t="s">
        <v>277</v>
      </c>
      <c r="B275" s="171" t="e">
        <f>IF(ISTEXT(([0]!P_1_8.5.1 [0]!Qté)),0,([0]!P_1_8.5.1 [0]!Qté))</f>
        <v>#REF!</v>
      </c>
      <c r="C275" s="172" t="e">
        <f>([0]!P_1_8.5.1 [0]!PU)</f>
        <v>#REF!</v>
      </c>
      <c r="D275" s="172" t="e">
        <f>IF(ISTEXT(([0]!P_1_8.5.1 [0]!MT)),0,([0]!P_1_8.5.1 [0]!MT))</f>
        <v>#REF!</v>
      </c>
    </row>
    <row r="276" spans="1:4" x14ac:dyDescent="0.25">
      <c r="A276" s="170" t="s">
        <v>278</v>
      </c>
      <c r="B276" s="171" t="e">
        <f>IF(ISTEXT(([0]!P_1_8.5.2 [0]!Qté)),0,([0]!P_1_8.5.2 [0]!Qté))</f>
        <v>#REF!</v>
      </c>
      <c r="C276" s="172" t="e">
        <f>([0]!P_1_8.5.2 [0]!PU)</f>
        <v>#REF!</v>
      </c>
      <c r="D276" s="172" t="e">
        <f>IF(ISTEXT(([0]!P_1_8.5.2 [0]!MT)),0,([0]!P_1_8.5.2 [0]!MT))</f>
        <v>#REF!</v>
      </c>
    </row>
    <row r="277" spans="1:4" x14ac:dyDescent="0.25">
      <c r="A277" s="170" t="s">
        <v>279</v>
      </c>
      <c r="B277" s="171" t="e">
        <f>IF(ISTEXT(([0]!P_1_8.5.3 [0]!Qté)),0,([0]!P_1_8.5.3 [0]!Qté))</f>
        <v>#REF!</v>
      </c>
      <c r="C277" s="172" t="e">
        <f>([0]!P_1_8.5.3 [0]!PU)</f>
        <v>#REF!</v>
      </c>
      <c r="D277" s="172" t="e">
        <f>IF(ISTEXT(([0]!P_1_8.5.3 [0]!MT)),0,([0]!P_1_8.5.3 [0]!MT))</f>
        <v>#REF!</v>
      </c>
    </row>
    <row r="278" spans="1:4" x14ac:dyDescent="0.25">
      <c r="A278" s="170" t="s">
        <v>280</v>
      </c>
      <c r="B278" s="171" t="e">
        <f>IF(ISTEXT(([0]!P_1_8.5.4 [0]!Qté)),0,([0]!P_1_8.5.4 [0]!Qté))</f>
        <v>#REF!</v>
      </c>
      <c r="C278" s="172" t="e">
        <f>([0]!P_1_8.5.4 [0]!PU)</f>
        <v>#REF!</v>
      </c>
      <c r="D278" s="172" t="e">
        <f>IF(ISTEXT(([0]!P_1_8.5.4 [0]!MT)),0,([0]!P_1_8.5.4 [0]!MT))</f>
        <v>#REF!</v>
      </c>
    </row>
    <row r="279" spans="1:4" x14ac:dyDescent="0.25">
      <c r="A279" s="170" t="s">
        <v>281</v>
      </c>
      <c r="B279" s="171" t="e">
        <f>IF(ISTEXT(([0]!P_1_8.5.5 [0]!Qté)),0,([0]!P_1_8.5.5 [0]!Qté))</f>
        <v>#REF!</v>
      </c>
      <c r="C279" s="172" t="e">
        <f>([0]!P_1_8.5.5 [0]!PU)</f>
        <v>#REF!</v>
      </c>
      <c r="D279" s="172" t="e">
        <f>IF(ISTEXT(([0]!P_1_8.5.5 [0]!MT)),0,([0]!P_1_8.5.5 [0]!MT))</f>
        <v>#REF!</v>
      </c>
    </row>
    <row r="280" spans="1:4" x14ac:dyDescent="0.25">
      <c r="A280" s="170" t="s">
        <v>282</v>
      </c>
      <c r="B280" s="171" t="e">
        <f>IF(ISTEXT(([0]!P_1_8.5.6 [0]!Qté)),0,([0]!P_1_8.5.6 [0]!Qté))</f>
        <v>#REF!</v>
      </c>
      <c r="C280" s="172" t="e">
        <f>([0]!P_1_8.5.6 [0]!PU)</f>
        <v>#REF!</v>
      </c>
      <c r="D280" s="172" t="e">
        <f>IF(ISTEXT(([0]!P_1_8.5.6 [0]!MT)),0,([0]!P_1_8.5.6 [0]!MT))</f>
        <v>#REF!</v>
      </c>
    </row>
    <row r="281" spans="1:4" x14ac:dyDescent="0.25">
      <c r="A281" s="170" t="s">
        <v>283</v>
      </c>
      <c r="B281" s="171" t="e">
        <f>IF(ISTEXT(([0]!P_1_8.5.7 [0]!Qté)),0,([0]!P_1_8.5.7 [0]!Qté))</f>
        <v>#REF!</v>
      </c>
      <c r="C281" s="172" t="e">
        <f>([0]!P_1_8.5.7 [0]!PU)</f>
        <v>#REF!</v>
      </c>
      <c r="D281" s="172" t="e">
        <f>IF(ISTEXT(([0]!P_1_8.5.7 [0]!MT)),0,([0]!P_1_8.5.7 [0]!MT))</f>
        <v>#REF!</v>
      </c>
    </row>
    <row r="282" spans="1:4" x14ac:dyDescent="0.25">
      <c r="A282" s="170" t="s">
        <v>284</v>
      </c>
      <c r="B282" s="171" t="e">
        <f>IF(ISTEXT(([0]!P_1_8.5.8 [0]!Qté)),0,([0]!P_1_8.5.8 [0]!Qté))</f>
        <v>#REF!</v>
      </c>
      <c r="C282" s="172" t="e">
        <f>([0]!P_1_8.5.8 [0]!PU)</f>
        <v>#REF!</v>
      </c>
      <c r="D282" s="172" t="e">
        <f>IF(ISTEXT(([0]!P_1_8.5.8 [0]!MT)),0,([0]!P_1_8.5.8 [0]!MT))</f>
        <v>#REF!</v>
      </c>
    </row>
    <row r="283" spans="1:4" x14ac:dyDescent="0.25">
      <c r="A283" s="170" t="s">
        <v>285</v>
      </c>
      <c r="B283" s="171" t="e">
        <f>IF(ISTEXT(([0]!P_1_8.5.9 [0]!Qté)),0,([0]!P_1_8.5.9 [0]!Qté))</f>
        <v>#REF!</v>
      </c>
      <c r="C283" s="172" t="e">
        <f>([0]!P_1_8.5.9 [0]!PU)</f>
        <v>#REF!</v>
      </c>
      <c r="D283" s="172" t="e">
        <f>IF(ISTEXT(([0]!P_1_8.5.9 [0]!MT)),0,([0]!P_1_8.5.9 [0]!MT))</f>
        <v>#REF!</v>
      </c>
    </row>
    <row r="284" spans="1:4" x14ac:dyDescent="0.25">
      <c r="A284" s="170" t="s">
        <v>286</v>
      </c>
      <c r="B284" s="171" t="e">
        <f>IF(ISTEXT(([0]!P_1_8.5.10 [0]!Qté)),0,([0]!P_1_8.5.10 [0]!Qté))</f>
        <v>#REF!</v>
      </c>
      <c r="C284" s="172" t="e">
        <f>([0]!P_1_8.5.10 [0]!PU)</f>
        <v>#REF!</v>
      </c>
      <c r="D284" s="172" t="e">
        <f>IF(ISTEXT(([0]!P_1_8.5.10 [0]!MT)),0,([0]!P_1_8.5.10 [0]!MT))</f>
        <v>#REF!</v>
      </c>
    </row>
    <row r="285" spans="1:4" x14ac:dyDescent="0.25">
      <c r="A285" s="170" t="s">
        <v>287</v>
      </c>
      <c r="B285" s="171" t="e">
        <f>IF(ISTEXT(([0]!P_1_8.5.11 [0]!Qté)),0,([0]!P_1_8.5.11 [0]!Qté))</f>
        <v>#REF!</v>
      </c>
      <c r="C285" s="172" t="e">
        <f>([0]!P_1_8.5.11 [0]!PU)</f>
        <v>#REF!</v>
      </c>
      <c r="D285" s="172" t="e">
        <f>IF(ISTEXT(([0]!P_1_8.5.11 [0]!MT)),0,([0]!P_1_8.5.11 [0]!MT))</f>
        <v>#REF!</v>
      </c>
    </row>
    <row r="286" spans="1:4" x14ac:dyDescent="0.25">
      <c r="A286" s="170" t="s">
        <v>288</v>
      </c>
      <c r="B286" s="171" t="e">
        <f>IF(ISTEXT(([0]!P_1_8.6.1 [0]!Qté)),0,([0]!P_1_8.6.1 [0]!Qté))</f>
        <v>#REF!</v>
      </c>
      <c r="C286" s="172" t="e">
        <f>([0]!P_1_8.6.1 [0]!PU)</f>
        <v>#REF!</v>
      </c>
      <c r="D286" s="172" t="e">
        <f>IF(ISTEXT(([0]!P_1_8.6.1 [0]!MT)),0,([0]!P_1_8.6.1 [0]!MT))</f>
        <v>#REF!</v>
      </c>
    </row>
    <row r="287" spans="1:4" x14ac:dyDescent="0.25">
      <c r="A287" s="170" t="s">
        <v>289</v>
      </c>
      <c r="B287" s="171" t="e">
        <f>IF(ISTEXT(([0]!P_1_8.6.2 [0]!Qté)),0,([0]!P_1_8.6.2 [0]!Qté))</f>
        <v>#REF!</v>
      </c>
      <c r="C287" s="172" t="e">
        <f>([0]!P_1_8.6.2 [0]!PU)</f>
        <v>#REF!</v>
      </c>
      <c r="D287" s="172" t="e">
        <f>IF(ISTEXT(([0]!P_1_8.6.2 [0]!MT)),0,([0]!P_1_8.6.2 [0]!MT))</f>
        <v>#REF!</v>
      </c>
    </row>
    <row r="288" spans="1:4" x14ac:dyDescent="0.25">
      <c r="A288" s="170" t="s">
        <v>290</v>
      </c>
      <c r="B288" s="171" t="e">
        <f>IF(ISTEXT(([0]!P_1_8.6.3 [0]!Qté)),0,([0]!P_1_8.6.3 [0]!Qté))</f>
        <v>#REF!</v>
      </c>
      <c r="C288" s="172" t="e">
        <f>([0]!P_1_8.6.3 [0]!PU)</f>
        <v>#REF!</v>
      </c>
      <c r="D288" s="172" t="e">
        <f>IF(ISTEXT(([0]!P_1_8.6.3 [0]!MT)),0,([0]!P_1_8.6.3 [0]!MT))</f>
        <v>#REF!</v>
      </c>
    </row>
    <row r="289" spans="1:4" x14ac:dyDescent="0.25">
      <c r="A289" s="170" t="s">
        <v>291</v>
      </c>
      <c r="B289" s="171" t="e">
        <f>IF(ISTEXT(([0]!P_1_8.6.4 [0]!Qté)),0,([0]!P_1_8.6.4 [0]!Qté))</f>
        <v>#REF!</v>
      </c>
      <c r="C289" s="172" t="e">
        <f>([0]!P_1_8.6.4 [0]!PU)</f>
        <v>#REF!</v>
      </c>
      <c r="D289" s="172" t="e">
        <f>IF(ISTEXT(([0]!P_1_8.6.4 [0]!MT)),0,([0]!P_1_8.6.4 [0]!MT))</f>
        <v>#REF!</v>
      </c>
    </row>
    <row r="290" spans="1:4" x14ac:dyDescent="0.25">
      <c r="A290" s="170" t="s">
        <v>292</v>
      </c>
      <c r="B290" s="171" t="e">
        <f>IF(ISTEXT(([0]!P_1_8.6.5 [0]!Qté)),0,([0]!P_1_8.6.5 [0]!Qté))</f>
        <v>#REF!</v>
      </c>
      <c r="C290" s="172" t="e">
        <f>([0]!P_1_8.6.5 [0]!PU)</f>
        <v>#REF!</v>
      </c>
      <c r="D290" s="172" t="e">
        <f>IF(ISTEXT(([0]!P_1_8.6.5 [0]!MT)),0,([0]!P_1_8.6.5 [0]!MT))</f>
        <v>#REF!</v>
      </c>
    </row>
    <row r="291" spans="1:4" x14ac:dyDescent="0.25">
      <c r="A291" s="170" t="s">
        <v>293</v>
      </c>
      <c r="B291" s="171" t="e">
        <f>IF(ISTEXT(([0]!P_1_8.6.6 [0]!Qté)),0,([0]!P_1_8.6.6 [0]!Qté))</f>
        <v>#REF!</v>
      </c>
      <c r="C291" s="172" t="e">
        <f>([0]!P_1_8.6.6 [0]!PU)</f>
        <v>#REF!</v>
      </c>
      <c r="D291" s="172" t="e">
        <f>IF(ISTEXT(([0]!P_1_8.6.6 [0]!MT)),0,([0]!P_1_8.6.6 [0]!MT))</f>
        <v>#REF!</v>
      </c>
    </row>
    <row r="292" spans="1:4" x14ac:dyDescent="0.25">
      <c r="A292" s="170" t="s">
        <v>294</v>
      </c>
      <c r="B292" s="171" t="e">
        <f>IF(ISTEXT(([0]!P_1_8.6.7 [0]!Qté)),0,([0]!P_1_8.6.7 [0]!Qté))</f>
        <v>#REF!</v>
      </c>
      <c r="C292" s="172" t="e">
        <f>([0]!P_1_8.6.7 [0]!PU)</f>
        <v>#REF!</v>
      </c>
      <c r="D292" s="172" t="e">
        <f>IF(ISTEXT(([0]!P_1_8.6.7 [0]!MT)),0,([0]!P_1_8.6.7 [0]!MT))</f>
        <v>#REF!</v>
      </c>
    </row>
    <row r="293" spans="1:4" x14ac:dyDescent="0.25">
      <c r="A293" s="170" t="s">
        <v>295</v>
      </c>
      <c r="B293" s="171" t="e">
        <f>IF(ISTEXT(([0]!P_1_8.6.8 [0]!Qté)),0,([0]!P_1_8.6.8 [0]!Qté))</f>
        <v>#REF!</v>
      </c>
      <c r="C293" s="172" t="e">
        <f>([0]!P_1_8.6.8 [0]!PU)</f>
        <v>#REF!</v>
      </c>
      <c r="D293" s="172" t="e">
        <f>IF(ISTEXT(([0]!P_1_8.6.8 [0]!MT)),0,([0]!P_1_8.6.8 [0]!MT))</f>
        <v>#REF!</v>
      </c>
    </row>
    <row r="294" spans="1:4" x14ac:dyDescent="0.25">
      <c r="A294" s="170" t="s">
        <v>296</v>
      </c>
      <c r="B294" s="171" t="e">
        <f>IF(ISTEXT(([0]!P_1_8.6.10 [0]!Qté)),0,([0]!P_1_8.6.10 [0]!Qté))</f>
        <v>#REF!</v>
      </c>
      <c r="C294" s="172" t="e">
        <f>([0]!P_1_8.6.10 [0]!PU)</f>
        <v>#REF!</v>
      </c>
      <c r="D294" s="172" t="e">
        <f>IF(ISTEXT(([0]!P_1_8.6.10 [0]!MT)),0,([0]!P_1_8.6.10 [0]!MT))</f>
        <v>#REF!</v>
      </c>
    </row>
    <row r="295" spans="1:4" x14ac:dyDescent="0.25">
      <c r="A295" s="170" t="s">
        <v>297</v>
      </c>
      <c r="B295" s="171" t="e">
        <f>IF(ISTEXT(([0]!P_1_8.6.11 [0]!Qté)),0,([0]!P_1_8.6.11 [0]!Qté))</f>
        <v>#REF!</v>
      </c>
      <c r="C295" s="172" t="e">
        <f>([0]!P_1_8.6.11 [0]!PU)</f>
        <v>#REF!</v>
      </c>
      <c r="D295" s="172" t="e">
        <f>IF(ISTEXT(([0]!P_1_8.6.11 [0]!MT)),0,([0]!P_1_8.6.11 [0]!MT))</f>
        <v>#REF!</v>
      </c>
    </row>
    <row r="296" spans="1:4" x14ac:dyDescent="0.25">
      <c r="A296" s="170" t="s">
        <v>298</v>
      </c>
      <c r="B296" s="171" t="e">
        <f>IF(ISTEXT(([0]!P_1_87.1 [0]!Qté)),0,([0]!P_1_87.1 [0]!Qté))</f>
        <v>#REF!</v>
      </c>
      <c r="C296" s="172" t="e">
        <f>([0]!P_1_87.1 [0]!PU)</f>
        <v>#REF!</v>
      </c>
      <c r="D296" s="172" t="e">
        <f>IF(ISTEXT(([0]!P_1_87.1 [0]!MT)),0,([0]!P_1_87.1 [0]!MT))</f>
        <v>#REF!</v>
      </c>
    </row>
    <row r="297" spans="1:4" x14ac:dyDescent="0.25">
      <c r="A297" s="170" t="s">
        <v>299</v>
      </c>
      <c r="B297" s="171" t="e">
        <f>IF(ISTEXT(([0]!P_1_8.7.2 [0]!Qté)),0,([0]!P_1_8.7.2 [0]!Qté))</f>
        <v>#REF!</v>
      </c>
      <c r="C297" s="172" t="e">
        <f>([0]!P_1_8.7.2 [0]!PU)</f>
        <v>#REF!</v>
      </c>
      <c r="D297" s="172" t="e">
        <f>IF(ISTEXT(([0]!P_1_8.7.2 [0]!MT)),0,([0]!P_1_8.7.2 [0]!MT))</f>
        <v>#REF!</v>
      </c>
    </row>
    <row r="298" spans="1:4" x14ac:dyDescent="0.25">
      <c r="A298" s="170" t="s">
        <v>300</v>
      </c>
      <c r="B298" s="171" t="e">
        <f>IF(ISTEXT(([0]!P_1_8.8.1 [0]!Qté)),0,([0]!P_1_8.8.1 [0]!Qté))</f>
        <v>#REF!</v>
      </c>
      <c r="C298" s="172" t="e">
        <f>([0]!P_1_8.8.1 [0]!PU)</f>
        <v>#REF!</v>
      </c>
      <c r="D298" s="172" t="e">
        <f>IF(ISTEXT(([0]!P_1_8.8.1 [0]!MT)),0,([0]!P_1_8.8.1 [0]!MT))</f>
        <v>#REF!</v>
      </c>
    </row>
    <row r="299" spans="1:4" x14ac:dyDescent="0.25">
      <c r="A299" s="170" t="s">
        <v>301</v>
      </c>
      <c r="B299" s="171" t="e">
        <f>IF(ISTEXT(([0]!P_1_8.8.2 [0]!Qté)),0,([0]!P_1_8.8.2 [0]!Qté))</f>
        <v>#REF!</v>
      </c>
      <c r="C299" s="172" t="e">
        <f>([0]!P_1_8.8.2 [0]!PU)</f>
        <v>#REF!</v>
      </c>
      <c r="D299" s="172" t="e">
        <f>IF(ISTEXT(([0]!P_1_8.8.2 [0]!MT)),0,([0]!P_1_8.8.2 [0]!MT))</f>
        <v>#REF!</v>
      </c>
    </row>
    <row r="300" spans="1:4" x14ac:dyDescent="0.25">
      <c r="A300" s="170" t="s">
        <v>302</v>
      </c>
      <c r="B300" s="171" t="e">
        <f>IF(ISTEXT(([0]!P_1_8.8.3 [0]!Qté)),0,([0]!P_1_8.8.3 [0]!Qté))</f>
        <v>#REF!</v>
      </c>
      <c r="C300" s="172" t="e">
        <f>([0]!P_1_8.8.3 [0]!PU)</f>
        <v>#REF!</v>
      </c>
      <c r="D300" s="172" t="e">
        <f>IF(ISTEXT(([0]!P_1_8.8.3 [0]!MT)),0,([0]!P_1_8.8.3 [0]!MT))</f>
        <v>#REF!</v>
      </c>
    </row>
    <row r="301" spans="1:4" x14ac:dyDescent="0.25">
      <c r="A301" s="170" t="s">
        <v>303</v>
      </c>
      <c r="B301" s="171" t="e">
        <f>IF(ISTEXT(([0]!P_1_8.8.4 [0]!Qté)),0,([0]!P_1_8.8.4 [0]!Qté))</f>
        <v>#REF!</v>
      </c>
      <c r="C301" s="172" t="e">
        <f>([0]!P_1_8.8.4 [0]!PU)</f>
        <v>#REF!</v>
      </c>
      <c r="D301" s="172" t="e">
        <f>IF(ISTEXT(([0]!P_1_8.8.4 [0]!MT)),0,([0]!P_1_8.8.4 [0]!MT))</f>
        <v>#REF!</v>
      </c>
    </row>
    <row r="302" spans="1:4" x14ac:dyDescent="0.25">
      <c r="A302" s="170" t="s">
        <v>304</v>
      </c>
      <c r="B302" s="171" t="e">
        <f>IF(ISTEXT(([0]!P_1_8.8.5 [0]!Qté)),0,([0]!P_1_8.8.5 [0]!Qté))</f>
        <v>#REF!</v>
      </c>
      <c r="C302" s="172" t="e">
        <f>([0]!P_1_8.8.5 [0]!PU)</f>
        <v>#REF!</v>
      </c>
      <c r="D302" s="172" t="e">
        <f>IF(ISTEXT(([0]!P_1_8.8.5 [0]!MT)),0,([0]!P_1_8.8.5 [0]!MT))</f>
        <v>#REF!</v>
      </c>
    </row>
    <row r="303" spans="1:4" x14ac:dyDescent="0.25">
      <c r="A303" s="170" t="s">
        <v>305</v>
      </c>
      <c r="B303" s="171" t="e">
        <f>IF(ISTEXT(([0]!P_1_8.8.6 [0]!Qté)),0,([0]!P_1_8.8.6 [0]!Qté))</f>
        <v>#REF!</v>
      </c>
      <c r="C303" s="172" t="e">
        <f>([0]!P_1_8.8.6 [0]!PU)</f>
        <v>#REF!</v>
      </c>
      <c r="D303" s="172" t="e">
        <f>IF(ISTEXT(([0]!P_1_8.8.6 [0]!MT)),0,([0]!P_1_8.8.6 [0]!MT))</f>
        <v>#REF!</v>
      </c>
    </row>
    <row r="304" spans="1:4" x14ac:dyDescent="0.25">
      <c r="A304" s="170" t="s">
        <v>306</v>
      </c>
      <c r="B304" s="171" t="e">
        <f>IF(ISTEXT(([0]!P_1_8.8.7 [0]!Qté)),0,([0]!P_1_8.8.7 [0]!Qté))</f>
        <v>#REF!</v>
      </c>
      <c r="C304" s="172" t="e">
        <f>([0]!P_1_8.8.7 [0]!PU)</f>
        <v>#REF!</v>
      </c>
      <c r="D304" s="172" t="e">
        <f>IF(ISTEXT(([0]!P_1_8.8.7 [0]!MT)),0,([0]!P_1_8.8.7 [0]!MT))</f>
        <v>#REF!</v>
      </c>
    </row>
    <row r="305" spans="1:4" x14ac:dyDescent="0.25">
      <c r="A305" s="170" t="s">
        <v>307</v>
      </c>
      <c r="B305" s="171" t="e">
        <f>IF(ISTEXT(([0]!P_1_8.9.1 [0]!Qté)),0,([0]!P_1_8.9.1 [0]!Qté))</f>
        <v>#REF!</v>
      </c>
      <c r="C305" s="172" t="e">
        <f>([0]!P_1_8.9.1 [0]!PU)</f>
        <v>#REF!</v>
      </c>
      <c r="D305" s="172" t="e">
        <f>IF(ISTEXT(([0]!P_1_8.9.1 [0]!MT)),0,([0]!P_1_8.9.1 [0]!MT))</f>
        <v>#REF!</v>
      </c>
    </row>
    <row r="306" spans="1:4" x14ac:dyDescent="0.25">
      <c r="A306" s="170" t="s">
        <v>308</v>
      </c>
      <c r="B306" s="171" t="e">
        <f>IF(ISTEXT(([0]!P_1_8.9.2 [0]!Qté)),0,([0]!P_1_8.9.2 [0]!Qté))</f>
        <v>#REF!</v>
      </c>
      <c r="C306" s="172" t="e">
        <f>([0]!P_1_8.9.2 [0]!PU)</f>
        <v>#REF!</v>
      </c>
      <c r="D306" s="172" t="e">
        <f>IF(ISTEXT(([0]!P_1_8.9.2 [0]!MT)),0,([0]!P_1_8.9.2 [0]!MT))</f>
        <v>#REF!</v>
      </c>
    </row>
    <row r="307" spans="1:4" x14ac:dyDescent="0.25">
      <c r="A307" s="170" t="s">
        <v>309</v>
      </c>
      <c r="B307" s="171" t="e">
        <f>IF(ISTEXT(([0]!P_1_8.9.3 [0]!Qté)),0,([0]!P_1_8.9.3 [0]!Qté))</f>
        <v>#REF!</v>
      </c>
      <c r="C307" s="172" t="e">
        <f>([0]!P_1_8.9.3 [0]!PU)</f>
        <v>#REF!</v>
      </c>
      <c r="D307" s="172" t="e">
        <f>IF(ISTEXT(([0]!P_1_8.9.3 [0]!MT)),0,([0]!P_1_8.9.3 [0]!MT))</f>
        <v>#REF!</v>
      </c>
    </row>
    <row r="308" spans="1:4" x14ac:dyDescent="0.25">
      <c r="A308" s="170" t="s">
        <v>310</v>
      </c>
      <c r="B308" s="171" t="e">
        <f>IF(ISTEXT(([0]!P_1_8.9.4 [0]!Qté)),0,([0]!P_1_8.9.4 [0]!Qté))</f>
        <v>#REF!</v>
      </c>
      <c r="C308" s="172" t="e">
        <f>([0]!P_1_8.9.4 [0]!PU)</f>
        <v>#REF!</v>
      </c>
      <c r="D308" s="172" t="e">
        <f>IF(ISTEXT(([0]!P_1_8.9.4 [0]!MT)),0,([0]!P_1_8.9.4 [0]!MT))</f>
        <v>#REF!</v>
      </c>
    </row>
    <row r="309" spans="1:4" x14ac:dyDescent="0.25">
      <c r="A309" s="170" t="s">
        <v>311</v>
      </c>
      <c r="B309" s="171" t="e">
        <f>IF(ISTEXT(([0]!P_1_8.9.5 [0]!Qté)),0,([0]!P_1_8.9.5 [0]!Qté))</f>
        <v>#REF!</v>
      </c>
      <c r="C309" s="172" t="e">
        <f>([0]!P_1_8.9.5 [0]!PU)</f>
        <v>#REF!</v>
      </c>
      <c r="D309" s="172" t="e">
        <f>IF(ISTEXT(([0]!P_1_8.9.5 [0]!MT)),0,([0]!P_1_8.9.5 [0]!MT))</f>
        <v>#REF!</v>
      </c>
    </row>
    <row r="310" spans="1:4" x14ac:dyDescent="0.25">
      <c r="A310" s="170" t="s">
        <v>312</v>
      </c>
      <c r="B310" s="171" t="e">
        <f>IF(ISTEXT(([0]!P_1_8.9.6 [0]!Qté)),0,([0]!P_1_8.9.6 [0]!Qté))</f>
        <v>#REF!</v>
      </c>
      <c r="C310" s="172" t="e">
        <f>([0]!P_1_8.9.6 [0]!PU)</f>
        <v>#REF!</v>
      </c>
      <c r="D310" s="172" t="e">
        <f>IF(ISTEXT(([0]!P_1_8.9.6 [0]!MT)),0,([0]!P_1_8.9.6 [0]!MT))</f>
        <v>#REF!</v>
      </c>
    </row>
    <row r="311" spans="1:4" x14ac:dyDescent="0.25">
      <c r="A311" s="170" t="s">
        <v>313</v>
      </c>
      <c r="B311" s="171" t="e">
        <f>IF(ISTEXT(([0]!P_1_8.9.7 [0]!Qté)),0,([0]!P_1_8.9.7 [0]!Qté))</f>
        <v>#REF!</v>
      </c>
      <c r="C311" s="172" t="e">
        <f>([0]!P_1_8.9.7 [0]!PU)</f>
        <v>#REF!</v>
      </c>
      <c r="D311" s="172" t="e">
        <f>IF(ISTEXT(([0]!P_1_8.9.7 [0]!MT)),0,([0]!P_1_8.9.7 [0]!MT))</f>
        <v>#REF!</v>
      </c>
    </row>
    <row r="312" spans="1:4" x14ac:dyDescent="0.25">
      <c r="A312" s="170" t="s">
        <v>314</v>
      </c>
      <c r="B312" s="171" t="e">
        <f>IF(ISTEXT(([0]!P_1_8.9.8 [0]!Qté)),0,([0]!P_1_8.9.8 [0]!Qté))</f>
        <v>#REF!</v>
      </c>
      <c r="C312" s="172" t="e">
        <f>([0]!P_1_8.9.8 [0]!PU)</f>
        <v>#REF!</v>
      </c>
      <c r="D312" s="172" t="e">
        <f>IF(ISTEXT(([0]!P_1_8.9.8 [0]!MT)),0,([0]!P_1_8.9.8 [0]!MT))</f>
        <v>#REF!</v>
      </c>
    </row>
    <row r="313" spans="1:4" x14ac:dyDescent="0.25">
      <c r="A313" s="170" t="s">
        <v>315</v>
      </c>
      <c r="B313" s="171" t="e">
        <f>IF(ISTEXT(([0]!P_1_8.9.9 [0]!Qté)),0,([0]!P_1_8.9.9 [0]!Qté))</f>
        <v>#REF!</v>
      </c>
      <c r="C313" s="172" t="e">
        <f>([0]!P_1_8.9.9 [0]!PU)</f>
        <v>#REF!</v>
      </c>
      <c r="D313" s="172" t="e">
        <f>IF(ISTEXT(([0]!P_1_8.9.9 [0]!MT)),0,([0]!P_1_8.9.9 [0]!MT))</f>
        <v>#REF!</v>
      </c>
    </row>
    <row r="314" spans="1:4" x14ac:dyDescent="0.25">
      <c r="A314" s="170" t="s">
        <v>316</v>
      </c>
      <c r="B314" s="171" t="e">
        <f>IF(ISTEXT(([0]!P_1_8.9.10 [0]!Qté)),0,([0]!P_1_8.9.10 [0]!Qté))</f>
        <v>#REF!</v>
      </c>
      <c r="C314" s="172" t="e">
        <f>([0]!P_1_8.9.10 [0]!PU)</f>
        <v>#REF!</v>
      </c>
      <c r="D314" s="172" t="e">
        <f>IF(ISTEXT(([0]!P_1_8.9.10 [0]!MT)),0,([0]!P_1_8.9.10 [0]!MT))</f>
        <v>#REF!</v>
      </c>
    </row>
    <row r="315" spans="1:4" x14ac:dyDescent="0.25">
      <c r="A315" s="170" t="s">
        <v>317</v>
      </c>
      <c r="B315" s="171" t="e">
        <f>IF(ISTEXT(([0]!P_1_8.9.11 [0]!Qté)),0,([0]!P_1_8.9.11 [0]!Qté))</f>
        <v>#REF!</v>
      </c>
      <c r="C315" s="172" t="e">
        <f>([0]!P_1_8.9.11 [0]!PU)</f>
        <v>#REF!</v>
      </c>
      <c r="D315" s="172" t="e">
        <f>IF(ISTEXT(([0]!P_1_8.9.11 [0]!MT)),0,([0]!P_1_8.9.11 [0]!MT))</f>
        <v>#REF!</v>
      </c>
    </row>
    <row r="316" spans="1:4" x14ac:dyDescent="0.25">
      <c r="A316" s="170" t="s">
        <v>318</v>
      </c>
      <c r="B316" s="171" t="e">
        <f>IF(ISTEXT(([0]!P_1_8.9.12 [0]!Qté)),0,([0]!P_1_8.9.12 [0]!Qté))</f>
        <v>#REF!</v>
      </c>
      <c r="C316" s="172" t="e">
        <f>([0]!P_1_8.9.12 [0]!PU)</f>
        <v>#REF!</v>
      </c>
      <c r="D316" s="172" t="e">
        <f>IF(ISTEXT(([0]!P_1_8.9.12 [0]!MT)),0,([0]!P_1_8.9.12 [0]!MT))</f>
        <v>#REF!</v>
      </c>
    </row>
    <row r="317" spans="1:4" x14ac:dyDescent="0.25">
      <c r="A317" s="170" t="s">
        <v>319</v>
      </c>
      <c r="B317" s="171" t="e">
        <f>IF(ISTEXT(([0]!P_1_8.10.1 [0]!Qté)),0,([0]!P_1_8.10.1 [0]!Qté))</f>
        <v>#REF!</v>
      </c>
      <c r="C317" s="172" t="e">
        <f>([0]!P_1_8.10.1 [0]!PU)</f>
        <v>#REF!</v>
      </c>
      <c r="D317" s="172" t="e">
        <f>IF(ISTEXT(([0]!P_1_8.10.1 [0]!MT)),0,([0]!P_1_8.10.1 [0]!MT))</f>
        <v>#REF!</v>
      </c>
    </row>
    <row r="318" spans="1:4" x14ac:dyDescent="0.25">
      <c r="A318" s="170" t="s">
        <v>320</v>
      </c>
      <c r="B318" s="171" t="e">
        <f>IF(ISTEXT(([0]!P_1_8.10.2 [0]!Qté)),0,([0]!P_1_8.10.2 [0]!Qté))</f>
        <v>#REF!</v>
      </c>
      <c r="C318" s="172" t="e">
        <f>([0]!P_1_8.10.2 [0]!PU)</f>
        <v>#REF!</v>
      </c>
      <c r="D318" s="172" t="e">
        <f>IF(ISTEXT(([0]!P_1_8.10.2 [0]!MT)),0,([0]!P_1_8.10.2 [0]!MT))</f>
        <v>#REF!</v>
      </c>
    </row>
    <row r="319" spans="1:4" x14ac:dyDescent="0.25">
      <c r="A319" s="170" t="s">
        <v>321</v>
      </c>
      <c r="B319" s="171" t="e">
        <f>IF(ISTEXT(([0]!P_1_8.10.3 [0]!Qté)),0,([0]!P_1_8.10.3 [0]!Qté))</f>
        <v>#REF!</v>
      </c>
      <c r="C319" s="172" t="e">
        <f>([0]!P_1_8.10.3 [0]!PU)</f>
        <v>#REF!</v>
      </c>
      <c r="D319" s="172" t="e">
        <f>IF(ISTEXT(([0]!P_1_8.10.3 [0]!MT)),0,([0]!P_1_8.10.3 [0]!MT))</f>
        <v>#REF!</v>
      </c>
    </row>
    <row r="320" spans="1:4" x14ac:dyDescent="0.25">
      <c r="A320" s="170" t="s">
        <v>322</v>
      </c>
      <c r="B320" s="171" t="e">
        <f>IF(ISTEXT(([0]!P_1_8.10.4 [0]!Qté)),0,([0]!P_1_8.10.4 [0]!Qté))</f>
        <v>#REF!</v>
      </c>
      <c r="C320" s="172" t="e">
        <f>([0]!P_1_8.10.4 [0]!PU)</f>
        <v>#REF!</v>
      </c>
      <c r="D320" s="172" t="e">
        <f>IF(ISTEXT(([0]!P_1_8.10.4 [0]!MT)),0,([0]!P_1_8.10.4 [0]!MT))</f>
        <v>#REF!</v>
      </c>
    </row>
    <row r="321" spans="1:4" x14ac:dyDescent="0.25">
      <c r="A321" s="170" t="s">
        <v>323</v>
      </c>
      <c r="B321" s="171" t="e">
        <f>IF(ISTEXT(([0]!P_1_8.10.5 [0]!Qté)),0,([0]!P_1_8.10.5 [0]!Qté))</f>
        <v>#REF!</v>
      </c>
      <c r="C321" s="172" t="e">
        <f>([0]!P_1_8.10.5 [0]!PU)</f>
        <v>#REF!</v>
      </c>
      <c r="D321" s="172" t="e">
        <f>IF(ISTEXT(([0]!P_1_8.10.5 [0]!MT)),0,([0]!P_1_8.10.5 [0]!MT))</f>
        <v>#REF!</v>
      </c>
    </row>
    <row r="322" spans="1:4" x14ac:dyDescent="0.25">
      <c r="A322" s="170" t="s">
        <v>324</v>
      </c>
      <c r="B322" s="171" t="e">
        <f>IF(ISTEXT(([0]!P_1_8.10.6 [0]!Qté)),0,([0]!P_1_8.10.6 [0]!Qté))</f>
        <v>#REF!</v>
      </c>
      <c r="C322" s="172" t="e">
        <f>([0]!P_1_8.10.6 [0]!PU)</f>
        <v>#REF!</v>
      </c>
      <c r="D322" s="172" t="e">
        <f>IF(ISTEXT(([0]!P_1_8.10.6 [0]!MT)),0,([0]!P_1_8.10.6 [0]!MT))</f>
        <v>#REF!</v>
      </c>
    </row>
    <row r="323" spans="1:4" x14ac:dyDescent="0.25">
      <c r="A323" s="170" t="s">
        <v>325</v>
      </c>
      <c r="B323" s="171" t="e">
        <f>IF(ISTEXT(([0]!P_1_8.10.7 [0]!Qté)),0,([0]!P_1_8.10.7 [0]!Qté))</f>
        <v>#REF!</v>
      </c>
      <c r="C323" s="172" t="e">
        <f>([0]!P_1_8.10.7 [0]!PU)</f>
        <v>#REF!</v>
      </c>
      <c r="D323" s="172" t="e">
        <f>IF(ISTEXT(([0]!P_1_8.10.7 [0]!MT)),0,([0]!P_1_8.10.7 [0]!MT))</f>
        <v>#REF!</v>
      </c>
    </row>
    <row r="324" spans="1:4" x14ac:dyDescent="0.25">
      <c r="A324" s="170" t="s">
        <v>326</v>
      </c>
      <c r="B324" s="171" t="e">
        <f>IF(ISTEXT(([0]!P_1_8.10.8 [0]!Qté)),0,([0]!P_1_8.10.8 [0]!Qté))</f>
        <v>#REF!</v>
      </c>
      <c r="C324" s="172" t="e">
        <f>([0]!P_1_8.10.8 [0]!PU)</f>
        <v>#REF!</v>
      </c>
      <c r="D324" s="172" t="e">
        <f>IF(ISTEXT(([0]!P_1_8.10.8 [0]!MT)),0,([0]!P_1_8.10.8 [0]!MT))</f>
        <v>#REF!</v>
      </c>
    </row>
    <row r="325" spans="1:4" x14ac:dyDescent="0.25">
      <c r="A325" s="170" t="s">
        <v>327</v>
      </c>
      <c r="B325" s="171" t="e">
        <f>IF(ISTEXT(([0]!P_1_8.10.9 [0]!Qté)),0,([0]!P_1_8.10.9 [0]!Qté))</f>
        <v>#REF!</v>
      </c>
      <c r="C325" s="172" t="e">
        <f>([0]!P_1_8.10.9 [0]!PU)</f>
        <v>#REF!</v>
      </c>
      <c r="D325" s="172" t="e">
        <f>IF(ISTEXT(([0]!P_1_8.10.9 [0]!MT)),0,([0]!P_1_8.10.9 [0]!MT))</f>
        <v>#REF!</v>
      </c>
    </row>
    <row r="326" spans="1:4" x14ac:dyDescent="0.25">
      <c r="A326" s="170" t="s">
        <v>328</v>
      </c>
      <c r="B326" s="171" t="e">
        <f>IF(ISTEXT(([0]!P_1_8.10.10 [0]!Qté)),0,([0]!P_1_8.10.10 [0]!Qté))</f>
        <v>#REF!</v>
      </c>
      <c r="C326" s="172" t="e">
        <f>([0]!P_1_8.10.10 [0]!PU)</f>
        <v>#REF!</v>
      </c>
      <c r="D326" s="172" t="e">
        <f>IF(ISTEXT(([0]!P_1_8.10.10 [0]!MT)),0,([0]!P_1_8.10.10 [0]!MT))</f>
        <v>#REF!</v>
      </c>
    </row>
    <row r="327" spans="1:4" x14ac:dyDescent="0.25">
      <c r="A327" s="170" t="s">
        <v>329</v>
      </c>
      <c r="B327" s="171" t="e">
        <f>IF(ISTEXT(([0]!P_1_8.10.11 [0]!Qté)),0,([0]!P_1_8.10.11 [0]!Qté))</f>
        <v>#REF!</v>
      </c>
      <c r="C327" s="172" t="e">
        <f>([0]!P_1_8.10.11 [0]!PU)</f>
        <v>#REF!</v>
      </c>
      <c r="D327" s="172" t="e">
        <f>IF(ISTEXT(([0]!P_1_8.10.11 [0]!MT)),0,([0]!P_1_8.10.11 [0]!MT))</f>
        <v>#REF!</v>
      </c>
    </row>
    <row r="328" spans="1:4" x14ac:dyDescent="0.25">
      <c r="A328" s="170" t="s">
        <v>330</v>
      </c>
      <c r="B328" s="171" t="e">
        <f>IF(ISTEXT(([0]!P_1_8.10.12 [0]!Qté)),0,([0]!P_1_8.10.12 [0]!Qté))</f>
        <v>#REF!</v>
      </c>
      <c r="C328" s="172" t="e">
        <f>([0]!P_1_8.10.12 [0]!PU)</f>
        <v>#REF!</v>
      </c>
      <c r="D328" s="172" t="e">
        <f>IF(ISTEXT(([0]!P_1_8.10.12 [0]!MT)),0,([0]!P_1_8.10.12 [0]!MT))</f>
        <v>#REF!</v>
      </c>
    </row>
    <row r="329" spans="1:4" x14ac:dyDescent="0.25">
      <c r="A329" s="170" t="s">
        <v>331</v>
      </c>
      <c r="B329" s="171" t="e">
        <f>IF(ISTEXT(([0]!P_1_8.11.1 [0]!Qté)),0,([0]!P_1_8.11.1 [0]!Qté))</f>
        <v>#REF!</v>
      </c>
      <c r="C329" s="172" t="e">
        <f>([0]!P_1_8.11.1 [0]!PU)</f>
        <v>#REF!</v>
      </c>
      <c r="D329" s="172" t="e">
        <f>IF(ISTEXT(([0]!P_1_8.11.1 [0]!MT)),0,([0]!P_1_8.11.1 [0]!MT))</f>
        <v>#REF!</v>
      </c>
    </row>
    <row r="330" spans="1:4" x14ac:dyDescent="0.25">
      <c r="A330" s="170" t="s">
        <v>332</v>
      </c>
      <c r="B330" s="171" t="e">
        <f>IF(ISTEXT(([0]!P_1_8.11.2 [0]!Qté)),0,([0]!P_1_8.11.2 [0]!Qté))</f>
        <v>#REF!</v>
      </c>
      <c r="C330" s="172" t="e">
        <f>([0]!P_1_8.11.2 [0]!PU)</f>
        <v>#REF!</v>
      </c>
      <c r="D330" s="172" t="e">
        <f>IF(ISTEXT(([0]!P_1_8.11.2 [0]!MT)),0,([0]!P_1_8.11.2 [0]!MT))</f>
        <v>#REF!</v>
      </c>
    </row>
    <row r="331" spans="1:4" x14ac:dyDescent="0.25">
      <c r="A331" s="170" t="s">
        <v>333</v>
      </c>
      <c r="B331" s="171" t="e">
        <f>IF(ISTEXT(([0]!P_1_8.11.3 [0]!Qté)),0,([0]!P_1_8.11.3 [0]!Qté))</f>
        <v>#REF!</v>
      </c>
      <c r="C331" s="172" t="e">
        <f>([0]!P_1_8.11.3 [0]!PU)</f>
        <v>#REF!</v>
      </c>
      <c r="D331" s="172" t="e">
        <f>IF(ISTEXT(([0]!P_1_8.11.3 [0]!MT)),0,([0]!P_1_8.11.3 [0]!MT))</f>
        <v>#REF!</v>
      </c>
    </row>
    <row r="332" spans="1:4" x14ac:dyDescent="0.25">
      <c r="A332" s="170" t="s">
        <v>334</v>
      </c>
      <c r="B332" s="171" t="e">
        <f>IF(ISTEXT(([0]!P_1_8.11.4 [0]!Qté)),0,([0]!P_1_8.11.4 [0]!Qté))</f>
        <v>#REF!</v>
      </c>
      <c r="C332" s="172" t="e">
        <f>([0]!P_1_8.11.4 [0]!PU)</f>
        <v>#REF!</v>
      </c>
      <c r="D332" s="172" t="e">
        <f>IF(ISTEXT(([0]!P_1_8.11.4 [0]!MT)),0,([0]!P_1_8.11.4 [0]!MT))</f>
        <v>#REF!</v>
      </c>
    </row>
    <row r="333" spans="1:4" x14ac:dyDescent="0.25">
      <c r="A333" s="170" t="s">
        <v>335</v>
      </c>
      <c r="B333" s="171" t="e">
        <f>IF(ISTEXT(([0]!P_1_8.11.5 [0]!Qté)),0,([0]!P_1_8.11.5 [0]!Qté))</f>
        <v>#REF!</v>
      </c>
      <c r="C333" s="172" t="e">
        <f>([0]!P_1_8.11.5 [0]!PU)</f>
        <v>#REF!</v>
      </c>
      <c r="D333" s="172" t="e">
        <f>IF(ISTEXT(([0]!P_1_8.11.5 [0]!MT)),0,([0]!P_1_8.11.5 [0]!MT))</f>
        <v>#REF!</v>
      </c>
    </row>
    <row r="334" spans="1:4" x14ac:dyDescent="0.25">
      <c r="A334" s="170" t="s">
        <v>336</v>
      </c>
      <c r="B334" s="171" t="e">
        <f>IF(ISTEXT(([0]!P_1_8.11.6 [0]!Qté)),0,([0]!P_1_8.11.6 [0]!Qté))</f>
        <v>#REF!</v>
      </c>
      <c r="C334" s="172" t="e">
        <f>([0]!P_1_8.11.6 [0]!PU)</f>
        <v>#REF!</v>
      </c>
      <c r="D334" s="172" t="e">
        <f>IF(ISTEXT(([0]!P_1_8.11.6 [0]!MT)),0,([0]!P_1_8.11.6 [0]!MT))</f>
        <v>#REF!</v>
      </c>
    </row>
    <row r="335" spans="1:4" x14ac:dyDescent="0.25">
      <c r="A335" s="170" t="s">
        <v>337</v>
      </c>
      <c r="B335" s="171" t="e">
        <f>IF(ISTEXT(([0]!P_1_8.11.7 [0]!Qté)),0,([0]!P_1_8.11.7 [0]!Qté))</f>
        <v>#REF!</v>
      </c>
      <c r="C335" s="172" t="e">
        <f>([0]!P_1_8.11.7 [0]!PU)</f>
        <v>#REF!</v>
      </c>
      <c r="D335" s="172" t="e">
        <f>IF(ISTEXT(([0]!P_1_8.11.7 [0]!MT)),0,([0]!P_1_8.11.7 [0]!MT))</f>
        <v>#REF!</v>
      </c>
    </row>
    <row r="336" spans="1:4" x14ac:dyDescent="0.25">
      <c r="A336" s="170" t="s">
        <v>338</v>
      </c>
      <c r="B336" s="171" t="e">
        <f>IF(ISTEXT(([0]!P_1_8.11.8 [0]!Qté)),0,([0]!P_1_8.11.8 [0]!Qté))</f>
        <v>#REF!</v>
      </c>
      <c r="C336" s="172" t="e">
        <f>([0]!P_1_8.11.8 [0]!PU)</f>
        <v>#REF!</v>
      </c>
      <c r="D336" s="172" t="e">
        <f>IF(ISTEXT(([0]!P_1_8.11.8 [0]!MT)),0,([0]!P_1_8.11.8 [0]!MT))</f>
        <v>#REF!</v>
      </c>
    </row>
    <row r="337" spans="1:4" x14ac:dyDescent="0.25">
      <c r="A337" s="170" t="s">
        <v>339</v>
      </c>
      <c r="B337" s="171" t="e">
        <f>IF(ISTEXT(([0]!P_1_8.11.9 [0]!Qté)),0,([0]!P_1_8.11.9 [0]!Qté))</f>
        <v>#REF!</v>
      </c>
      <c r="C337" s="172" t="e">
        <f>([0]!P_1_8.11.9 [0]!PU)</f>
        <v>#REF!</v>
      </c>
      <c r="D337" s="172" t="e">
        <f>IF(ISTEXT(([0]!P_1_8.11.9 [0]!MT)),0,([0]!P_1_8.11.9 [0]!MT))</f>
        <v>#REF!</v>
      </c>
    </row>
    <row r="338" spans="1:4" x14ac:dyDescent="0.25">
      <c r="A338" s="170" t="s">
        <v>340</v>
      </c>
      <c r="B338" s="171" t="e">
        <f>IF(ISTEXT(([0]!P_1_8.11.10 [0]!Qté)),0,([0]!P_1_8.11.10 [0]!Qté))</f>
        <v>#REF!</v>
      </c>
      <c r="C338" s="172" t="e">
        <f>([0]!P_1_8.11.10 [0]!PU)</f>
        <v>#REF!</v>
      </c>
      <c r="D338" s="172" t="e">
        <f>IF(ISTEXT(([0]!P_1_8.11.10 [0]!MT)),0,([0]!P_1_8.11.10 [0]!MT))</f>
        <v>#REF!</v>
      </c>
    </row>
    <row r="339" spans="1:4" x14ac:dyDescent="0.25">
      <c r="A339" s="170" t="s">
        <v>341</v>
      </c>
      <c r="B339" s="171" t="e">
        <f>IF(ISTEXT(([0]!P_1_8.11.11 [0]!Qté)),0,([0]!P_1_8.11.11 [0]!Qté))</f>
        <v>#REF!</v>
      </c>
      <c r="C339" s="172" t="e">
        <f>([0]!P_1_8.11.11 [0]!PU)</f>
        <v>#REF!</v>
      </c>
      <c r="D339" s="172" t="e">
        <f>IF(ISTEXT(([0]!P_1_8.11.11 [0]!MT)),0,([0]!P_1_8.11.11 [0]!MT))</f>
        <v>#REF!</v>
      </c>
    </row>
    <row r="340" spans="1:4" x14ac:dyDescent="0.25">
      <c r="A340" s="170" t="s">
        <v>342</v>
      </c>
      <c r="B340" s="171" t="e">
        <f>IF(ISTEXT(([0]!P_1_8.11.12 [0]!Qté)),0,([0]!P_1_8.11.12 [0]!Qté))</f>
        <v>#REF!</v>
      </c>
      <c r="C340" s="172" t="e">
        <f>([0]!P_1_8.11.12 [0]!PU)</f>
        <v>#REF!</v>
      </c>
      <c r="D340" s="172" t="e">
        <f>IF(ISTEXT(([0]!P_1_8.11.12 [0]!MT)),0,([0]!P_1_8.11.12 [0]!MT))</f>
        <v>#REF!</v>
      </c>
    </row>
    <row r="341" spans="1:4" x14ac:dyDescent="0.25">
      <c r="A341" s="170" t="s">
        <v>343</v>
      </c>
      <c r="B341" s="171" t="e">
        <f>IF(ISTEXT(([0]!P_1_8.12.1 [0]!Qté)),0,([0]!P_1_8.12.1 [0]!Qté))</f>
        <v>#REF!</v>
      </c>
      <c r="C341" s="172" t="e">
        <f>([0]!P_1_8.12.1 [0]!PU)</f>
        <v>#REF!</v>
      </c>
      <c r="D341" s="172" t="e">
        <f>IF(ISTEXT(([0]!P_1_8.12.1 [0]!MT)),0,([0]!P_1_8.12.1 [0]!MT))</f>
        <v>#REF!</v>
      </c>
    </row>
    <row r="342" spans="1:4" x14ac:dyDescent="0.25">
      <c r="A342" s="170" t="s">
        <v>344</v>
      </c>
      <c r="B342" s="171" t="e">
        <f>IF(ISTEXT(([0]!P_1_8.12.2 [0]!Qté)),0,([0]!P_1_8.12.2 [0]!Qté))</f>
        <v>#REF!</v>
      </c>
      <c r="C342" s="172" t="e">
        <f>([0]!P_1_8.12.2 [0]!PU)</f>
        <v>#REF!</v>
      </c>
      <c r="D342" s="172" t="e">
        <f>IF(ISTEXT(([0]!P_1_8.12.2 [0]!MT)),0,([0]!P_1_8.12.2 [0]!MT))</f>
        <v>#REF!</v>
      </c>
    </row>
    <row r="343" spans="1:4" x14ac:dyDescent="0.25">
      <c r="A343" s="170" t="s">
        <v>345</v>
      </c>
      <c r="B343" s="171" t="e">
        <f>IF(ISTEXT(([0]!P_1_8.12.3 [0]!Qté)),0,([0]!P_1_8.12.3 [0]!Qté))</f>
        <v>#REF!</v>
      </c>
      <c r="C343" s="172" t="e">
        <f>([0]!P_1_8.12.3 [0]!PU)</f>
        <v>#REF!</v>
      </c>
      <c r="D343" s="172" t="e">
        <f>IF(ISTEXT(([0]!P_1_8.12.3 [0]!MT)),0,([0]!P_1_8.12.3 [0]!MT))</f>
        <v>#REF!</v>
      </c>
    </row>
    <row r="344" spans="1:4" x14ac:dyDescent="0.25">
      <c r="A344" s="170" t="s">
        <v>346</v>
      </c>
      <c r="B344" s="171" t="e">
        <f>IF(ISTEXT(([0]!P_1_8.12.4 [0]!Qté)),0,([0]!P_1_8.12.4 [0]!Qté))</f>
        <v>#REF!</v>
      </c>
      <c r="C344" s="172" t="e">
        <f>([0]!P_1_8.12.4 [0]!PU)</f>
        <v>#REF!</v>
      </c>
      <c r="D344" s="172" t="e">
        <f>IF(ISTEXT(([0]!P_1_8.12.4 [0]!MT)),0,([0]!P_1_8.12.4 [0]!MT))</f>
        <v>#REF!</v>
      </c>
    </row>
    <row r="345" spans="1:4" x14ac:dyDescent="0.25">
      <c r="A345" s="170" t="s">
        <v>347</v>
      </c>
      <c r="B345" s="171" t="e">
        <f>IF(ISTEXT(([0]!P_1_8.13.1 [0]!Qté)),0,([0]!P_1_8.13.1 [0]!Qté))</f>
        <v>#REF!</v>
      </c>
      <c r="C345" s="172" t="e">
        <f>([0]!P_1_8.13.1 [0]!PU)</f>
        <v>#REF!</v>
      </c>
      <c r="D345" s="172" t="e">
        <f>IF(ISTEXT(([0]!P_1_8.13.1 [0]!MT)),0,([0]!P_1_8.13.1 [0]!MT))</f>
        <v>#REF!</v>
      </c>
    </row>
    <row r="346" spans="1:4" x14ac:dyDescent="0.25">
      <c r="A346" s="170" t="s">
        <v>348</v>
      </c>
      <c r="B346" s="171" t="e">
        <f>IF(ISTEXT(([0]!P_1_8.13.2 [0]!Qté)),0,([0]!P_1_8.13.2 [0]!Qté))</f>
        <v>#REF!</v>
      </c>
      <c r="C346" s="172" t="e">
        <f>([0]!P_1_8.13.2 [0]!PU)</f>
        <v>#REF!</v>
      </c>
      <c r="D346" s="172" t="e">
        <f>IF(ISTEXT(([0]!P_1_8.13.2 [0]!MT)),0,([0]!P_1_8.13.2 [0]!MT))</f>
        <v>#REF!</v>
      </c>
    </row>
    <row r="347" spans="1:4" x14ac:dyDescent="0.25">
      <c r="A347" s="170" t="s">
        <v>349</v>
      </c>
      <c r="B347" s="171" t="e">
        <f>IF(ISTEXT(([0]!P_1_8.13.3 [0]!Qté)),0,([0]!P_1_8.13.3 [0]!Qté))</f>
        <v>#REF!</v>
      </c>
      <c r="C347" s="172" t="e">
        <f>([0]!P_1_8.13.3 [0]!PU)</f>
        <v>#REF!</v>
      </c>
      <c r="D347" s="172" t="e">
        <f>IF(ISTEXT(([0]!P_1_8.13.3 [0]!MT)),0,([0]!P_1_8.13.3 [0]!MT))</f>
        <v>#REF!</v>
      </c>
    </row>
    <row r="348" spans="1:4" x14ac:dyDescent="0.25">
      <c r="A348" s="170" t="s">
        <v>350</v>
      </c>
      <c r="B348" s="171" t="e">
        <f>IF(ISTEXT(([0]!P_1_8.13.4 [0]!Qté)),0,([0]!P_1_8.13.4 [0]!Qté))</f>
        <v>#REF!</v>
      </c>
      <c r="C348" s="172" t="e">
        <f>([0]!P_1_8.13.4 [0]!PU)</f>
        <v>#REF!</v>
      </c>
      <c r="D348" s="172" t="e">
        <f>IF(ISTEXT(([0]!P_1_8.13.4 [0]!MT)),0,([0]!P_1_8.13.4 [0]!MT))</f>
        <v>#REF!</v>
      </c>
    </row>
    <row r="349" spans="1:4" x14ac:dyDescent="0.25">
      <c r="A349" s="170" t="s">
        <v>351</v>
      </c>
      <c r="B349" s="171" t="e">
        <f>IF(ISTEXT(([0]!P_1_8.14.1 [0]!Qté)),0,([0]!P_1_8.14.1 [0]!Qté))</f>
        <v>#REF!</v>
      </c>
      <c r="C349" s="172" t="e">
        <f>([0]!P_1_8.14.1 [0]!PU)</f>
        <v>#REF!</v>
      </c>
      <c r="D349" s="172" t="e">
        <f>IF(ISTEXT(([0]!P_1_8.14.1 [0]!MT)),0,([0]!P_1_8.14.1 [0]!MT))</f>
        <v>#REF!</v>
      </c>
    </row>
    <row r="350" spans="1:4" x14ac:dyDescent="0.25">
      <c r="A350" s="170" t="s">
        <v>352</v>
      </c>
      <c r="B350" s="171" t="e">
        <f>IF(ISTEXT(([0]!P_1_8.14.2 [0]!Qté)),0,([0]!P_1_8.14.2 [0]!Qté))</f>
        <v>#REF!</v>
      </c>
      <c r="C350" s="172" t="e">
        <f>([0]!P_1_8.14.2 [0]!PU)</f>
        <v>#REF!</v>
      </c>
      <c r="D350" s="172" t="e">
        <f>IF(ISTEXT(([0]!P_1_8.14.2 [0]!MT)),0,([0]!P_1_8.14.2 [0]!MT))</f>
        <v>#REF!</v>
      </c>
    </row>
    <row r="351" spans="1:4" x14ac:dyDescent="0.25">
      <c r="A351" s="170" t="s">
        <v>353</v>
      </c>
      <c r="B351" s="171" t="e">
        <f>IF(ISTEXT(([0]!P_1_8.14.3 [0]!Qté)),0,([0]!P_1_8.14.3 [0]!Qté))</f>
        <v>#REF!</v>
      </c>
      <c r="C351" s="172" t="e">
        <f>([0]!P_1_8.14.3 [0]!PU)</f>
        <v>#REF!</v>
      </c>
      <c r="D351" s="172" t="e">
        <f>IF(ISTEXT(([0]!P_1_8.14.3 [0]!MT)),0,([0]!P_1_8.14.3 [0]!MT))</f>
        <v>#REF!</v>
      </c>
    </row>
    <row r="352" spans="1:4" x14ac:dyDescent="0.25">
      <c r="A352" s="170" t="s">
        <v>354</v>
      </c>
      <c r="B352" s="171" t="e">
        <f>IF(ISTEXT(([0]!P_1_8.14.4 [0]!Qté)),0,([0]!P_1_8.14.4 [0]!Qté))</f>
        <v>#REF!</v>
      </c>
      <c r="C352" s="172" t="e">
        <f>([0]!P_1_8.14.4 [0]!PU)</f>
        <v>#REF!</v>
      </c>
      <c r="D352" s="172" t="e">
        <f>IF(ISTEXT(([0]!P_1_8.14.4 [0]!MT)),0,([0]!P_1_8.14.4 [0]!MT))</f>
        <v>#REF!</v>
      </c>
    </row>
    <row r="353" spans="1:4" x14ac:dyDescent="0.25">
      <c r="A353" s="170" t="s">
        <v>355</v>
      </c>
      <c r="B353" s="171" t="e">
        <f>IF(ISTEXT(([0]!P_1_8.15.1 [0]!Qté)),0,([0]!P_1_8.15.1 [0]!Qté))</f>
        <v>#REF!</v>
      </c>
      <c r="C353" s="172" t="e">
        <f>([0]!P_1_8.15.1 [0]!PU)</f>
        <v>#REF!</v>
      </c>
      <c r="D353" s="172" t="e">
        <f>IF(ISTEXT(([0]!P_1_8.15.1 [0]!MT)),0,([0]!P_1_8.15.1 [0]!MT))</f>
        <v>#REF!</v>
      </c>
    </row>
    <row r="354" spans="1:4" x14ac:dyDescent="0.25">
      <c r="A354" s="170" t="s">
        <v>356</v>
      </c>
      <c r="B354" s="171" t="e">
        <f>IF(ISTEXT(([0]!P_1_8.15.2 [0]!Qté)),0,([0]!P_1_8.15.2 [0]!Qté))</f>
        <v>#REF!</v>
      </c>
      <c r="C354" s="172" t="e">
        <f>([0]!P_1_8.15.2 [0]!PU)</f>
        <v>#REF!</v>
      </c>
      <c r="D354" s="172" t="e">
        <f>IF(ISTEXT(([0]!P_1_8.15.2 [0]!MT)),0,([0]!P_1_8.15.2 [0]!MT))</f>
        <v>#REF!</v>
      </c>
    </row>
    <row r="355" spans="1:4" x14ac:dyDescent="0.25">
      <c r="A355" s="170" t="s">
        <v>357</v>
      </c>
      <c r="B355" s="171" t="e">
        <f>IF(ISTEXT(([0]!P_1_8.15.3 [0]!Qté)),0,([0]!P_1_8.15.3 [0]!Qté))</f>
        <v>#REF!</v>
      </c>
      <c r="C355" s="172" t="e">
        <f>([0]!P_1_8.15.3 [0]!PU)</f>
        <v>#REF!</v>
      </c>
      <c r="D355" s="172" t="e">
        <f>IF(ISTEXT(([0]!P_1_8.15.3 [0]!MT)),0,([0]!P_1_8.15.3 [0]!MT))</f>
        <v>#REF!</v>
      </c>
    </row>
    <row r="356" spans="1:4" x14ac:dyDescent="0.25">
      <c r="A356" s="170" t="s">
        <v>358</v>
      </c>
      <c r="B356" s="171" t="e">
        <f>IF(ISTEXT(([0]!P_1_8.15.4 [0]!Qté)),0,([0]!P_1_8.15.4 [0]!Qté))</f>
        <v>#REF!</v>
      </c>
      <c r="C356" s="172" t="e">
        <f>([0]!P_1_8.15.4 [0]!PU)</f>
        <v>#REF!</v>
      </c>
      <c r="D356" s="172" t="e">
        <f>IF(ISTEXT(([0]!P_1_8.15.4 [0]!MT)),0,([0]!P_1_8.15.4 [0]!MT))</f>
        <v>#REF!</v>
      </c>
    </row>
    <row r="357" spans="1:4" x14ac:dyDescent="0.25">
      <c r="A357" s="170" t="s">
        <v>359</v>
      </c>
      <c r="B357" s="171" t="e">
        <f>IF(ISTEXT(([0]!P_1_8.15.5 [0]!Qté)),0,([0]!P_1_8.15.5 [0]!Qté))</f>
        <v>#REF!</v>
      </c>
      <c r="C357" s="172" t="e">
        <f>([0]!P_1_8.15.5 [0]!PU)</f>
        <v>#REF!</v>
      </c>
      <c r="D357" s="172" t="e">
        <f>IF(ISTEXT(([0]!P_1_8.15.5 [0]!MT)),0,([0]!P_1_8.15.5 [0]!MT))</f>
        <v>#REF!</v>
      </c>
    </row>
    <row r="358" spans="1:4" x14ac:dyDescent="0.25">
      <c r="A358" s="170" t="s">
        <v>360</v>
      </c>
      <c r="B358" s="171" t="e">
        <f>IF(ISTEXT(([0]!P_1_8.15.6 [0]!Qté)),0,([0]!P_1_8.15.6 [0]!Qté))</f>
        <v>#REF!</v>
      </c>
      <c r="C358" s="172" t="e">
        <f>([0]!P_1_8.15.6 [0]!PU)</f>
        <v>#REF!</v>
      </c>
      <c r="D358" s="172" t="e">
        <f>IF(ISTEXT(([0]!P_1_8.15.6 [0]!MT)),0,([0]!P_1_8.15.6 [0]!MT))</f>
        <v>#REF!</v>
      </c>
    </row>
    <row r="359" spans="1:4" x14ac:dyDescent="0.25">
      <c r="A359" s="170" t="s">
        <v>361</v>
      </c>
      <c r="B359" s="171" t="e">
        <f>IF(ISTEXT(([0]!P_1_8.15.7 [0]!Qté)),0,([0]!P_1_8.15.7 [0]!Qté))</f>
        <v>#REF!</v>
      </c>
      <c r="C359" s="172" t="e">
        <f>([0]!P_1_8.15.7 [0]!PU)</f>
        <v>#REF!</v>
      </c>
      <c r="D359" s="172" t="e">
        <f>IF(ISTEXT(([0]!P_1_8.15.7 [0]!MT)),0,([0]!P_1_8.15.7 [0]!MT))</f>
        <v>#REF!</v>
      </c>
    </row>
    <row r="360" spans="1:4" x14ac:dyDescent="0.25">
      <c r="A360" s="170" t="s">
        <v>362</v>
      </c>
      <c r="B360" s="171" t="e">
        <f>IF(ISTEXT(([0]!P_1_8.16.1 [0]!Qté)),0,([0]!P_1_8.16.1 [0]!Qté))</f>
        <v>#REF!</v>
      </c>
      <c r="C360" s="172" t="e">
        <f>([0]!P_1_8.16.1 [0]!PU)</f>
        <v>#REF!</v>
      </c>
      <c r="D360" s="172" t="e">
        <f>IF(ISTEXT(([0]!P_1_8.16.1 [0]!MT)),0,([0]!P_1_8.16.1 [0]!MT))</f>
        <v>#REF!</v>
      </c>
    </row>
    <row r="361" spans="1:4" x14ac:dyDescent="0.25">
      <c r="A361" s="170" t="s">
        <v>363</v>
      </c>
      <c r="B361" s="171" t="e">
        <f>IF(ISTEXT(([0]!P_1_8.16.2 [0]!Qté)),0,([0]!P_1_8.16.2 [0]!Qté))</f>
        <v>#REF!</v>
      </c>
      <c r="C361" s="172" t="e">
        <f>([0]!P_1_8.16.2 [0]!PU)</f>
        <v>#REF!</v>
      </c>
      <c r="D361" s="172" t="e">
        <f>IF(ISTEXT(([0]!P_1_8.16.2 [0]!MT)),0,([0]!P_1_8.16.2 [0]!MT))</f>
        <v>#REF!</v>
      </c>
    </row>
    <row r="362" spans="1:4" x14ac:dyDescent="0.25">
      <c r="A362" s="170" t="s">
        <v>364</v>
      </c>
      <c r="B362" s="171" t="e">
        <f>IF(ISTEXT(([0]!P_1_8.16.3 [0]!Qté)),0,([0]!P_1_8.16.3 [0]!Qté))</f>
        <v>#REF!</v>
      </c>
      <c r="C362" s="172" t="e">
        <f>([0]!P_1_8.16.3 [0]!PU)</f>
        <v>#REF!</v>
      </c>
      <c r="D362" s="172" t="e">
        <f>IF(ISTEXT(([0]!P_1_8.16.3 [0]!MT)),0,([0]!P_1_8.16.3 [0]!MT))</f>
        <v>#REF!</v>
      </c>
    </row>
    <row r="363" spans="1:4" x14ac:dyDescent="0.25">
      <c r="A363" s="170" t="s">
        <v>365</v>
      </c>
      <c r="B363" s="171" t="e">
        <f>IF(ISTEXT(([0]!P_1_8.16.4 [0]!Qté)),0,([0]!P_1_8.16.4 [0]!Qté))</f>
        <v>#REF!</v>
      </c>
      <c r="C363" s="172" t="e">
        <f>([0]!P_1_8.16.4 [0]!PU)</f>
        <v>#REF!</v>
      </c>
      <c r="D363" s="172" t="e">
        <f>IF(ISTEXT(([0]!P_1_8.16.4 [0]!MT)),0,([0]!P_1_8.16.4 [0]!MT))</f>
        <v>#REF!</v>
      </c>
    </row>
    <row r="364" spans="1:4" x14ac:dyDescent="0.25">
      <c r="A364" s="170" t="s">
        <v>366</v>
      </c>
      <c r="B364" s="171" t="e">
        <f>IF(ISTEXT(([0]!P_1_8.17.1 [0]!Qté)),0,([0]!P_1_8.17.1 [0]!Qté))</f>
        <v>#REF!</v>
      </c>
      <c r="C364" s="172" t="e">
        <f>([0]!P_1_8.17.1 [0]!PU)</f>
        <v>#REF!</v>
      </c>
      <c r="D364" s="172" t="e">
        <f>IF(ISTEXT(([0]!P_1_8.17.1 [0]!MT)),0,([0]!P_1_8.17.1 [0]!MT))</f>
        <v>#REF!</v>
      </c>
    </row>
    <row r="365" spans="1:4" x14ac:dyDescent="0.25">
      <c r="A365" s="170" t="s">
        <v>367</v>
      </c>
      <c r="B365" s="171" t="e">
        <f>IF(ISTEXT(([0]!P_1_8.17.2 [0]!Qté)),0,([0]!P_1_8.17.2 [0]!Qté))</f>
        <v>#REF!</v>
      </c>
      <c r="C365" s="172" t="e">
        <f>([0]!P_1_8.17.2 [0]!PU)</f>
        <v>#REF!</v>
      </c>
      <c r="D365" s="172" t="e">
        <f>IF(ISTEXT(([0]!P_1_8.17.2 [0]!MT)),0,([0]!P_1_8.17.2 [0]!MT))</f>
        <v>#REF!</v>
      </c>
    </row>
    <row r="366" spans="1:4" x14ac:dyDescent="0.25">
      <c r="A366" s="170" t="s">
        <v>368</v>
      </c>
      <c r="B366" s="171" t="e">
        <f>IF(ISTEXT(([0]!P_1_8.17.3 [0]!Qté)),0,([0]!P_1_8.17.3 [0]!Qté))</f>
        <v>#REF!</v>
      </c>
      <c r="C366" s="172" t="e">
        <f>([0]!P_1_8.17.3 [0]!PU)</f>
        <v>#REF!</v>
      </c>
      <c r="D366" s="172" t="e">
        <f>IF(ISTEXT(([0]!P_1_8.17.3 [0]!MT)),0,([0]!P_1_8.17.3 [0]!MT))</f>
        <v>#REF!</v>
      </c>
    </row>
    <row r="367" spans="1:4" x14ac:dyDescent="0.25">
      <c r="A367" s="170" t="s">
        <v>369</v>
      </c>
      <c r="B367" s="171" t="e">
        <f>IF(ISTEXT(([0]!P_1_8.17.4 [0]!Qté)),0,([0]!P_1_8.17.4 [0]!Qté))</f>
        <v>#REF!</v>
      </c>
      <c r="C367" s="172" t="e">
        <f>([0]!P_1_8.17.4 [0]!PU)</f>
        <v>#REF!</v>
      </c>
      <c r="D367" s="172" t="e">
        <f>IF(ISTEXT(([0]!P_1_8.17.4 [0]!MT)),0,([0]!P_1_8.17.4 [0]!MT))</f>
        <v>#REF!</v>
      </c>
    </row>
    <row r="368" spans="1:4" x14ac:dyDescent="0.25">
      <c r="A368" s="170" t="s">
        <v>370</v>
      </c>
      <c r="B368" s="171" t="e">
        <f>IF(ISTEXT(([0]!P_1_8.17.5 [0]!Qté)),0,([0]!P_1_8.17.5 [0]!Qté))</f>
        <v>#REF!</v>
      </c>
      <c r="C368" s="172" t="e">
        <f>([0]!P_1_8.17.5 [0]!PU)</f>
        <v>#REF!</v>
      </c>
      <c r="D368" s="172" t="e">
        <f>IF(ISTEXT(([0]!P_1_8.17.5 [0]!MT)),0,([0]!P_1_8.17.5 [0]!MT))</f>
        <v>#REF!</v>
      </c>
    </row>
    <row r="369" spans="1:4" x14ac:dyDescent="0.25">
      <c r="A369" s="170" t="s">
        <v>371</v>
      </c>
      <c r="B369" s="171" t="e">
        <f>IF(ISTEXT(([0]!P_1_8.17.6 [0]!Qté)),0,([0]!P_1_8.17.6 [0]!Qté))</f>
        <v>#REF!</v>
      </c>
      <c r="C369" s="172" t="e">
        <f>([0]!P_1_8.17.6 [0]!PU)</f>
        <v>#REF!</v>
      </c>
      <c r="D369" s="172" t="e">
        <f>IF(ISTEXT(([0]!P_1_8.17.6 [0]!MT)),0,([0]!P_1_8.17.6 [0]!MT))</f>
        <v>#REF!</v>
      </c>
    </row>
    <row r="370" spans="1:4" x14ac:dyDescent="0.25">
      <c r="A370" s="170" t="s">
        <v>372</v>
      </c>
      <c r="B370" s="171" t="e">
        <f>IF(ISTEXT(([0]!P_1_8.17.7 [0]!Qté)),0,([0]!P_1_8.17.7 [0]!Qté))</f>
        <v>#REF!</v>
      </c>
      <c r="C370" s="172" t="e">
        <f>([0]!P_1_8.17.7 [0]!PU)</f>
        <v>#REF!</v>
      </c>
      <c r="D370" s="172" t="e">
        <f>IF(ISTEXT(([0]!P_1_8.17.7 [0]!MT)),0,([0]!P_1_8.17.7 [0]!MT))</f>
        <v>#REF!</v>
      </c>
    </row>
    <row r="371" spans="1:4" x14ac:dyDescent="0.25">
      <c r="A371" s="170" t="s">
        <v>373</v>
      </c>
      <c r="B371" s="171" t="e">
        <f>IF(ISTEXT(([0]!P_1_8.17.8 [0]!Qté)),0,([0]!P_1_8.17.8 [0]!Qté))</f>
        <v>#REF!</v>
      </c>
      <c r="C371" s="172" t="e">
        <f>([0]!P_1_8.17.8 [0]!PU)</f>
        <v>#REF!</v>
      </c>
      <c r="D371" s="172" t="e">
        <f>IF(ISTEXT(([0]!P_1_8.17.8 [0]!MT)),0,([0]!P_1_8.17.8 [0]!MT))</f>
        <v>#REF!</v>
      </c>
    </row>
    <row r="372" spans="1:4" x14ac:dyDescent="0.25">
      <c r="A372" s="170" t="s">
        <v>374</v>
      </c>
      <c r="B372" s="171" t="e">
        <f>IF(ISTEXT(([0]!P_1_8.17.9 [0]!Qté)),0,([0]!P_1_8.17.9 [0]!Qté))</f>
        <v>#REF!</v>
      </c>
      <c r="C372" s="172" t="e">
        <f>([0]!P_1_8.17.9 [0]!PU)</f>
        <v>#REF!</v>
      </c>
      <c r="D372" s="172" t="e">
        <f>IF(ISTEXT(([0]!P_1_8.17.9 [0]!MT)),0,([0]!P_1_8.17.9 [0]!MT))</f>
        <v>#REF!</v>
      </c>
    </row>
    <row r="373" spans="1:4" x14ac:dyDescent="0.25">
      <c r="A373" s="170" t="s">
        <v>375</v>
      </c>
      <c r="B373" s="171" t="e">
        <f>IF(ISTEXT(([0]!P_1_8.17.10 [0]!Qté)),0,([0]!P_1_8.17.10 [0]!Qté))</f>
        <v>#REF!</v>
      </c>
      <c r="C373" s="172" t="e">
        <f>([0]!P_1_8.17.10 [0]!PU)</f>
        <v>#REF!</v>
      </c>
      <c r="D373" s="172" t="e">
        <f>IF(ISTEXT(([0]!P_1_8.17.10 [0]!MT)),0,([0]!P_1_8.17.10 [0]!MT))</f>
        <v>#REF!</v>
      </c>
    </row>
    <row r="374" spans="1:4" x14ac:dyDescent="0.25">
      <c r="A374" s="170" t="s">
        <v>376</v>
      </c>
      <c r="B374" s="171" t="e">
        <f>IF(ISTEXT(([0]!P_1_8.18.1 [0]!Qté)),0,([0]!P_1_8.18.1 [0]!Qté))</f>
        <v>#REF!</v>
      </c>
      <c r="C374" s="172" t="e">
        <f>([0]!P_1_8.18.1 [0]!PU)</f>
        <v>#REF!</v>
      </c>
      <c r="D374" s="172" t="e">
        <f>IF(ISTEXT(([0]!P_1_8.18.1 [0]!MT)),0,([0]!P_1_8.18.1 [0]!MT))</f>
        <v>#REF!</v>
      </c>
    </row>
    <row r="375" spans="1:4" x14ac:dyDescent="0.25">
      <c r="A375" s="170" t="s">
        <v>377</v>
      </c>
      <c r="B375" s="171" t="e">
        <f>IF(ISTEXT(([0]!P_1_8.18.2 [0]!Qté)),0,([0]!P_1_8.18.2 [0]!Qté))</f>
        <v>#REF!</v>
      </c>
      <c r="C375" s="172" t="e">
        <f>([0]!P_1_8.18.2 [0]!PU)</f>
        <v>#REF!</v>
      </c>
      <c r="D375" s="172" t="e">
        <f>IF(ISTEXT(([0]!P_1_8.18.2 [0]!MT)),0,([0]!P_1_8.18.2 [0]!MT))</f>
        <v>#REF!</v>
      </c>
    </row>
    <row r="376" spans="1:4" x14ac:dyDescent="0.25">
      <c r="A376" s="170" t="s">
        <v>378</v>
      </c>
      <c r="B376" s="171" t="e">
        <f>IF(ISTEXT(([0]!P_1_8.18.3 [0]!Qté)),0,([0]!P_1_8.18.3 [0]!Qté))</f>
        <v>#REF!</v>
      </c>
      <c r="C376" s="172" t="e">
        <f>([0]!P_1_8.18.3 [0]!PU)</f>
        <v>#REF!</v>
      </c>
      <c r="D376" s="172" t="e">
        <f>IF(ISTEXT(([0]!P_1_8.18.3 [0]!MT)),0,([0]!P_1_8.18.3 [0]!MT))</f>
        <v>#REF!</v>
      </c>
    </row>
    <row r="377" spans="1:4" x14ac:dyDescent="0.25">
      <c r="A377" s="170" t="s">
        <v>379</v>
      </c>
      <c r="B377" s="171" t="e">
        <f>IF(ISTEXT(([0]!P_1_8.18.4 [0]!Qté)),0,([0]!P_1_8.18.4 [0]!Qté))</f>
        <v>#REF!</v>
      </c>
      <c r="C377" s="172" t="e">
        <f>([0]!P_1_8.18.4 [0]!PU)</f>
        <v>#REF!</v>
      </c>
      <c r="D377" s="172" t="e">
        <f>IF(ISTEXT(([0]!P_1_8.18.4 [0]!MT)),0,([0]!P_1_8.18.4 [0]!MT))</f>
        <v>#REF!</v>
      </c>
    </row>
    <row r="378" spans="1:4" x14ac:dyDescent="0.25">
      <c r="A378" s="170" t="s">
        <v>380</v>
      </c>
      <c r="B378" s="171" t="e">
        <f>IF(ISTEXT(([0]!P_1_8.18.5 [0]!Qté)),0,([0]!P_1_8.18.5 [0]!Qté))</f>
        <v>#REF!</v>
      </c>
      <c r="C378" s="172" t="e">
        <f>([0]!P_1_8.18.5 [0]!PU)</f>
        <v>#REF!</v>
      </c>
      <c r="D378" s="172" t="e">
        <f>IF(ISTEXT(([0]!P_1_8.18.5 [0]!MT)),0,([0]!P_1_8.18.5 [0]!MT))</f>
        <v>#REF!</v>
      </c>
    </row>
    <row r="379" spans="1:4" x14ac:dyDescent="0.25">
      <c r="A379" s="170" t="s">
        <v>381</v>
      </c>
      <c r="B379" s="171" t="e">
        <f>IF(ISTEXT(([0]!P_1_8.18.6 [0]!Qté)),0,([0]!P_1_8.18.6 [0]!Qté))</f>
        <v>#REF!</v>
      </c>
      <c r="C379" s="172" t="e">
        <f>([0]!P_1_8.18.6 [0]!PU)</f>
        <v>#REF!</v>
      </c>
      <c r="D379" s="172" t="e">
        <f>IF(ISTEXT(([0]!P_1_8.18.6 [0]!MT)),0,([0]!P_1_8.18.6 [0]!MT))</f>
        <v>#REF!</v>
      </c>
    </row>
    <row r="380" spans="1:4" x14ac:dyDescent="0.25">
      <c r="A380" s="170" t="s">
        <v>382</v>
      </c>
      <c r="B380" s="171" t="e">
        <f>IF(ISTEXT(([0]!P_1_8.18.7 [0]!Qté)),0,([0]!P_1_8.18.7 [0]!Qté))</f>
        <v>#REF!</v>
      </c>
      <c r="C380" s="172" t="e">
        <f>([0]!P_1_8.18.7 [0]!PU)</f>
        <v>#REF!</v>
      </c>
      <c r="D380" s="172" t="e">
        <f>IF(ISTEXT(([0]!P_1_8.18.7 [0]!MT)),0,([0]!P_1_8.18.7 [0]!MT))</f>
        <v>#REF!</v>
      </c>
    </row>
    <row r="381" spans="1:4" x14ac:dyDescent="0.25">
      <c r="A381" s="170" t="s">
        <v>383</v>
      </c>
      <c r="B381" s="171" t="e">
        <f>IF(ISTEXT(([0]!P_1_8.18.8 [0]!Qté)),0,([0]!P_1_8.18.8 [0]!Qté))</f>
        <v>#REF!</v>
      </c>
      <c r="C381" s="172" t="e">
        <f>([0]!P_1_8.18.8 [0]!PU)</f>
        <v>#REF!</v>
      </c>
      <c r="D381" s="172" t="e">
        <f>IF(ISTEXT(([0]!P_1_8.18.8 [0]!MT)),0,([0]!P_1_8.18.8 [0]!MT))</f>
        <v>#REF!</v>
      </c>
    </row>
    <row r="382" spans="1:4" x14ac:dyDescent="0.25">
      <c r="A382" s="170" t="s">
        <v>384</v>
      </c>
      <c r="B382" s="171" t="e">
        <f>IF(ISTEXT(([0]!P_1_8.18.9 [0]!Qté)),0,([0]!P_1_8.18.9 [0]!Qté))</f>
        <v>#REF!</v>
      </c>
      <c r="C382" s="172" t="e">
        <f>([0]!P_1_8.18.9 [0]!PU)</f>
        <v>#REF!</v>
      </c>
      <c r="D382" s="172" t="e">
        <f>IF(ISTEXT(([0]!P_1_8.18.9 [0]!MT)),0,([0]!P_1_8.18.9 [0]!MT))</f>
        <v>#REF!</v>
      </c>
    </row>
    <row r="383" spans="1:4" x14ac:dyDescent="0.25">
      <c r="A383" s="170" t="s">
        <v>385</v>
      </c>
      <c r="B383" s="171" t="e">
        <f>IF(ISTEXT(([0]!P_1_8.18.10 [0]!Qté)),0,([0]!P_1_8.18.10 [0]!Qté))</f>
        <v>#REF!</v>
      </c>
      <c r="C383" s="172" t="e">
        <f>([0]!P_1_8.18.10 [0]!PU)</f>
        <v>#REF!</v>
      </c>
      <c r="D383" s="172" t="e">
        <f>IF(ISTEXT(([0]!P_1_8.18.10 [0]!MT)),0,([0]!P_1_8.18.10 [0]!MT))</f>
        <v>#REF!</v>
      </c>
    </row>
    <row r="384" spans="1:4" x14ac:dyDescent="0.25">
      <c r="A384" s="170" t="s">
        <v>386</v>
      </c>
      <c r="B384" s="171" t="e">
        <f>IF(ISTEXT(([0]!P_1_8.19.1 [0]!Qté)),0,([0]!P_1_8.19.1 [0]!Qté))</f>
        <v>#REF!</v>
      </c>
      <c r="C384" s="172" t="e">
        <f>([0]!P_1_8.19.1 [0]!PU)</f>
        <v>#REF!</v>
      </c>
      <c r="D384" s="172" t="e">
        <f>IF(ISTEXT(([0]!P_1_8.19.1 [0]!MT)),0,([0]!P_1_8.19.1 [0]!MT))</f>
        <v>#REF!</v>
      </c>
    </row>
    <row r="385" spans="1:4" x14ac:dyDescent="0.25">
      <c r="A385" s="170" t="s">
        <v>387</v>
      </c>
      <c r="B385" s="171" t="e">
        <f>IF(ISTEXT(([0]!P_1_8.19.2 [0]!Qté)),0,([0]!P_1_8.19.2 [0]!Qté))</f>
        <v>#REF!</v>
      </c>
      <c r="C385" s="172" t="e">
        <f>([0]!P_1_8.19.2 [0]!PU)</f>
        <v>#REF!</v>
      </c>
      <c r="D385" s="172" t="e">
        <f>IF(ISTEXT(([0]!P_1_8.19.2 [0]!MT)),0,([0]!P_1_8.19.2 [0]!MT))</f>
        <v>#REF!</v>
      </c>
    </row>
    <row r="386" spans="1:4" x14ac:dyDescent="0.25">
      <c r="A386" s="170" t="s">
        <v>388</v>
      </c>
      <c r="B386" s="171" t="e">
        <f>IF(ISTEXT(([0]!P_1_8.19.3 [0]!Qté)),0,([0]!P_1_8.19.3 [0]!Qté))</f>
        <v>#REF!</v>
      </c>
      <c r="C386" s="172" t="e">
        <f>([0]!P_1_8.19.3 [0]!PU)</f>
        <v>#REF!</v>
      </c>
      <c r="D386" s="172" t="e">
        <f>IF(ISTEXT(([0]!P_1_8.19.3 [0]!MT)),0,([0]!P_1_8.19.3 [0]!MT))</f>
        <v>#REF!</v>
      </c>
    </row>
    <row r="387" spans="1:4" x14ac:dyDescent="0.25">
      <c r="A387" s="170" t="s">
        <v>389</v>
      </c>
      <c r="B387" s="171" t="e">
        <f>IF(ISTEXT(([0]!P_1_8.19.4 [0]!Qté)),0,([0]!P_1_8.19.4 [0]!Qté))</f>
        <v>#REF!</v>
      </c>
      <c r="C387" s="172" t="e">
        <f>([0]!P_1_8.19.4 [0]!PU)</f>
        <v>#REF!</v>
      </c>
      <c r="D387" s="172" t="e">
        <f>IF(ISTEXT(([0]!P_1_8.19.4 [0]!MT)),0,([0]!P_1_8.19.4 [0]!MT))</f>
        <v>#REF!</v>
      </c>
    </row>
    <row r="388" spans="1:4" x14ac:dyDescent="0.25">
      <c r="A388" s="170" t="s">
        <v>390</v>
      </c>
      <c r="B388" s="171" t="e">
        <f>IF(ISTEXT(([0]!P_1_8.19.5 [0]!Qté)),0,([0]!P_1_8.19.5 [0]!Qté))</f>
        <v>#REF!</v>
      </c>
      <c r="C388" s="172" t="e">
        <f>([0]!P_1_8.19.5 [0]!PU)</f>
        <v>#REF!</v>
      </c>
      <c r="D388" s="172" t="e">
        <f>IF(ISTEXT(([0]!P_1_8.19.5 [0]!MT)),0,([0]!P_1_8.19.5 [0]!MT))</f>
        <v>#REF!</v>
      </c>
    </row>
    <row r="389" spans="1:4" x14ac:dyDescent="0.25">
      <c r="A389" s="170" t="s">
        <v>391</v>
      </c>
      <c r="B389" s="171" t="e">
        <f>IF(ISTEXT(([0]!P_1_8.19.6 [0]!Qté)),0,([0]!P_1_8.19.6 [0]!Qté))</f>
        <v>#REF!</v>
      </c>
      <c r="C389" s="172" t="e">
        <f>([0]!P_1_8.19.6 [0]!PU)</f>
        <v>#REF!</v>
      </c>
      <c r="D389" s="172" t="e">
        <f>IF(ISTEXT(([0]!P_1_8.19.6 [0]!MT)),0,([0]!P_1_8.19.6 [0]!MT))</f>
        <v>#REF!</v>
      </c>
    </row>
    <row r="390" spans="1:4" x14ac:dyDescent="0.25">
      <c r="A390" s="170" t="s">
        <v>392</v>
      </c>
      <c r="B390" s="171" t="e">
        <f>IF(ISTEXT(([0]!P_1_8.20.1 [0]!Qté)),0,([0]!P_1_8.20.1 [0]!Qté))</f>
        <v>#REF!</v>
      </c>
      <c r="C390" s="172" t="e">
        <f>([0]!P_1_8.20.1 [0]!PU)</f>
        <v>#REF!</v>
      </c>
      <c r="D390" s="172" t="e">
        <f>IF(ISTEXT(([0]!P_1_8.20.1 [0]!MT)),0,([0]!P_1_8.20.1 [0]!MT))</f>
        <v>#REF!</v>
      </c>
    </row>
    <row r="391" spans="1:4" x14ac:dyDescent="0.25">
      <c r="A391" s="170" t="s">
        <v>393</v>
      </c>
      <c r="B391" s="171" t="e">
        <f>IF(ISTEXT(([0]!P_1_8.20.2 [0]!Qté)),0,([0]!P_1_8.20.2 [0]!Qté))</f>
        <v>#REF!</v>
      </c>
      <c r="C391" s="172" t="e">
        <f>([0]!P_1_8.20.2 [0]!PU)</f>
        <v>#REF!</v>
      </c>
      <c r="D391" s="172" t="e">
        <f>IF(ISTEXT(([0]!P_1_8.20.2 [0]!MT)),0,([0]!P_1_8.20.2 [0]!MT))</f>
        <v>#REF!</v>
      </c>
    </row>
    <row r="392" spans="1:4" x14ac:dyDescent="0.25">
      <c r="A392" s="170" t="s">
        <v>394</v>
      </c>
      <c r="B392" s="171" t="e">
        <f>IF(ISTEXT(([0]!P_1_8.20.3 [0]!Qté)),0,([0]!P_1_8.20.3 [0]!Qté))</f>
        <v>#REF!</v>
      </c>
      <c r="C392" s="172" t="e">
        <f>([0]!P_1_8.20.3 [0]!PU)</f>
        <v>#REF!</v>
      </c>
      <c r="D392" s="172" t="e">
        <f>IF(ISTEXT(([0]!P_1_8.20.3 [0]!MT)),0,([0]!P_1_8.20.3 [0]!MT))</f>
        <v>#REF!</v>
      </c>
    </row>
    <row r="393" spans="1:4" x14ac:dyDescent="0.25">
      <c r="A393" s="170" t="s">
        <v>395</v>
      </c>
      <c r="B393" s="171" t="e">
        <f>IF(ISTEXT(([0]!P_1_8.20.4 [0]!Qté)),0,([0]!P_1_8.20.4 [0]!Qté))</f>
        <v>#REF!</v>
      </c>
      <c r="C393" s="172" t="e">
        <f>([0]!P_1_8.20.4 [0]!PU)</f>
        <v>#REF!</v>
      </c>
      <c r="D393" s="172" t="e">
        <f>IF(ISTEXT(([0]!P_1_8.20.4 [0]!MT)),0,([0]!P_1_8.20.4 [0]!MT))</f>
        <v>#REF!</v>
      </c>
    </row>
    <row r="394" spans="1:4" x14ac:dyDescent="0.25">
      <c r="A394" s="170" t="s">
        <v>396</v>
      </c>
      <c r="B394" s="171" t="e">
        <f>IF(ISTEXT(([0]!P_1_8.20.5 [0]!Qté)),0,([0]!P_1_8.20.5 [0]!Qté))</f>
        <v>#REF!</v>
      </c>
      <c r="C394" s="172" t="e">
        <f>([0]!P_1_8.20.5 [0]!PU)</f>
        <v>#REF!</v>
      </c>
      <c r="D394" s="172" t="e">
        <f>IF(ISTEXT(([0]!P_1_8.20.5 [0]!MT)),0,([0]!P_1_8.20.5 [0]!MT))</f>
        <v>#REF!</v>
      </c>
    </row>
    <row r="395" spans="1:4" x14ac:dyDescent="0.25">
      <c r="A395" s="170" t="s">
        <v>397</v>
      </c>
      <c r="B395" s="171" t="e">
        <f>IF(ISTEXT(([0]!P_1_8.20.6 [0]!Qté)),0,([0]!P_1_8.20.6 [0]!Qté))</f>
        <v>#REF!</v>
      </c>
      <c r="C395" s="172" t="e">
        <f>([0]!P_1_8.20.6 [0]!PU)</f>
        <v>#REF!</v>
      </c>
      <c r="D395" s="172" t="e">
        <f>IF(ISTEXT(([0]!P_1_8.20.6 [0]!MT)),0,([0]!P_1_8.20.6 [0]!MT))</f>
        <v>#REF!</v>
      </c>
    </row>
    <row r="396" spans="1:4" x14ac:dyDescent="0.25">
      <c r="A396" s="170" t="s">
        <v>398</v>
      </c>
      <c r="B396" s="171" t="e">
        <f>IF(ISTEXT(([0]!P_1_8.21.1 [0]!Qté)),0,([0]!P_1_8.21.1 [0]!Qté))</f>
        <v>#REF!</v>
      </c>
      <c r="C396" s="172" t="e">
        <f>([0]!P_1_8.21.1 [0]!PU)</f>
        <v>#REF!</v>
      </c>
      <c r="D396" s="172" t="e">
        <f>IF(ISTEXT(([0]!P_1_8.21.1 [0]!MT)),0,([0]!P_1_8.21.1 [0]!MT))</f>
        <v>#REF!</v>
      </c>
    </row>
    <row r="397" spans="1:4" x14ac:dyDescent="0.25">
      <c r="A397" s="170" t="s">
        <v>399</v>
      </c>
      <c r="B397" s="171" t="e">
        <f>IF(ISTEXT(([0]!P_1_8.21.2 [0]!Qté)),0,([0]!P_1_8.21.2 [0]!Qté))</f>
        <v>#REF!</v>
      </c>
      <c r="C397" s="172" t="e">
        <f>([0]!P_1_8.21.2 [0]!PU)</f>
        <v>#REF!</v>
      </c>
      <c r="D397" s="172" t="e">
        <f>IF(ISTEXT(([0]!P_1_8.21.2 [0]!MT)),0,([0]!P_1_8.21.2 [0]!MT))</f>
        <v>#REF!</v>
      </c>
    </row>
    <row r="398" spans="1:4" x14ac:dyDescent="0.25">
      <c r="A398" s="170" t="s">
        <v>400</v>
      </c>
      <c r="B398" s="171" t="e">
        <f>IF(ISTEXT(([0]!P_1_8.21.3 [0]!Qté)),0,([0]!P_1_8.21.3 [0]!Qté))</f>
        <v>#REF!</v>
      </c>
      <c r="C398" s="172" t="e">
        <f>([0]!P_1_8.21.3 [0]!PU)</f>
        <v>#REF!</v>
      </c>
      <c r="D398" s="172" t="e">
        <f>IF(ISTEXT(([0]!P_1_8.21.3 [0]!MT)),0,([0]!P_1_8.21.3 [0]!MT))</f>
        <v>#REF!</v>
      </c>
    </row>
    <row r="399" spans="1:4" x14ac:dyDescent="0.25">
      <c r="A399" s="170" t="s">
        <v>401</v>
      </c>
      <c r="B399" s="171" t="e">
        <f>IF(ISTEXT(([0]!P_1_8.21.4 [0]!Qté)),0,([0]!P_1_8.21.4 [0]!Qté))</f>
        <v>#REF!</v>
      </c>
      <c r="C399" s="172" t="e">
        <f>([0]!P_1_8.21.4 [0]!PU)</f>
        <v>#REF!</v>
      </c>
      <c r="D399" s="172" t="e">
        <f>IF(ISTEXT(([0]!P_1_8.21.4 [0]!MT)),0,([0]!P_1_8.21.4 [0]!MT))</f>
        <v>#REF!</v>
      </c>
    </row>
    <row r="400" spans="1:4" x14ac:dyDescent="0.25">
      <c r="A400" s="170" t="s">
        <v>402</v>
      </c>
      <c r="B400" s="171" t="e">
        <f>IF(ISTEXT(([0]!P_1_8.22.1 [0]!Qté)),0,([0]!P_1_8.22.1 [0]!Qté))</f>
        <v>#REF!</v>
      </c>
      <c r="C400" s="172" t="e">
        <f>([0]!P_1_8.22.1 [0]!PU)</f>
        <v>#REF!</v>
      </c>
      <c r="D400" s="172" t="e">
        <f>IF(ISTEXT(([0]!P_1_8.22.1 [0]!MT)),0,([0]!P_1_8.22.1 [0]!MT))</f>
        <v>#REF!</v>
      </c>
    </row>
    <row r="401" spans="1:4" x14ac:dyDescent="0.25">
      <c r="A401" s="170" t="s">
        <v>403</v>
      </c>
      <c r="B401" s="171" t="e">
        <f>IF(ISTEXT(([0]!P_1_8.22.2 [0]!Qté)),0,([0]!P_1_8.22.2 [0]!Qté))</f>
        <v>#REF!</v>
      </c>
      <c r="C401" s="172" t="e">
        <f>([0]!P_1_8.22.2 [0]!PU)</f>
        <v>#REF!</v>
      </c>
      <c r="D401" s="172" t="e">
        <f>IF(ISTEXT(([0]!P_1_8.22.2 [0]!MT)),0,([0]!P_1_8.22.2 [0]!MT))</f>
        <v>#REF!</v>
      </c>
    </row>
    <row r="402" spans="1:4" x14ac:dyDescent="0.25">
      <c r="A402" s="170" t="s">
        <v>404</v>
      </c>
      <c r="B402" s="171" t="e">
        <f>IF(ISTEXT(([0]!P_1_8.22.3 [0]!Qté)),0,([0]!P_1_8.22.3 [0]!Qté))</f>
        <v>#REF!</v>
      </c>
      <c r="C402" s="172" t="e">
        <f>([0]!P_1_8.22.3 [0]!PU)</f>
        <v>#REF!</v>
      </c>
      <c r="D402" s="172" t="e">
        <f>IF(ISTEXT(([0]!P_1_8.22.3 [0]!MT)),0,([0]!P_1_8.22.3 [0]!MT))</f>
        <v>#REF!</v>
      </c>
    </row>
    <row r="403" spans="1:4" x14ac:dyDescent="0.25">
      <c r="A403" s="170" t="s">
        <v>405</v>
      </c>
      <c r="B403" s="171" t="e">
        <f>IF(ISTEXT(([0]!P_1_8.22.4 [0]!Qté)),0,([0]!P_1_8.22.4 [0]!Qté))</f>
        <v>#REF!</v>
      </c>
      <c r="C403" s="172" t="e">
        <f>([0]!P_1_8.22.4 [0]!PU)</f>
        <v>#REF!</v>
      </c>
      <c r="D403" s="172" t="e">
        <f>IF(ISTEXT(([0]!P_1_8.22.4 [0]!MT)),0,([0]!P_1_8.22.4 [0]!MT))</f>
        <v>#REF!</v>
      </c>
    </row>
    <row r="404" spans="1:4" x14ac:dyDescent="0.25">
      <c r="A404" s="170" t="s">
        <v>406</v>
      </c>
      <c r="B404" s="171" t="e">
        <f>IF(ISTEXT(([0]!P_1_8.22.5 [0]!Qté)),0,([0]!P_1_8.22.5 [0]!Qté))</f>
        <v>#REF!</v>
      </c>
      <c r="C404" s="172" t="e">
        <f>([0]!P_1_8.22.5 [0]!PU)</f>
        <v>#REF!</v>
      </c>
      <c r="D404" s="172" t="e">
        <f>IF(ISTEXT(([0]!P_1_8.22.5 [0]!MT)),0,([0]!P_1_8.22.5 [0]!MT))</f>
        <v>#REF!</v>
      </c>
    </row>
    <row r="405" spans="1:4" x14ac:dyDescent="0.25">
      <c r="A405" s="170" t="s">
        <v>407</v>
      </c>
      <c r="B405" s="171" t="e">
        <f>IF(ISTEXT(([0]!P_1_8.23.1 [0]!Qté)),0,([0]!P_1_8.23.1 [0]!Qté))</f>
        <v>#REF!</v>
      </c>
      <c r="C405" s="172" t="e">
        <f>([0]!P_1_8.23.1 [0]!PU)</f>
        <v>#REF!</v>
      </c>
      <c r="D405" s="172" t="e">
        <f>IF(ISTEXT(([0]!P_1_8.23.1 [0]!MT)),0,([0]!P_1_8.23.1 [0]!MT))</f>
        <v>#REF!</v>
      </c>
    </row>
    <row r="406" spans="1:4" x14ac:dyDescent="0.25">
      <c r="A406" s="170" t="s">
        <v>408</v>
      </c>
      <c r="B406" s="171" t="e">
        <f>IF(ISTEXT(([0]!P_1_8.23.2 [0]!Qté)),0,([0]!P_1_8.23.2 [0]!Qté))</f>
        <v>#REF!</v>
      </c>
      <c r="C406" s="172" t="e">
        <f>([0]!P_1_8.23.2 [0]!PU)</f>
        <v>#REF!</v>
      </c>
      <c r="D406" s="172" t="e">
        <f>IF(ISTEXT(([0]!P_1_8.23.2 [0]!MT)),0,([0]!P_1_8.23.2 [0]!MT))</f>
        <v>#REF!</v>
      </c>
    </row>
    <row r="407" spans="1:4" x14ac:dyDescent="0.25">
      <c r="A407" s="170" t="s">
        <v>409</v>
      </c>
      <c r="B407" s="171" t="e">
        <f>IF(ISTEXT(([0]!P_1_8.23.3 [0]!Qté)),0,([0]!P_1_8.23.3 [0]!Qté))</f>
        <v>#REF!</v>
      </c>
      <c r="C407" s="172" t="e">
        <f>([0]!P_1_8.23.3 [0]!PU)</f>
        <v>#REF!</v>
      </c>
      <c r="D407" s="172" t="e">
        <f>IF(ISTEXT(([0]!P_1_8.23.3 [0]!MT)),0,([0]!P_1_8.23.3 [0]!MT))</f>
        <v>#REF!</v>
      </c>
    </row>
    <row r="408" spans="1:4" x14ac:dyDescent="0.25">
      <c r="A408" s="170" t="s">
        <v>410</v>
      </c>
      <c r="B408" s="171" t="e">
        <f>IF(ISTEXT(([0]!P_1_8.23.4 [0]!Qté)),0,([0]!P_1_8.23.4 [0]!Qté))</f>
        <v>#REF!</v>
      </c>
      <c r="C408" s="172" t="e">
        <f>([0]!P_1_8.23.4 [0]!PU)</f>
        <v>#REF!</v>
      </c>
      <c r="D408" s="172" t="e">
        <f>IF(ISTEXT(([0]!P_1_8.23.4 [0]!MT)),0,([0]!P_1_8.23.4 [0]!MT))</f>
        <v>#REF!</v>
      </c>
    </row>
    <row r="409" spans="1:4" x14ac:dyDescent="0.25">
      <c r="A409" s="170" t="s">
        <v>411</v>
      </c>
      <c r="B409" s="171" t="e">
        <f>IF(ISTEXT(([0]!P_1_8.24.1 [0]!Qté)),0,([0]!P_1_8.24.1 [0]!Qté))</f>
        <v>#REF!</v>
      </c>
      <c r="C409" s="172" t="e">
        <f>([0]!P_1_8.24.1 [0]!PU)</f>
        <v>#REF!</v>
      </c>
      <c r="D409" s="172" t="e">
        <f>IF(ISTEXT(([0]!P_1_8.24.1 [0]!MT)),0,([0]!P_1_8.24.1 [0]!MT))</f>
        <v>#REF!</v>
      </c>
    </row>
    <row r="410" spans="1:4" x14ac:dyDescent="0.25">
      <c r="A410" s="170" t="s">
        <v>412</v>
      </c>
      <c r="B410" s="171" t="e">
        <f>IF(ISTEXT(([0]!P_1_8.24.2 [0]!Qté)),0,([0]!P_1_8.24.2 [0]!Qté))</f>
        <v>#REF!</v>
      </c>
      <c r="C410" s="172" t="e">
        <f>([0]!P_1_8.24.2 [0]!PU)</f>
        <v>#REF!</v>
      </c>
      <c r="D410" s="172" t="e">
        <f>IF(ISTEXT(([0]!P_1_8.24.2 [0]!MT)),0,([0]!P_1_8.24.2 [0]!MT))</f>
        <v>#REF!</v>
      </c>
    </row>
    <row r="411" spans="1:4" x14ac:dyDescent="0.25">
      <c r="A411" s="170" t="s">
        <v>413</v>
      </c>
      <c r="B411" s="171" t="e">
        <f>IF(ISTEXT(([0]!P_1_8.24.3 [0]!Qté)),0,([0]!P_1_8.24.3 [0]!Qté))</f>
        <v>#REF!</v>
      </c>
      <c r="C411" s="172" t="e">
        <f>([0]!P_1_8.24.3 [0]!PU)</f>
        <v>#REF!</v>
      </c>
      <c r="D411" s="172" t="e">
        <f>IF(ISTEXT(([0]!P_1_8.24.3 [0]!MT)),0,([0]!P_1_8.24.3 [0]!MT))</f>
        <v>#REF!</v>
      </c>
    </row>
    <row r="412" spans="1:4" x14ac:dyDescent="0.25">
      <c r="A412" s="170" t="s">
        <v>414</v>
      </c>
      <c r="B412" s="171" t="e">
        <f>IF(ISTEXT(([0]!P_1_8.24.4 [0]!Qté)),0,([0]!P_1_8.24.4 [0]!Qté))</f>
        <v>#REF!</v>
      </c>
      <c r="C412" s="172" t="e">
        <f>([0]!P_1_8.24.4 [0]!PU)</f>
        <v>#REF!</v>
      </c>
      <c r="D412" s="172" t="e">
        <f>IF(ISTEXT(([0]!P_1_8.24.4 [0]!MT)),0,([0]!P_1_8.24.4 [0]!MT))</f>
        <v>#REF!</v>
      </c>
    </row>
    <row r="413" spans="1:4" x14ac:dyDescent="0.25">
      <c r="A413" s="170" t="s">
        <v>415</v>
      </c>
      <c r="B413" s="171" t="e">
        <f>IF(ISTEXT(([0]!P_1_8.25.1 [0]!Qté)),0,([0]!P_1_8.25.1 [0]!Qté))</f>
        <v>#REF!</v>
      </c>
      <c r="C413" s="172" t="e">
        <f>([0]!P_1_8.25.1 [0]!PU)</f>
        <v>#REF!</v>
      </c>
      <c r="D413" s="172" t="e">
        <f>IF(ISTEXT(([0]!P_1_8.25.1 [0]!MT)),0,([0]!P_1_8.25.1 [0]!MT))</f>
        <v>#REF!</v>
      </c>
    </row>
    <row r="414" spans="1:4" x14ac:dyDescent="0.25">
      <c r="A414" s="170" t="s">
        <v>416</v>
      </c>
      <c r="B414" s="171" t="e">
        <f>IF(ISTEXT(([0]!P_1_8.25.2 [0]!Qté)),0,([0]!P_1_8.25.2 [0]!Qté))</f>
        <v>#REF!</v>
      </c>
      <c r="C414" s="172" t="e">
        <f>([0]!P_1_8.25.2 [0]!PU)</f>
        <v>#REF!</v>
      </c>
      <c r="D414" s="172" t="e">
        <f>IF(ISTEXT(([0]!P_1_8.25.2 [0]!MT)),0,([0]!P_1_8.25.2 [0]!MT))</f>
        <v>#REF!</v>
      </c>
    </row>
    <row r="415" spans="1:4" x14ac:dyDescent="0.25">
      <c r="A415" s="170" t="s">
        <v>417</v>
      </c>
      <c r="B415" s="171" t="e">
        <f>IF(ISTEXT(([0]!P_1_8.25.3 [0]!Qté)),0,([0]!P_1_8.25.3 [0]!Qté))</f>
        <v>#REF!</v>
      </c>
      <c r="C415" s="172" t="e">
        <f>([0]!P_1_8.25.3 [0]!PU)</f>
        <v>#REF!</v>
      </c>
      <c r="D415" s="172" t="e">
        <f>IF(ISTEXT(([0]!P_1_8.25.3 [0]!MT)),0,([0]!P_1_8.25.3 [0]!MT))</f>
        <v>#REF!</v>
      </c>
    </row>
    <row r="416" spans="1:4" x14ac:dyDescent="0.25">
      <c r="A416" s="170" t="s">
        <v>418</v>
      </c>
      <c r="B416" s="171" t="e">
        <f>IF(ISTEXT(([0]!P_1_8.25.4 [0]!Qté)),0,([0]!P_1_8.25.4 [0]!Qté))</f>
        <v>#REF!</v>
      </c>
      <c r="C416" s="172" t="e">
        <f>([0]!P_1_8.25.4 [0]!PU)</f>
        <v>#REF!</v>
      </c>
      <c r="D416" s="172" t="e">
        <f>IF(ISTEXT(([0]!P_1_8.25.4 [0]!MT)),0,([0]!P_1_8.25.4 [0]!MT))</f>
        <v>#REF!</v>
      </c>
    </row>
    <row r="417" spans="1:4" x14ac:dyDescent="0.25">
      <c r="A417" s="170" t="s">
        <v>419</v>
      </c>
      <c r="B417" s="171" t="e">
        <f>IF(ISTEXT(([0]!P_1_8.26.1 [0]!Qté)),0,([0]!P_1_8.26.1 [0]!Qté))</f>
        <v>#REF!</v>
      </c>
      <c r="C417" s="172" t="e">
        <f>([0]!P_1_8.26.1 [0]!PU)</f>
        <v>#REF!</v>
      </c>
      <c r="D417" s="172" t="e">
        <f>IF(ISTEXT(([0]!P_1_8.26.1 [0]!MT)),0,([0]!P_1_8.26.1 [0]!MT))</f>
        <v>#REF!</v>
      </c>
    </row>
    <row r="418" spans="1:4" x14ac:dyDescent="0.25">
      <c r="A418" s="170" t="s">
        <v>420</v>
      </c>
      <c r="B418" s="171" t="e">
        <f>IF(ISTEXT(([0]!P_1_8.26.2 [0]!Qté)),0,([0]!P_1_8.26.2 [0]!Qté))</f>
        <v>#REF!</v>
      </c>
      <c r="C418" s="172" t="e">
        <f>([0]!P_1_8.26.2 [0]!PU)</f>
        <v>#REF!</v>
      </c>
      <c r="D418" s="172" t="e">
        <f>IF(ISTEXT(([0]!P_1_8.26.2 [0]!MT)),0,([0]!P_1_8.26.2 [0]!MT))</f>
        <v>#REF!</v>
      </c>
    </row>
    <row r="419" spans="1:4" x14ac:dyDescent="0.25">
      <c r="A419" s="170" t="s">
        <v>421</v>
      </c>
      <c r="B419" s="171" t="e">
        <f>IF(ISTEXT(([0]!P_1_8.26.3 [0]!Qté)),0,([0]!P_1_8.26.3 [0]!Qté))</f>
        <v>#REF!</v>
      </c>
      <c r="C419" s="172" t="e">
        <f>([0]!P_1_8.26.3 [0]!PU)</f>
        <v>#REF!</v>
      </c>
      <c r="D419" s="172" t="e">
        <f>IF(ISTEXT(([0]!P_1_8.26.3 [0]!MT)),0,([0]!P_1_8.26.3 [0]!MT))</f>
        <v>#REF!</v>
      </c>
    </row>
    <row r="420" spans="1:4" x14ac:dyDescent="0.25">
      <c r="A420" s="170" t="s">
        <v>422</v>
      </c>
      <c r="B420" s="171" t="e">
        <f>IF(ISTEXT(([0]!P_1_8.26.4 [0]!Qté)),0,([0]!P_1_8.26.4 [0]!Qté))</f>
        <v>#REF!</v>
      </c>
      <c r="C420" s="172" t="e">
        <f>([0]!P_1_8.26.4 [0]!PU)</f>
        <v>#REF!</v>
      </c>
      <c r="D420" s="172" t="e">
        <f>IF(ISTEXT(([0]!P_1_8.26.4 [0]!MT)),0,([0]!P_1_8.26.4 [0]!MT))</f>
        <v>#REF!</v>
      </c>
    </row>
    <row r="421" spans="1:4" x14ac:dyDescent="0.25">
      <c r="A421" s="170" t="s">
        <v>423</v>
      </c>
      <c r="B421" s="171" t="e">
        <f>IF(ISTEXT(([0]!P_1_8.26.5 [0]!Qté)),0,([0]!P_1_8.26.5 [0]!Qté))</f>
        <v>#REF!</v>
      </c>
      <c r="C421" s="172" t="e">
        <f>([0]!P_1_8.26.5 [0]!PU)</f>
        <v>#REF!</v>
      </c>
      <c r="D421" s="172" t="e">
        <f>IF(ISTEXT(([0]!P_1_8.26.5 [0]!MT)),0,([0]!P_1_8.26.5 [0]!MT))</f>
        <v>#REF!</v>
      </c>
    </row>
    <row r="422" spans="1:4" x14ac:dyDescent="0.25">
      <c r="A422" s="170" t="s">
        <v>424</v>
      </c>
      <c r="B422" s="171" t="e">
        <f>IF(ISTEXT(([0]!P_1_8.26.6 [0]!Qté)),0,([0]!P_1_8.26.6 [0]!Qté))</f>
        <v>#REF!</v>
      </c>
      <c r="C422" s="172" t="e">
        <f>([0]!P_1_8.26.6 [0]!PU)</f>
        <v>#REF!</v>
      </c>
      <c r="D422" s="172" t="e">
        <f>IF(ISTEXT(([0]!P_1_8.26.6 [0]!MT)),0,([0]!P_1_8.26.6 [0]!MT))</f>
        <v>#REF!</v>
      </c>
    </row>
    <row r="423" spans="1:4" x14ac:dyDescent="0.25">
      <c r="A423" s="170" t="s">
        <v>425</v>
      </c>
      <c r="B423" s="171" t="e">
        <f>IF(ISTEXT(([0]!P_1_8.27.1 [0]!Qté)),0,([0]!P_1_8.27.1 [0]!Qté))</f>
        <v>#REF!</v>
      </c>
      <c r="C423" s="172" t="e">
        <f>([0]!P_1_8.27.1 [0]!PU)</f>
        <v>#REF!</v>
      </c>
      <c r="D423" s="172" t="e">
        <f>IF(ISTEXT(([0]!P_1_8.27.1 [0]!MT)),0,([0]!P_1_8.27.1 [0]!MT))</f>
        <v>#REF!</v>
      </c>
    </row>
    <row r="424" spans="1:4" x14ac:dyDescent="0.25">
      <c r="A424" s="170" t="s">
        <v>426</v>
      </c>
      <c r="B424" s="171" t="e">
        <f>IF(ISTEXT(([0]!P_1_8.27.2 [0]!Qté)),0,([0]!P_1_8.27.2 [0]!Qté))</f>
        <v>#REF!</v>
      </c>
      <c r="C424" s="172" t="e">
        <f>([0]!P_1_8.27.2 [0]!PU)</f>
        <v>#REF!</v>
      </c>
      <c r="D424" s="172" t="e">
        <f>IF(ISTEXT(([0]!P_1_8.27.2 [0]!MT)),0,([0]!P_1_8.27.2 [0]!MT))</f>
        <v>#REF!</v>
      </c>
    </row>
    <row r="425" spans="1:4" x14ac:dyDescent="0.25">
      <c r="A425" s="170" t="s">
        <v>427</v>
      </c>
      <c r="B425" s="171" t="e">
        <f>IF(ISTEXT(([0]!P_1_8.27.3 [0]!Qté)),0,([0]!P_1_8.27.3 [0]!Qté))</f>
        <v>#REF!</v>
      </c>
      <c r="C425" s="172" t="e">
        <f>([0]!P_1_8.27.3 [0]!PU)</f>
        <v>#REF!</v>
      </c>
      <c r="D425" s="172" t="e">
        <f>IF(ISTEXT(([0]!P_1_8.27.3 [0]!MT)),0,([0]!P_1_8.27.3 [0]!MT))</f>
        <v>#REF!</v>
      </c>
    </row>
    <row r="426" spans="1:4" x14ac:dyDescent="0.25">
      <c r="A426" s="170" t="s">
        <v>428</v>
      </c>
      <c r="B426" s="171" t="e">
        <f>IF(ISTEXT(([0]!P_1_8.27.4 [0]!Qté)),0,([0]!P_1_8.27.4 [0]!Qté))</f>
        <v>#REF!</v>
      </c>
      <c r="C426" s="172" t="e">
        <f>([0]!P_1_8.27.4 [0]!PU)</f>
        <v>#REF!</v>
      </c>
      <c r="D426" s="172" t="e">
        <f>IF(ISTEXT(([0]!P_1_8.27.4 [0]!MT)),0,([0]!P_1_8.27.4 [0]!MT))</f>
        <v>#REF!</v>
      </c>
    </row>
    <row r="427" spans="1:4" x14ac:dyDescent="0.25">
      <c r="A427" s="170" t="s">
        <v>429</v>
      </c>
      <c r="B427" s="171" t="e">
        <f>IF(ISTEXT(([0]!P_1_8.27.5 [0]!Qté)),0,([0]!P_1_8.27.5 [0]!Qté))</f>
        <v>#REF!</v>
      </c>
      <c r="C427" s="172" t="e">
        <f>([0]!P_1_8.27.5 [0]!PU)</f>
        <v>#REF!</v>
      </c>
      <c r="D427" s="172" t="e">
        <f>IF(ISTEXT(([0]!P_1_8.27.5 [0]!MT)),0,([0]!P_1_8.27.5 [0]!MT))</f>
        <v>#REF!</v>
      </c>
    </row>
    <row r="428" spans="1:4" x14ac:dyDescent="0.25">
      <c r="A428" s="170" t="s">
        <v>430</v>
      </c>
      <c r="B428" s="171" t="e">
        <f>IF(ISTEXT(([0]!P_1_8.27.6 [0]!Qté)),0,([0]!P_1_8.27.6 [0]!Qté))</f>
        <v>#REF!</v>
      </c>
      <c r="C428" s="172" t="e">
        <f>([0]!P_1_8.27.6 [0]!PU)</f>
        <v>#REF!</v>
      </c>
      <c r="D428" s="172" t="e">
        <f>IF(ISTEXT(([0]!P_1_8.27.6 [0]!MT)),0,([0]!P_1_8.27.6 [0]!MT))</f>
        <v>#REF!</v>
      </c>
    </row>
    <row r="429" spans="1:4" x14ac:dyDescent="0.25">
      <c r="A429" s="170" t="s">
        <v>431</v>
      </c>
      <c r="B429" s="171" t="e">
        <f>IF(ISTEXT(([0]!P_1_8.27.7 [0]!Qté)),0,([0]!P_1_8.27.7 [0]!Qté))</f>
        <v>#REF!</v>
      </c>
      <c r="C429" s="172" t="e">
        <f>([0]!P_1_8.27.7 [0]!PU)</f>
        <v>#REF!</v>
      </c>
      <c r="D429" s="172" t="e">
        <f>IF(ISTEXT(([0]!P_1_8.27.7 [0]!MT)),0,([0]!P_1_8.27.7 [0]!MT))</f>
        <v>#REF!</v>
      </c>
    </row>
    <row r="430" spans="1:4" x14ac:dyDescent="0.25">
      <c r="A430" s="170" t="s">
        <v>432</v>
      </c>
      <c r="B430" s="171" t="e">
        <f>IF(ISTEXT(([0]!P_1_8.27.8 [0]!Qté)),0,([0]!P_1_8.27.8 [0]!Qté))</f>
        <v>#REF!</v>
      </c>
      <c r="C430" s="172" t="e">
        <f>([0]!P_1_8.27.8 [0]!PU)</f>
        <v>#REF!</v>
      </c>
      <c r="D430" s="172" t="e">
        <f>IF(ISTEXT(([0]!P_1_8.27.8 [0]!MT)),0,([0]!P_1_8.27.8 [0]!MT))</f>
        <v>#REF!</v>
      </c>
    </row>
    <row r="431" spans="1:4" x14ac:dyDescent="0.25">
      <c r="A431" s="170" t="s">
        <v>433</v>
      </c>
      <c r="B431" s="171" t="e">
        <f>IF(ISTEXT(([0]!P_1_8.28.1 [0]!Qté)),0,([0]!P_1_8.28.1 [0]!Qté))</f>
        <v>#REF!</v>
      </c>
      <c r="C431" s="172" t="e">
        <f>([0]!P_1_8.28.1 [0]!PU)</f>
        <v>#REF!</v>
      </c>
      <c r="D431" s="172" t="e">
        <f>IF(ISTEXT(([0]!P_1_8.28.1 [0]!MT)),0,([0]!P_1_8.28.1 [0]!MT))</f>
        <v>#REF!</v>
      </c>
    </row>
    <row r="432" spans="1:4" x14ac:dyDescent="0.25">
      <c r="A432" s="170" t="s">
        <v>434</v>
      </c>
      <c r="B432" s="171" t="e">
        <f>IF(ISTEXT(([0]!P_1_8.28.2 [0]!Qté)),0,([0]!P_1_8.28.2 [0]!Qté))</f>
        <v>#REF!</v>
      </c>
      <c r="C432" s="172" t="e">
        <f>([0]!P_1_8.28.2 [0]!PU)</f>
        <v>#REF!</v>
      </c>
      <c r="D432" s="172" t="e">
        <f>IF(ISTEXT(([0]!P_1_8.28.2 [0]!MT)),0,([0]!P_1_8.28.2 [0]!MT))</f>
        <v>#REF!</v>
      </c>
    </row>
    <row r="433" spans="1:4" x14ac:dyDescent="0.25">
      <c r="A433" s="170" t="s">
        <v>435</v>
      </c>
      <c r="B433" s="171" t="e">
        <f>IF(ISTEXT(([0]!P_1_8.28.3 [0]!Qté)),0,([0]!P_1_8.28.3 [0]!Qté))</f>
        <v>#REF!</v>
      </c>
      <c r="C433" s="172" t="e">
        <f>([0]!P_1_8.28.3 [0]!PU)</f>
        <v>#REF!</v>
      </c>
      <c r="D433" s="172" t="e">
        <f>IF(ISTEXT(([0]!P_1_8.28.3 [0]!MT)),0,([0]!P_1_8.28.3 [0]!MT))</f>
        <v>#REF!</v>
      </c>
    </row>
    <row r="434" spans="1:4" x14ac:dyDescent="0.25">
      <c r="A434" s="170" t="s">
        <v>436</v>
      </c>
      <c r="B434" s="171" t="e">
        <f>IF(ISTEXT(([0]!P_1_8.28.4 [0]!Qté)),0,([0]!P_1_8.28.4 [0]!Qté))</f>
        <v>#REF!</v>
      </c>
      <c r="C434" s="172" t="e">
        <f>([0]!P_1_8.28.4 [0]!PU)</f>
        <v>#REF!</v>
      </c>
      <c r="D434" s="172" t="e">
        <f>IF(ISTEXT(([0]!P_1_8.28.4 [0]!MT)),0,([0]!P_1_8.28.4 [0]!MT))</f>
        <v>#REF!</v>
      </c>
    </row>
    <row r="435" spans="1:4" x14ac:dyDescent="0.25">
      <c r="A435" s="170" t="s">
        <v>437</v>
      </c>
      <c r="B435" s="171" t="e">
        <f>IF(ISTEXT(([0]!P_1_8.28.5 [0]!Qté)),0,([0]!P_1_8.28.5 [0]!Qté))</f>
        <v>#REF!</v>
      </c>
      <c r="C435" s="172" t="e">
        <f>([0]!P_1_8.28.5 [0]!PU)</f>
        <v>#REF!</v>
      </c>
      <c r="D435" s="172" t="e">
        <f>IF(ISTEXT(([0]!P_1_8.28.5 [0]!MT)),0,([0]!P_1_8.28.5 [0]!MT))</f>
        <v>#REF!</v>
      </c>
    </row>
    <row r="436" spans="1:4" x14ac:dyDescent="0.25">
      <c r="A436" s="170" t="s">
        <v>438</v>
      </c>
      <c r="B436" s="171" t="e">
        <f>IF(ISTEXT(([0]!P_1_8.28.6 [0]!Qté)),0,([0]!P_1_8.28.6 [0]!Qté))</f>
        <v>#REF!</v>
      </c>
      <c r="C436" s="172" t="e">
        <f>([0]!P_1_8.28.6 [0]!PU)</f>
        <v>#REF!</v>
      </c>
      <c r="D436" s="172" t="e">
        <f>IF(ISTEXT(([0]!P_1_8.28.6 [0]!MT)),0,([0]!P_1_8.28.6 [0]!MT))</f>
        <v>#REF!</v>
      </c>
    </row>
    <row r="437" spans="1:4" x14ac:dyDescent="0.25">
      <c r="A437" s="170" t="s">
        <v>439</v>
      </c>
      <c r="B437" s="171" t="e">
        <f>IF(ISTEXT(([0]!P_1_8.28.7 [0]!Qté)),0,([0]!P_1_8.28.7 [0]!Qté))</f>
        <v>#REF!</v>
      </c>
      <c r="C437" s="172" t="e">
        <f>([0]!P_1_8.28.7 [0]!PU)</f>
        <v>#REF!</v>
      </c>
      <c r="D437" s="172" t="e">
        <f>IF(ISTEXT(([0]!P_1_8.28.7 [0]!MT)),0,([0]!P_1_8.28.7 [0]!MT))</f>
        <v>#REF!</v>
      </c>
    </row>
    <row r="438" spans="1:4" x14ac:dyDescent="0.25">
      <c r="A438" s="170" t="s">
        <v>440</v>
      </c>
      <c r="B438" s="171" t="e">
        <f>IF(ISTEXT(([0]!P_1_8.28.8 [0]!Qté)),0,([0]!P_1_8.28.8 [0]!Qté))</f>
        <v>#REF!</v>
      </c>
      <c r="C438" s="172" t="e">
        <f>([0]!P_1_8.28.8 [0]!PU)</f>
        <v>#REF!</v>
      </c>
      <c r="D438" s="172" t="e">
        <f>IF(ISTEXT(([0]!P_1_8.28.8 [0]!MT)),0,([0]!P_1_8.28.8 [0]!MT))</f>
        <v>#REF!</v>
      </c>
    </row>
    <row r="439" spans="1:4" x14ac:dyDescent="0.25">
      <c r="A439" s="170" t="s">
        <v>441</v>
      </c>
      <c r="B439" s="171" t="e">
        <f>IF(ISTEXT(([0]!P_1_8.29.1 [0]!Qté)),0,([0]!P_1_8.29.1 [0]!Qté))</f>
        <v>#REF!</v>
      </c>
      <c r="C439" s="172" t="e">
        <f>([0]!P_1_8.29.1 [0]!PU)</f>
        <v>#REF!</v>
      </c>
      <c r="D439" s="172" t="e">
        <f>IF(ISTEXT(([0]!P_1_8.29.1 [0]!MT)),0,([0]!P_1_8.29.1 [0]!MT))</f>
        <v>#REF!</v>
      </c>
    </row>
    <row r="440" spans="1:4" x14ac:dyDescent="0.25">
      <c r="A440" s="170" t="s">
        <v>442</v>
      </c>
      <c r="B440" s="171" t="e">
        <f>IF(ISTEXT(([0]!P_1_8.29.2 [0]!Qté)),0,([0]!P_1_8.29.2 [0]!Qté))</f>
        <v>#REF!</v>
      </c>
      <c r="C440" s="172" t="e">
        <f>([0]!P_1_8.29.2 [0]!PU)</f>
        <v>#REF!</v>
      </c>
      <c r="D440" s="172" t="e">
        <f>IF(ISTEXT(([0]!P_1_8.29.2 [0]!MT)),0,([0]!P_1_8.29.2 [0]!MT))</f>
        <v>#REF!</v>
      </c>
    </row>
    <row r="441" spans="1:4" x14ac:dyDescent="0.25">
      <c r="A441" s="170" t="s">
        <v>443</v>
      </c>
      <c r="B441" s="171" t="e">
        <f>IF(ISTEXT(([0]!P_1_8.29.3 [0]!Qté)),0,([0]!P_1_8.29.3 [0]!Qté))</f>
        <v>#REF!</v>
      </c>
      <c r="C441" s="172" t="e">
        <f>([0]!P_1_8.29.3 [0]!PU)</f>
        <v>#REF!</v>
      </c>
      <c r="D441" s="172" t="e">
        <f>IF(ISTEXT(([0]!P_1_8.29.3 [0]!MT)),0,([0]!P_1_8.29.3 [0]!MT))</f>
        <v>#REF!</v>
      </c>
    </row>
    <row r="442" spans="1:4" x14ac:dyDescent="0.25">
      <c r="A442" s="170" t="s">
        <v>444</v>
      </c>
      <c r="B442" s="171" t="e">
        <f>IF(ISTEXT(([0]!P_1_8.29.4 [0]!Qté)),0,([0]!P_1_8.29.4 [0]!Qté))</f>
        <v>#REF!</v>
      </c>
      <c r="C442" s="172" t="e">
        <f>([0]!P_1_8.29.4 [0]!PU)</f>
        <v>#REF!</v>
      </c>
      <c r="D442" s="172" t="e">
        <f>IF(ISTEXT(([0]!P_1_8.29.4 [0]!MT)),0,([0]!P_1_8.29.4 [0]!MT))</f>
        <v>#REF!</v>
      </c>
    </row>
    <row r="443" spans="1:4" x14ac:dyDescent="0.25">
      <c r="A443" s="170" t="s">
        <v>445</v>
      </c>
      <c r="B443" s="171" t="e">
        <f>IF(ISTEXT(([0]!P_1_8.29.5 [0]!Qté)),0,([0]!P_1_8.29.5 [0]!Qté))</f>
        <v>#REF!</v>
      </c>
      <c r="C443" s="172" t="e">
        <f>([0]!P_1_8.29.5 [0]!PU)</f>
        <v>#REF!</v>
      </c>
      <c r="D443" s="172" t="e">
        <f>IF(ISTEXT(([0]!P_1_8.29.5 [0]!MT)),0,([0]!P_1_8.29.5 [0]!MT))</f>
        <v>#REF!</v>
      </c>
    </row>
    <row r="444" spans="1:4" x14ac:dyDescent="0.25">
      <c r="A444" s="170" t="s">
        <v>446</v>
      </c>
      <c r="B444" s="171" t="e">
        <f>IF(ISTEXT(([0]!P_1_8.29.6 [0]!Qté)),0,([0]!P_1_8.29.6 [0]!Qté))</f>
        <v>#REF!</v>
      </c>
      <c r="C444" s="172" t="e">
        <f>([0]!P_1_8.29.6 [0]!PU)</f>
        <v>#REF!</v>
      </c>
      <c r="D444" s="172" t="e">
        <f>IF(ISTEXT(([0]!P_1_8.29.6 [0]!MT)),0,([0]!P_1_8.29.6 [0]!MT))</f>
        <v>#REF!</v>
      </c>
    </row>
    <row r="445" spans="1:4" x14ac:dyDescent="0.25">
      <c r="A445" s="170" t="s">
        <v>447</v>
      </c>
      <c r="B445" s="171" t="e">
        <f>IF(ISTEXT(([0]!P_1_8.30.1 [0]!Qté)),0,([0]!P_1_8.30.1 [0]!Qté))</f>
        <v>#REF!</v>
      </c>
      <c r="C445" s="172" t="e">
        <f>([0]!P_1_8.30.1 [0]!PU)</f>
        <v>#REF!</v>
      </c>
      <c r="D445" s="172" t="e">
        <f>IF(ISTEXT(([0]!P_1_8.30.1 [0]!MT)),0,([0]!P_1_8.30.1 [0]!MT))</f>
        <v>#REF!</v>
      </c>
    </row>
    <row r="446" spans="1:4" x14ac:dyDescent="0.25">
      <c r="A446" s="170" t="s">
        <v>448</v>
      </c>
      <c r="B446" s="171" t="e">
        <f>IF(ISTEXT(([0]!P_1_8.30.2 [0]!Qté)),0,([0]!P_1_8.30.2 [0]!Qté))</f>
        <v>#REF!</v>
      </c>
      <c r="C446" s="172" t="e">
        <f>([0]!P_1_8.30.2 [0]!PU)</f>
        <v>#REF!</v>
      </c>
      <c r="D446" s="172" t="e">
        <f>IF(ISTEXT(([0]!P_1_8.30.2 [0]!MT)),0,([0]!P_1_8.30.2 [0]!MT))</f>
        <v>#REF!</v>
      </c>
    </row>
    <row r="447" spans="1:4" x14ac:dyDescent="0.25">
      <c r="A447" s="170" t="s">
        <v>449</v>
      </c>
      <c r="B447" s="171" t="e">
        <f>IF(ISTEXT(([0]!P_1_8.30.3 [0]!Qté)),0,([0]!P_1_8.30.3 [0]!Qté))</f>
        <v>#REF!</v>
      </c>
      <c r="C447" s="172" t="e">
        <f>([0]!P_1_8.30.3 [0]!PU)</f>
        <v>#REF!</v>
      </c>
      <c r="D447" s="172" t="e">
        <f>IF(ISTEXT(([0]!P_1_8.30.3 [0]!MT)),0,([0]!P_1_8.30.3 [0]!MT))</f>
        <v>#REF!</v>
      </c>
    </row>
    <row r="448" spans="1:4" x14ac:dyDescent="0.25">
      <c r="A448" s="170" t="s">
        <v>450</v>
      </c>
      <c r="B448" s="171" t="e">
        <f>IF(ISTEXT(([0]!P_1_8.30.4 [0]!Qté)),0,([0]!P_1_8.30.4 [0]!Qté))</f>
        <v>#REF!</v>
      </c>
      <c r="C448" s="172" t="e">
        <f>([0]!P_1_8.30.4 [0]!PU)</f>
        <v>#REF!</v>
      </c>
      <c r="D448" s="172" t="e">
        <f>IF(ISTEXT(([0]!P_1_8.30.4 [0]!MT)),0,([0]!P_1_8.30.4 [0]!MT))</f>
        <v>#REF!</v>
      </c>
    </row>
    <row r="449" spans="1:4" x14ac:dyDescent="0.25">
      <c r="A449" s="170" t="s">
        <v>451</v>
      </c>
      <c r="B449" s="171" t="e">
        <f>IF(ISTEXT(([0]!P_1_8.31.1 [0]!Qté)),0,([0]!P_1_8.31.1 [0]!Qté))</f>
        <v>#REF!</v>
      </c>
      <c r="C449" s="172" t="e">
        <f>([0]!P_1_8.31.1 [0]!PU)</f>
        <v>#REF!</v>
      </c>
      <c r="D449" s="172" t="e">
        <f>IF(ISTEXT(([0]!P_1_8.31.1 [0]!MT)),0,([0]!P_1_8.31.1 [0]!MT))</f>
        <v>#REF!</v>
      </c>
    </row>
    <row r="450" spans="1:4" x14ac:dyDescent="0.25">
      <c r="A450" s="170" t="s">
        <v>452</v>
      </c>
      <c r="B450" s="171" t="e">
        <f>IF(ISTEXT(([0]!P_1_8.31.2 [0]!Qté)),0,([0]!P_1_8.31.2 [0]!Qté))</f>
        <v>#REF!</v>
      </c>
      <c r="C450" s="172" t="e">
        <f>([0]!P_1_8.31.2 [0]!PU)</f>
        <v>#REF!</v>
      </c>
      <c r="D450" s="172" t="e">
        <f>IF(ISTEXT(([0]!P_1_8.31.2 [0]!MT)),0,([0]!P_1_8.31.2 [0]!MT))</f>
        <v>#REF!</v>
      </c>
    </row>
    <row r="451" spans="1:4" x14ac:dyDescent="0.25">
      <c r="A451" s="170" t="s">
        <v>453</v>
      </c>
      <c r="B451" s="171" t="e">
        <f>IF(ISTEXT(([0]!P_1_8.31.3 [0]!Qté)),0,([0]!P_1_8.31.3 [0]!Qté))</f>
        <v>#REF!</v>
      </c>
      <c r="C451" s="172" t="e">
        <f>([0]!P_1_8.31.3 [0]!PU)</f>
        <v>#REF!</v>
      </c>
      <c r="D451" s="172" t="e">
        <f>IF(ISTEXT(([0]!P_1_8.31.3 [0]!MT)),0,([0]!P_1_8.31.3 [0]!MT))</f>
        <v>#REF!</v>
      </c>
    </row>
    <row r="452" spans="1:4" x14ac:dyDescent="0.25">
      <c r="A452" s="170" t="s">
        <v>454</v>
      </c>
      <c r="B452" s="171" t="e">
        <f>IF(ISTEXT(([0]!P_1_8.31.4 [0]!Qté)),0,([0]!P_1_8.31.4 [0]!Qté))</f>
        <v>#REF!</v>
      </c>
      <c r="C452" s="172" t="e">
        <f>([0]!P_1_8.31.4 [0]!PU)</f>
        <v>#REF!</v>
      </c>
      <c r="D452" s="172" t="e">
        <f>IF(ISTEXT(([0]!P_1_8.31.4 [0]!MT)),0,([0]!P_1_8.31.4 [0]!MT))</f>
        <v>#REF!</v>
      </c>
    </row>
    <row r="453" spans="1:4" x14ac:dyDescent="0.25">
      <c r="A453" s="170" t="s">
        <v>455</v>
      </c>
      <c r="B453" s="171" t="e">
        <f>IF(ISTEXT(([0]!P_1_8.31.5 [0]!Qté)),0,([0]!P_1_8.31.5 [0]!Qté))</f>
        <v>#REF!</v>
      </c>
      <c r="C453" s="172" t="e">
        <f>([0]!P_1_8.31.5 [0]!PU)</f>
        <v>#REF!</v>
      </c>
      <c r="D453" s="172" t="e">
        <f>IF(ISTEXT(([0]!P_1_8.31.5 [0]!MT)),0,([0]!P_1_8.31.5 [0]!MT))</f>
        <v>#REF!</v>
      </c>
    </row>
    <row r="454" spans="1:4" x14ac:dyDescent="0.25">
      <c r="A454" s="170" t="s">
        <v>456</v>
      </c>
      <c r="B454" s="171" t="e">
        <f>IF(ISTEXT(([0]!P_1_8.31.6 [0]!Qté)),0,([0]!P_1_8.31.6 [0]!Qté))</f>
        <v>#REF!</v>
      </c>
      <c r="C454" s="172" t="e">
        <f>([0]!P_1_8.31.6 [0]!PU)</f>
        <v>#REF!</v>
      </c>
      <c r="D454" s="172" t="e">
        <f>IF(ISTEXT(([0]!P_1_8.31.6 [0]!MT)),0,([0]!P_1_8.31.6 [0]!MT))</f>
        <v>#REF!</v>
      </c>
    </row>
    <row r="455" spans="1:4" x14ac:dyDescent="0.25">
      <c r="A455" s="170" t="s">
        <v>457</v>
      </c>
      <c r="B455" s="171" t="e">
        <f>IF(ISTEXT(([0]!P_1_8.31.7 [0]!Qté)),0,([0]!P_1_8.31.7 [0]!Qté))</f>
        <v>#REF!</v>
      </c>
      <c r="C455" s="172" t="e">
        <f>([0]!P_1_8.31.7 [0]!PU)</f>
        <v>#REF!</v>
      </c>
      <c r="D455" s="172" t="e">
        <f>IF(ISTEXT(([0]!P_1_8.31.7 [0]!MT)),0,([0]!P_1_8.31.7 [0]!MT))</f>
        <v>#REF!</v>
      </c>
    </row>
    <row r="456" spans="1:4" x14ac:dyDescent="0.25">
      <c r="A456" s="170" t="s">
        <v>458</v>
      </c>
      <c r="B456" s="171" t="e">
        <f>IF(ISTEXT(([0]!P_1_9.1 [0]!Qté)),0,([0]!P_1_9.1 [0]!Qté))</f>
        <v>#REF!</v>
      </c>
      <c r="C456" s="172" t="e">
        <f>([0]!P_1_9.1 [0]!PU)</f>
        <v>#REF!</v>
      </c>
      <c r="D456" s="172" t="e">
        <f>IF(ISTEXT(([0]!P_1_9.1 [0]!MT)),0,([0]!P_1_9.1 [0]!MT))</f>
        <v>#REF!</v>
      </c>
    </row>
    <row r="457" spans="1:4" x14ac:dyDescent="0.25">
      <c r="A457" s="170" t="s">
        <v>459</v>
      </c>
      <c r="B457" s="171" t="e">
        <f>IF(ISTEXT(([0]!P_1_9.2 [0]!Qté)),0,([0]!P_1_9.2 [0]!Qté))</f>
        <v>#REF!</v>
      </c>
      <c r="C457" s="172" t="e">
        <f>([0]!P_1_9.2 [0]!PU)</f>
        <v>#REF!</v>
      </c>
      <c r="D457" s="172" t="e">
        <f>IF(ISTEXT(([0]!P_1_9.2 [0]!MT)),0,([0]!P_1_9.2 [0]!MT))</f>
        <v>#REF!</v>
      </c>
    </row>
    <row r="458" spans="1:4" x14ac:dyDescent="0.25">
      <c r="A458" s="170" t="s">
        <v>460</v>
      </c>
      <c r="B458" s="171" t="e">
        <f>IF(ISTEXT(([0]!P_1_9.3.1 [0]!Qté)),0,([0]!P_1_9.3.1 [0]!Qté))</f>
        <v>#REF!</v>
      </c>
      <c r="C458" s="172" t="e">
        <f>([0]!P_1_9.3.1 [0]!PU)</f>
        <v>#REF!</v>
      </c>
      <c r="D458" s="172" t="e">
        <f>IF(ISTEXT(([0]!P_1_9.3.1 [0]!MT)),0,([0]!P_1_9.3.1 [0]!MT))</f>
        <v>#REF!</v>
      </c>
    </row>
    <row r="459" spans="1:4" x14ac:dyDescent="0.25">
      <c r="A459" s="170" t="s">
        <v>461</v>
      </c>
      <c r="B459" s="171" t="e">
        <f>IF(ISTEXT(([0]!P_1_9.3.2 [0]!Qté)),0,([0]!P_1_9.3.2 [0]!Qté))</f>
        <v>#REF!</v>
      </c>
      <c r="C459" s="172" t="e">
        <f>([0]!P_1_9.3.2 [0]!PU)</f>
        <v>#REF!</v>
      </c>
      <c r="D459" s="172" t="e">
        <f>IF(ISTEXT(([0]!P_1_9.3.2 [0]!MT)),0,([0]!P_1_9.3.2 [0]!MT))</f>
        <v>#REF!</v>
      </c>
    </row>
    <row r="460" spans="1:4" x14ac:dyDescent="0.25">
      <c r="A460" s="170" t="s">
        <v>462</v>
      </c>
      <c r="B460" s="171" t="e">
        <f>IF(ISTEXT(([0]!P_1_9.3.3 [0]!Qté)),0,([0]!P_1_9.3.3 [0]!Qté))</f>
        <v>#REF!</v>
      </c>
      <c r="C460" s="172" t="e">
        <f>([0]!P_1_9.3.3 [0]!PU)</f>
        <v>#REF!</v>
      </c>
      <c r="D460" s="172" t="e">
        <f>IF(ISTEXT(([0]!P_1_9.3.3 [0]!MT)),0,([0]!P_1_9.3.3 [0]!MT))</f>
        <v>#REF!</v>
      </c>
    </row>
    <row r="461" spans="1:4" x14ac:dyDescent="0.25">
      <c r="A461" s="170" t="s">
        <v>463</v>
      </c>
      <c r="B461" s="171" t="e">
        <f>IF(ISTEXT(([0]!P_1_9.3.4 [0]!Qté)),0,([0]!P_1_9.3.4 [0]!Qté))</f>
        <v>#REF!</v>
      </c>
      <c r="C461" s="172" t="e">
        <f>([0]!P_1_9.3.4 [0]!PU)</f>
        <v>#REF!</v>
      </c>
      <c r="D461" s="172" t="e">
        <f>IF(ISTEXT(([0]!P_1_9.3.4 [0]!MT)),0,([0]!P_1_9.3.4 [0]!MT))</f>
        <v>#REF!</v>
      </c>
    </row>
    <row r="462" spans="1:4" x14ac:dyDescent="0.25">
      <c r="A462" s="170" t="s">
        <v>464</v>
      </c>
      <c r="B462" s="171" t="e">
        <f>IF(ISTEXT(([0]!P_1_9.4.1 [0]!Qté)),0,([0]!P_1_9.4.1 [0]!Qté))</f>
        <v>#REF!</v>
      </c>
      <c r="C462" s="172" t="e">
        <f>([0]!P_1_9.4.1 [0]!PU)</f>
        <v>#REF!</v>
      </c>
      <c r="D462" s="172" t="e">
        <f>IF(ISTEXT(([0]!P_1_9.4.1 [0]!MT)),0,([0]!P_1_9.4.1 [0]!MT))</f>
        <v>#REF!</v>
      </c>
    </row>
    <row r="463" spans="1:4" x14ac:dyDescent="0.25">
      <c r="A463" s="170" t="s">
        <v>465</v>
      </c>
      <c r="B463" s="171" t="e">
        <f>IF(ISTEXT(([0]!P_1_9.4.2 [0]!Qté)),0,([0]!P_1_9.4.2 [0]!Qté))</f>
        <v>#REF!</v>
      </c>
      <c r="C463" s="172" t="e">
        <f>([0]!P_1_9.4.2 [0]!PU)</f>
        <v>#REF!</v>
      </c>
      <c r="D463" s="172" t="e">
        <f>IF(ISTEXT(([0]!P_1_9.4.2 [0]!MT)),0,([0]!P_1_9.4.2 [0]!MT))</f>
        <v>#REF!</v>
      </c>
    </row>
    <row r="464" spans="1:4" x14ac:dyDescent="0.25">
      <c r="A464" s="170" t="s">
        <v>466</v>
      </c>
      <c r="B464" s="171" t="e">
        <f>IF(ISTEXT(([0]!P_1_9.4.3 [0]!Qté)),0,([0]!P_1_9.4.3 [0]!Qté))</f>
        <v>#REF!</v>
      </c>
      <c r="C464" s="172" t="e">
        <f>([0]!P_1_9.4.3 [0]!PU)</f>
        <v>#REF!</v>
      </c>
      <c r="D464" s="172" t="e">
        <f>IF(ISTEXT(([0]!P_1_9.4.3 [0]!MT)),0,([0]!P_1_9.4.3 [0]!MT))</f>
        <v>#REF!</v>
      </c>
    </row>
    <row r="465" spans="1:4" x14ac:dyDescent="0.25">
      <c r="A465" s="170" t="s">
        <v>467</v>
      </c>
      <c r="B465" s="171" t="e">
        <f>IF(ISTEXT(([0]!P_1_9.4.4 [0]!Qté)),0,([0]!P_1_9.4.4 [0]!Qté))</f>
        <v>#REF!</v>
      </c>
      <c r="C465" s="172" t="e">
        <f>([0]!P_1_9.4.4 [0]!PU)</f>
        <v>#REF!</v>
      </c>
      <c r="D465" s="172" t="e">
        <f>IF(ISTEXT(([0]!P_1_9.4.4 [0]!MT)),0,([0]!P_1_9.4.4 [0]!MT))</f>
        <v>#REF!</v>
      </c>
    </row>
    <row r="466" spans="1:4" x14ac:dyDescent="0.25">
      <c r="A466" s="170" t="s">
        <v>468</v>
      </c>
      <c r="B466" s="171" t="e">
        <f>IF(ISTEXT(([0]!P_1_9.5.1 [0]!Qté)),0,([0]!P_1_9.5.1 [0]!Qté))</f>
        <v>#REF!</v>
      </c>
      <c r="C466" s="172" t="e">
        <f>([0]!P_1_9.5.1 [0]!PU)</f>
        <v>#REF!</v>
      </c>
      <c r="D466" s="172" t="e">
        <f>IF(ISTEXT(([0]!P_1_9.5.1 [0]!MT)),0,([0]!P_1_9.5.1 [0]!MT))</f>
        <v>#REF!</v>
      </c>
    </row>
    <row r="467" spans="1:4" x14ac:dyDescent="0.25">
      <c r="A467" s="170" t="s">
        <v>469</v>
      </c>
      <c r="B467" s="171" t="e">
        <f>IF(ISTEXT(([0]!P_1_9.5.2 [0]!Qté)),0,([0]!P_1_9.5.2 [0]!Qté))</f>
        <v>#REF!</v>
      </c>
      <c r="C467" s="172" t="e">
        <f>([0]!P_1_9.5.2 [0]!PU)</f>
        <v>#REF!</v>
      </c>
      <c r="D467" s="172" t="e">
        <f>IF(ISTEXT(([0]!P_1_9.5.2 [0]!MT)),0,([0]!P_1_9.5.2 [0]!MT))</f>
        <v>#REF!</v>
      </c>
    </row>
    <row r="468" spans="1:4" x14ac:dyDescent="0.25">
      <c r="A468" s="170" t="s">
        <v>470</v>
      </c>
      <c r="B468" s="171" t="e">
        <f>IF(ISTEXT(([0]!P_1_9.5.3 [0]!Qté)),0,([0]!P_1_9.5.3 [0]!Qté))</f>
        <v>#REF!</v>
      </c>
      <c r="C468" s="172" t="e">
        <f>([0]!P_1_9.5.3 [0]!PU)</f>
        <v>#REF!</v>
      </c>
      <c r="D468" s="172" t="e">
        <f>IF(ISTEXT(([0]!P_1_9.5.3 [0]!MT)),0,([0]!P_1_9.5.3 [0]!MT))</f>
        <v>#REF!</v>
      </c>
    </row>
    <row r="469" spans="1:4" x14ac:dyDescent="0.25">
      <c r="A469" s="170" t="s">
        <v>471</v>
      </c>
      <c r="B469" s="171" t="e">
        <f>IF(ISTEXT(([0]!P_1_9.5.4 [0]!Qté)),0,([0]!P_1_9.5.4 [0]!Qté))</f>
        <v>#REF!</v>
      </c>
      <c r="C469" s="172" t="e">
        <f>([0]!P_1_9.5.4 [0]!PU)</f>
        <v>#REF!</v>
      </c>
      <c r="D469" s="172" t="e">
        <f>IF(ISTEXT(([0]!P_1_9.5.4 [0]!MT)),0,([0]!P_1_9.5.4 [0]!MT))</f>
        <v>#REF!</v>
      </c>
    </row>
    <row r="470" spans="1:4" x14ac:dyDescent="0.25">
      <c r="A470" s="170" t="s">
        <v>472</v>
      </c>
      <c r="B470" s="171" t="e">
        <f>IF(ISTEXT(([0]!P_1_9.5.5 [0]!Qté)),0,([0]!P_1_9.5.5 [0]!Qté))</f>
        <v>#REF!</v>
      </c>
      <c r="C470" s="172" t="e">
        <f>([0]!P_1_9.5.5 [0]!PU)</f>
        <v>#REF!</v>
      </c>
      <c r="D470" s="172" t="e">
        <f>IF(ISTEXT(([0]!P_1_9.5.5 [0]!MT)),0,([0]!P_1_9.5.5 [0]!MT))</f>
        <v>#REF!</v>
      </c>
    </row>
    <row r="471" spans="1:4" x14ac:dyDescent="0.25">
      <c r="A471" s="170" t="s">
        <v>473</v>
      </c>
      <c r="B471" s="171" t="e">
        <f>IF(ISTEXT(([0]!P_1_9.5.6 [0]!Qté)),0,([0]!P_1_9.5.6 [0]!Qté))</f>
        <v>#REF!</v>
      </c>
      <c r="C471" s="172" t="e">
        <f>([0]!P_1_9.5.6 [0]!PU)</f>
        <v>#REF!</v>
      </c>
      <c r="D471" s="172" t="e">
        <f>IF(ISTEXT(([0]!P_1_9.5.6 [0]!MT)),0,([0]!P_1_9.5.6 [0]!MT))</f>
        <v>#REF!</v>
      </c>
    </row>
    <row r="472" spans="1:4" x14ac:dyDescent="0.25">
      <c r="A472" s="170" t="s">
        <v>474</v>
      </c>
      <c r="B472" s="171" t="e">
        <f>IF(ISTEXT(([0]!P_1_9.5.7 [0]!Qté)),0,([0]!P_1_9.5.7 [0]!Qté))</f>
        <v>#REF!</v>
      </c>
      <c r="C472" s="172" t="e">
        <f>([0]!P_1_9.5.7 [0]!PU)</f>
        <v>#REF!</v>
      </c>
      <c r="D472" s="172" t="e">
        <f>IF(ISTEXT(([0]!P_1_9.5.7 [0]!MT)),0,([0]!P_1_9.5.7 [0]!MT))</f>
        <v>#REF!</v>
      </c>
    </row>
    <row r="473" spans="1:4" x14ac:dyDescent="0.25">
      <c r="A473" s="170" t="s">
        <v>475</v>
      </c>
      <c r="B473" s="171" t="e">
        <f>IF(ISTEXT(([0]!P_1_9.5.8 [0]!Qté)),0,([0]!P_1_9.5.8 [0]!Qté))</f>
        <v>#REF!</v>
      </c>
      <c r="C473" s="172" t="e">
        <f>([0]!P_1_9.5.8 [0]!PU)</f>
        <v>#REF!</v>
      </c>
      <c r="D473" s="172" t="e">
        <f>IF(ISTEXT(([0]!P_1_9.5.8 [0]!MT)),0,([0]!P_1_9.5.8 [0]!MT))</f>
        <v>#REF!</v>
      </c>
    </row>
    <row r="474" spans="1:4" x14ac:dyDescent="0.25">
      <c r="A474" s="170" t="s">
        <v>476</v>
      </c>
      <c r="B474" s="171" t="e">
        <f>IF(ISTEXT(([0]!P_1_10.1.1 [0]!Qté)),0,([0]!P_1_10.1.1 [0]!Qté))</f>
        <v>#REF!</v>
      </c>
      <c r="C474" s="172" t="e">
        <f>([0]!P_1_10.1.1 [0]!PU)</f>
        <v>#REF!</v>
      </c>
      <c r="D474" s="172" t="e">
        <f>IF(ISTEXT(([0]!P_1_10.1.1 [0]!MT)),0,([0]!P_1_10.1.1 [0]!MT))</f>
        <v>#REF!</v>
      </c>
    </row>
    <row r="475" spans="1:4" x14ac:dyDescent="0.25">
      <c r="A475" s="170" t="s">
        <v>477</v>
      </c>
      <c r="B475" s="171" t="e">
        <f>IF(ISTEXT(([0]!P_1_10.1.2 [0]!Qté)),0,([0]!P_1_10.1.2 [0]!Qté))</f>
        <v>#REF!</v>
      </c>
      <c r="C475" s="172" t="e">
        <f>([0]!P_1_10.1.2 [0]!PU)</f>
        <v>#REF!</v>
      </c>
      <c r="D475" s="172" t="e">
        <f>IF(ISTEXT(([0]!P_1_10.1.2 [0]!MT)),0,([0]!P_1_10.1.2 [0]!MT))</f>
        <v>#REF!</v>
      </c>
    </row>
    <row r="476" spans="1:4" x14ac:dyDescent="0.25">
      <c r="A476" s="170" t="s">
        <v>478</v>
      </c>
      <c r="B476" s="171" t="e">
        <f>IF(ISTEXT(([0]!P_1_10.1.3 [0]!Qté)),0,([0]!P_1_10.1.3 [0]!Qté))</f>
        <v>#REF!</v>
      </c>
      <c r="C476" s="172" t="e">
        <f>([0]!P_1_10.1.3 [0]!PU)</f>
        <v>#REF!</v>
      </c>
      <c r="D476" s="172" t="e">
        <f>IF(ISTEXT(([0]!P_1_10.1.3 [0]!MT)),0,([0]!P_1_10.1.3 [0]!MT))</f>
        <v>#REF!</v>
      </c>
    </row>
    <row r="477" spans="1:4" x14ac:dyDescent="0.25">
      <c r="A477" s="170" t="s">
        <v>479</v>
      </c>
      <c r="B477" s="171" t="e">
        <f>IF(ISTEXT(([0]!P_1_10.1.4 [0]!Qté)),0,([0]!P_1_10.1.4 [0]!Qté))</f>
        <v>#REF!</v>
      </c>
      <c r="C477" s="172" t="e">
        <f>([0]!P_1_10.1.4 [0]!PU)</f>
        <v>#REF!</v>
      </c>
      <c r="D477" s="172" t="e">
        <f>IF(ISTEXT(([0]!P_1_10.1.4 [0]!MT)),0,([0]!P_1_10.1.4 [0]!MT))</f>
        <v>#REF!</v>
      </c>
    </row>
    <row r="478" spans="1:4" x14ac:dyDescent="0.25">
      <c r="A478" s="170" t="s">
        <v>480</v>
      </c>
      <c r="B478" s="171" t="e">
        <f>IF(ISTEXT(([0]!P_1_10.1.5 [0]!Qté)),0,([0]!P_1_10.1.5 [0]!Qté))</f>
        <v>#REF!</v>
      </c>
      <c r="C478" s="172" t="e">
        <f>([0]!P_1_10.1.5 [0]!PU)</f>
        <v>#REF!</v>
      </c>
      <c r="D478" s="172" t="e">
        <f>IF(ISTEXT(([0]!P_1_10.1.5 [0]!MT)),0,([0]!P_1_10.1.5 [0]!MT))</f>
        <v>#REF!</v>
      </c>
    </row>
    <row r="479" spans="1:4" x14ac:dyDescent="0.25">
      <c r="A479" s="170" t="s">
        <v>481</v>
      </c>
      <c r="B479" s="171" t="e">
        <f>IF(ISTEXT(([0]!P_1_10.1.6 [0]!Qté)),0,([0]!P_1_10.1.6 [0]!Qté))</f>
        <v>#REF!</v>
      </c>
      <c r="C479" s="172" t="e">
        <f>([0]!P_1_10.1.6 [0]!PU)</f>
        <v>#REF!</v>
      </c>
      <c r="D479" s="172" t="e">
        <f>IF(ISTEXT(([0]!P_1_10.1.6 [0]!MT)),0,([0]!P_1_10.1.6 [0]!MT))</f>
        <v>#REF!</v>
      </c>
    </row>
    <row r="480" spans="1:4" x14ac:dyDescent="0.25">
      <c r="A480" s="170" t="s">
        <v>482</v>
      </c>
      <c r="B480" s="171" t="e">
        <f>IF(ISTEXT(([0]!P_1_10.1.7 [0]!Qté)),0,([0]!P_1_10.1.7 [0]!Qté))</f>
        <v>#REF!</v>
      </c>
      <c r="C480" s="172" t="e">
        <f>([0]!P_1_10.1.7 [0]!PU)</f>
        <v>#REF!</v>
      </c>
      <c r="D480" s="172" t="e">
        <f>IF(ISTEXT(([0]!P_1_10.1.7 [0]!MT)),0,([0]!P_1_10.1.7 [0]!MT))</f>
        <v>#REF!</v>
      </c>
    </row>
    <row r="481" spans="1:4" x14ac:dyDescent="0.25">
      <c r="A481" s="170" t="s">
        <v>483</v>
      </c>
      <c r="B481" s="171" t="e">
        <f>IF(ISTEXT(([0]!P_1_10.1.8 [0]!Qté)),0,([0]!P_1_10.1.8 [0]!Qté))</f>
        <v>#REF!</v>
      </c>
      <c r="C481" s="172" t="e">
        <f>([0]!P_1_10.1.8 [0]!PU)</f>
        <v>#REF!</v>
      </c>
      <c r="D481" s="172" t="e">
        <f>IF(ISTEXT(([0]!P_1_10.1.8 [0]!MT)),0,([0]!P_1_10.1.8 [0]!MT))</f>
        <v>#REF!</v>
      </c>
    </row>
    <row r="482" spans="1:4" x14ac:dyDescent="0.25">
      <c r="A482" s="170" t="s">
        <v>484</v>
      </c>
      <c r="B482" s="171" t="e">
        <f>IF(ISTEXT(([0]!P_1_10.1.9 [0]!Qté)),0,([0]!P_1_10.1.9 [0]!Qté))</f>
        <v>#REF!</v>
      </c>
      <c r="C482" s="172" t="e">
        <f>([0]!P_1_10.1.9 [0]!PU)</f>
        <v>#REF!</v>
      </c>
      <c r="D482" s="172" t="e">
        <f>IF(ISTEXT(([0]!P_1_10.1.9 [0]!MT)),0,([0]!P_1_10.1.9 [0]!MT))</f>
        <v>#REF!</v>
      </c>
    </row>
    <row r="483" spans="1:4" x14ac:dyDescent="0.25">
      <c r="A483" s="170" t="s">
        <v>485</v>
      </c>
      <c r="B483" s="171" t="e">
        <f>IF(ISTEXT(([0]!P_1_10.1.10 [0]!Qté)),0,([0]!P_1_10.1.10 [0]!Qté))</f>
        <v>#REF!</v>
      </c>
      <c r="C483" s="172" t="e">
        <f>([0]!P_1_10.1.10 [0]!PU)</f>
        <v>#REF!</v>
      </c>
      <c r="D483" s="172" t="e">
        <f>IF(ISTEXT(([0]!P_1_10.1.10 [0]!MT)),0,([0]!P_1_10.1.10 [0]!MT))</f>
        <v>#REF!</v>
      </c>
    </row>
    <row r="484" spans="1:4" x14ac:dyDescent="0.25">
      <c r="A484" s="170" t="s">
        <v>486</v>
      </c>
      <c r="B484" s="171" t="e">
        <f>IF(ISTEXT(([0]!P_1_10.1.11 [0]!Qté)),0,([0]!P_1_10.1.11 [0]!Qté))</f>
        <v>#REF!</v>
      </c>
      <c r="C484" s="172" t="e">
        <f>([0]!P_1_10.1.11 [0]!PU)</f>
        <v>#REF!</v>
      </c>
      <c r="D484" s="172" t="e">
        <f>IF(ISTEXT(([0]!P_1_10.1.11 [0]!MT)),0,([0]!P_1_10.1.11 [0]!MT))</f>
        <v>#REF!</v>
      </c>
    </row>
    <row r="485" spans="1:4" x14ac:dyDescent="0.25">
      <c r="A485" s="170" t="s">
        <v>487</v>
      </c>
      <c r="B485" s="171" t="e">
        <f>IF(ISTEXT(([0]!P_1_10.2.1 [0]!Qté)),0,([0]!P_1_10.2.1 [0]!Qté))</f>
        <v>#REF!</v>
      </c>
      <c r="C485" s="172" t="e">
        <f>([0]!P_1_10.2.1 [0]!PU)</f>
        <v>#REF!</v>
      </c>
      <c r="D485" s="172" t="e">
        <f>IF(ISTEXT(([0]!P_1_10.2.1 [0]!MT)),0,([0]!P_1_10.2.1 [0]!MT))</f>
        <v>#REF!</v>
      </c>
    </row>
    <row r="486" spans="1:4" x14ac:dyDescent="0.25">
      <c r="A486" s="170" t="s">
        <v>488</v>
      </c>
      <c r="B486" s="171" t="e">
        <f>IF(ISTEXT(([0]!P_1_10.2.2 [0]!Qté)),0,([0]!P_1_10.2.2 [0]!Qté))</f>
        <v>#REF!</v>
      </c>
      <c r="C486" s="172" t="e">
        <f>([0]!P_1_10.2.2 [0]!PU)</f>
        <v>#REF!</v>
      </c>
      <c r="D486" s="172" t="e">
        <f>IF(ISTEXT(([0]!P_1_10.2.2 [0]!MT)),0,([0]!P_1_10.2.2 [0]!MT))</f>
        <v>#REF!</v>
      </c>
    </row>
    <row r="487" spans="1:4" x14ac:dyDescent="0.25">
      <c r="A487" s="170" t="s">
        <v>489</v>
      </c>
      <c r="B487" s="171" t="e">
        <f>IF(ISTEXT(([0]!P_1_10.2.3 [0]!Qté)),0,([0]!P_1_10.2.3 [0]!Qté))</f>
        <v>#REF!</v>
      </c>
      <c r="C487" s="172" t="e">
        <f>([0]!P_1_10.2.3 [0]!PU)</f>
        <v>#REF!</v>
      </c>
      <c r="D487" s="172" t="e">
        <f>IF(ISTEXT(([0]!P_1_10.2.3 [0]!MT)),0,([0]!P_1_10.2.3 [0]!MT))</f>
        <v>#REF!</v>
      </c>
    </row>
    <row r="488" spans="1:4" x14ac:dyDescent="0.25">
      <c r="A488" s="170" t="s">
        <v>490</v>
      </c>
      <c r="B488" s="171" t="e">
        <f>IF(ISTEXT(([0]!P_1_10.2.4.1 [0]!Qté)),0,([0]!P_1_10.2.4.1 [0]!Qté))</f>
        <v>#REF!</v>
      </c>
      <c r="C488" s="172" t="e">
        <f>([0]!P_1_10.2.4.1 [0]!PU)</f>
        <v>#REF!</v>
      </c>
      <c r="D488" s="172" t="e">
        <f>IF(ISTEXT(([0]!P_1_10.2.4.1 [0]!MT)),0,([0]!P_1_10.2.4.1 [0]!MT))</f>
        <v>#REF!</v>
      </c>
    </row>
    <row r="489" spans="1:4" x14ac:dyDescent="0.25">
      <c r="A489" s="170" t="s">
        <v>491</v>
      </c>
      <c r="B489" s="171" t="e">
        <f>IF(ISTEXT(([0]!P_1_10.2.4.2 [0]!Qté)),0,([0]!P_1_10.2.4.2 [0]!Qté))</f>
        <v>#REF!</v>
      </c>
      <c r="C489" s="172" t="e">
        <f>([0]!P_1_10.2.4.2 [0]!PU)</f>
        <v>#REF!</v>
      </c>
      <c r="D489" s="172" t="e">
        <f>IF(ISTEXT(([0]!P_1_10.2.4.2 [0]!MT)),0,([0]!P_1_10.2.4.2 [0]!MT))</f>
        <v>#REF!</v>
      </c>
    </row>
    <row r="490" spans="1:4" x14ac:dyDescent="0.25">
      <c r="A490" s="170" t="s">
        <v>492</v>
      </c>
      <c r="B490" s="171" t="e">
        <f>IF(ISTEXT(([0]!P_1_10.2.4.3 [0]!Qté)),0,([0]!P_1_10.2.4.3 [0]!Qté))</f>
        <v>#REF!</v>
      </c>
      <c r="C490" s="172" t="e">
        <f>([0]!P_1_10.2.4.3 [0]!PU)</f>
        <v>#REF!</v>
      </c>
      <c r="D490" s="172" t="e">
        <f>IF(ISTEXT(([0]!P_1_10.2.4.3 [0]!MT)),0,([0]!P_1_10.2.4.3 [0]!MT))</f>
        <v>#REF!</v>
      </c>
    </row>
    <row r="491" spans="1:4" x14ac:dyDescent="0.25">
      <c r="A491" s="170" t="s">
        <v>493</v>
      </c>
      <c r="B491" s="171" t="e">
        <f>IF(ISTEXT(([0]!P_1_10.2.4.4 [0]!Qté)),0,([0]!P_1_10.2.4.4 [0]!Qté))</f>
        <v>#REF!</v>
      </c>
      <c r="C491" s="172" t="e">
        <f>([0]!P_1_10.2.4.4 [0]!PU)</f>
        <v>#REF!</v>
      </c>
      <c r="D491" s="172" t="e">
        <f>IF(ISTEXT(([0]!P_1_10.2.4.4 [0]!MT)),0,([0]!P_1_10.2.4.4 [0]!MT))</f>
        <v>#REF!</v>
      </c>
    </row>
    <row r="492" spans="1:4" x14ac:dyDescent="0.25">
      <c r="A492" s="170" t="s">
        <v>494</v>
      </c>
      <c r="B492" s="171" t="e">
        <f>IF(ISTEXT(([0]!P_1_10.2.4.5 [0]!Qté)),0,([0]!P_1_10.2.4.5 [0]!Qté))</f>
        <v>#REF!</v>
      </c>
      <c r="C492" s="172" t="e">
        <f>([0]!P_1_10.2.4.5 [0]!PU)</f>
        <v>#REF!</v>
      </c>
      <c r="D492" s="172" t="e">
        <f>IF(ISTEXT(([0]!P_1_10.2.4.5 [0]!MT)),0,([0]!P_1_10.2.4.5 [0]!MT))</f>
        <v>#REF!</v>
      </c>
    </row>
    <row r="493" spans="1:4" x14ac:dyDescent="0.25">
      <c r="A493" s="170" t="s">
        <v>495</v>
      </c>
      <c r="B493" s="171" t="e">
        <f>IF(ISTEXT(([0]!P_1_10.2.4.6 [0]!Qté)),0,([0]!P_1_10.2.4.6 [0]!Qté))</f>
        <v>#REF!</v>
      </c>
      <c r="C493" s="172" t="e">
        <f>([0]!P_1_10.2.4.6 [0]!PU)</f>
        <v>#REF!</v>
      </c>
      <c r="D493" s="172" t="e">
        <f>IF(ISTEXT(([0]!P_1_10.2.4.6 [0]!MT)),0,([0]!P_1_10.2.4.6 [0]!MT))</f>
        <v>#REF!</v>
      </c>
    </row>
    <row r="494" spans="1:4" x14ac:dyDescent="0.25">
      <c r="A494" s="170" t="s">
        <v>496</v>
      </c>
      <c r="B494" s="171" t="e">
        <f>IF(ISTEXT(([0]!P_1_10.2.5.1 [0]!Qté)),0,([0]!P_1_10.2.5.1 [0]!Qté))</f>
        <v>#REF!</v>
      </c>
      <c r="C494" s="172" t="e">
        <f>([0]!P_1_10.2.5.1 [0]!PU)</f>
        <v>#REF!</v>
      </c>
      <c r="D494" s="172" t="e">
        <f>IF(ISTEXT(([0]!P_1_10.2.5.1 [0]!MT)),0,([0]!P_1_10.2.5.1 [0]!MT))</f>
        <v>#REF!</v>
      </c>
    </row>
    <row r="495" spans="1:4" x14ac:dyDescent="0.25">
      <c r="A495" s="170" t="s">
        <v>497</v>
      </c>
      <c r="B495" s="171" t="e">
        <f>IF(ISTEXT(([0]!P_1_10.2.5.2 [0]!Qté)),0,([0]!P_1_10.2.5.2 [0]!Qté))</f>
        <v>#REF!</v>
      </c>
      <c r="C495" s="172" t="e">
        <f>([0]!P_1_10.2.5.2 [0]!PU)</f>
        <v>#REF!</v>
      </c>
      <c r="D495" s="172" t="e">
        <f>IF(ISTEXT(([0]!P_1_10.2.5.2 [0]!MT)),0,([0]!P_1_10.2.5.2 [0]!MT))</f>
        <v>#REF!</v>
      </c>
    </row>
    <row r="496" spans="1:4" x14ac:dyDescent="0.25">
      <c r="A496" s="170" t="s">
        <v>498</v>
      </c>
      <c r="B496" s="171" t="e">
        <f>IF(ISTEXT(([0]!P_1_10.2.5.3 [0]!Qté)),0,([0]!P_1_10.2.5.3 [0]!Qté))</f>
        <v>#REF!</v>
      </c>
      <c r="C496" s="172" t="e">
        <f>([0]!P_1_10.2.5.3 [0]!PU)</f>
        <v>#REF!</v>
      </c>
      <c r="D496" s="172" t="e">
        <f>IF(ISTEXT(([0]!P_1_10.2.5.3 [0]!MT)),0,([0]!P_1_10.2.5.3 [0]!MT))</f>
        <v>#REF!</v>
      </c>
    </row>
    <row r="497" spans="1:4" x14ac:dyDescent="0.25">
      <c r="A497" s="170" t="s">
        <v>499</v>
      </c>
      <c r="B497" s="171" t="e">
        <f>IF(ISTEXT(([0]!P_1_10.2.5.4 [0]!Qté)),0,([0]!P_1_10.2.5.4 [0]!Qté))</f>
        <v>#REF!</v>
      </c>
      <c r="C497" s="172" t="e">
        <f>([0]!P_1_10.2.5.4 [0]!PU)</f>
        <v>#REF!</v>
      </c>
      <c r="D497" s="172" t="e">
        <f>IF(ISTEXT(([0]!P_1_10.2.5.4 [0]!MT)),0,([0]!P_1_10.2.5.4 [0]!MT))</f>
        <v>#REF!</v>
      </c>
    </row>
    <row r="498" spans="1:4" x14ac:dyDescent="0.25">
      <c r="A498" s="170" t="s">
        <v>500</v>
      </c>
      <c r="B498" s="171" t="e">
        <f>IF(ISTEXT(([0]!P_1_10.2.5.5 [0]!Qté)),0,([0]!P_1_10.2.5.5 [0]!Qté))</f>
        <v>#REF!</v>
      </c>
      <c r="C498" s="172" t="e">
        <f>([0]!P_1_10.2.5.5 [0]!PU)</f>
        <v>#REF!</v>
      </c>
      <c r="D498" s="172" t="e">
        <f>IF(ISTEXT(([0]!P_1_10.2.5.5 [0]!MT)),0,([0]!P_1_10.2.5.5 [0]!MT))</f>
        <v>#REF!</v>
      </c>
    </row>
    <row r="499" spans="1:4" x14ac:dyDescent="0.25">
      <c r="A499" s="170" t="s">
        <v>501</v>
      </c>
      <c r="B499" s="171" t="e">
        <f>IF(ISTEXT(([0]!P_1_10.2.5.6 [0]!Qté)),0,([0]!P_1_10.2.5.6 [0]!Qté))</f>
        <v>#REF!</v>
      </c>
      <c r="C499" s="172" t="e">
        <f>([0]!P_1_10.2.5.6 [0]!PU)</f>
        <v>#REF!</v>
      </c>
      <c r="D499" s="172" t="e">
        <f>IF(ISTEXT(([0]!P_1_10.2.5.6 [0]!MT)),0,([0]!P_1_10.2.5.6 [0]!MT))</f>
        <v>#REF!</v>
      </c>
    </row>
    <row r="500" spans="1:4" x14ac:dyDescent="0.25">
      <c r="A500" s="170" t="s">
        <v>502</v>
      </c>
      <c r="B500" s="171" t="e">
        <f>IF(ISTEXT(([0]!P_1_10.2.6.1 [0]!Qté)),0,([0]!P_1_10.2.6.1 [0]!Qté))</f>
        <v>#REF!</v>
      </c>
      <c r="C500" s="172" t="e">
        <f>([0]!P_1_10.2.6.1 [0]!PU)</f>
        <v>#REF!</v>
      </c>
      <c r="D500" s="172" t="e">
        <f>IF(ISTEXT(([0]!P_1_10.2.6.1 [0]!MT)),0,([0]!P_1_10.2.6.1 [0]!MT))</f>
        <v>#REF!</v>
      </c>
    </row>
    <row r="501" spans="1:4" x14ac:dyDescent="0.25">
      <c r="A501" s="170" t="s">
        <v>503</v>
      </c>
      <c r="B501" s="171" t="e">
        <f>IF(ISTEXT(([0]!P_1_10.2.6.2 [0]!Qté)),0,([0]!P_1_10.2.6.2 [0]!Qté))</f>
        <v>#REF!</v>
      </c>
      <c r="C501" s="172" t="e">
        <f>([0]!P_1_10.2.6.2 [0]!PU)</f>
        <v>#REF!</v>
      </c>
      <c r="D501" s="172" t="e">
        <f>IF(ISTEXT(([0]!P_1_10.2.6.2 [0]!MT)),0,([0]!P_1_10.2.6.2 [0]!MT))</f>
        <v>#REF!</v>
      </c>
    </row>
    <row r="502" spans="1:4" x14ac:dyDescent="0.25">
      <c r="A502" s="170" t="s">
        <v>504</v>
      </c>
      <c r="B502" s="171" t="e">
        <f>IF(ISTEXT(([0]!P_1_10.2.6.3 [0]!Qté)),0,([0]!P_1_10.2.6.3 [0]!Qté))</f>
        <v>#REF!</v>
      </c>
      <c r="C502" s="172" t="e">
        <f>([0]!P_1_10.2.6.3 [0]!PU)</f>
        <v>#REF!</v>
      </c>
      <c r="D502" s="172" t="e">
        <f>IF(ISTEXT(([0]!P_1_10.2.6.3 [0]!MT)),0,([0]!P_1_10.2.6.3 [0]!MT))</f>
        <v>#REF!</v>
      </c>
    </row>
    <row r="503" spans="1:4" x14ac:dyDescent="0.25">
      <c r="A503" s="170" t="s">
        <v>505</v>
      </c>
      <c r="B503" s="171" t="e">
        <f>IF(ISTEXT(([0]!P_1_10.2.7.1 [0]!Qté)),0,([0]!P_1_10.2.7.1 [0]!Qté))</f>
        <v>#REF!</v>
      </c>
      <c r="C503" s="172" t="e">
        <f>([0]!P_1_10.2.7.1 [0]!PU)</f>
        <v>#REF!</v>
      </c>
      <c r="D503" s="172" t="e">
        <f>IF(ISTEXT(([0]!P_1_10.2.7.1 [0]!MT)),0,([0]!P_1_10.2.7.1 [0]!MT))</f>
        <v>#REF!</v>
      </c>
    </row>
    <row r="504" spans="1:4" x14ac:dyDescent="0.25">
      <c r="A504" s="170" t="s">
        <v>506</v>
      </c>
      <c r="B504" s="171" t="e">
        <f>IF(ISTEXT(([0]!P_1_10.2.7.2 [0]!Qté)),0,([0]!P_1_10.2.7.2 [0]!Qté))</f>
        <v>#REF!</v>
      </c>
      <c r="C504" s="172" t="e">
        <f>([0]!P_1_10.2.7.2 [0]!PU)</f>
        <v>#REF!</v>
      </c>
      <c r="D504" s="172" t="e">
        <f>IF(ISTEXT(([0]!P_1_10.2.7.2 [0]!MT)),0,([0]!P_1_10.2.7.2 [0]!MT))</f>
        <v>#REF!</v>
      </c>
    </row>
    <row r="505" spans="1:4" x14ac:dyDescent="0.25">
      <c r="A505" s="170" t="s">
        <v>507</v>
      </c>
      <c r="B505" s="171" t="e">
        <f>IF(ISTEXT(([0]!P_1_10.2.7.3 [0]!Qté)),0,([0]!P_1_10.2.7.3 [0]!Qté))</f>
        <v>#REF!</v>
      </c>
      <c r="C505" s="172" t="e">
        <f>([0]!P_1_10.2.7.3 [0]!PU)</f>
        <v>#REF!</v>
      </c>
      <c r="D505" s="172" t="e">
        <f>IF(ISTEXT(([0]!P_1_10.2.7.3 [0]!MT)),0,([0]!P_1_10.2.7.3 [0]!MT))</f>
        <v>#REF!</v>
      </c>
    </row>
    <row r="506" spans="1:4" x14ac:dyDescent="0.25">
      <c r="A506" s="170" t="s">
        <v>508</v>
      </c>
      <c r="B506" s="171" t="e">
        <f>IF(ISTEXT(([0]!P_1_10.2.7.4 [0]!Qté)),0,([0]!P_1_10.2.7.4 [0]!Qté))</f>
        <v>#REF!</v>
      </c>
      <c r="C506" s="172" t="e">
        <f>([0]!P_1_10.2.7.4 [0]!PU)</f>
        <v>#REF!</v>
      </c>
      <c r="D506" s="172" t="e">
        <f>IF(ISTEXT(([0]!P_1_10.2.7.4 [0]!MT)),0,([0]!P_1_10.2.7.4 [0]!MT))</f>
        <v>#REF!</v>
      </c>
    </row>
    <row r="507" spans="1:4" x14ac:dyDescent="0.25">
      <c r="A507" s="170" t="s">
        <v>509</v>
      </c>
      <c r="B507" s="171" t="e">
        <f>IF(ISTEXT(([0]!P_1_10.2.7.5 [0]!Qté)),0,([0]!P_1_10.2.7.5 [0]!Qté))</f>
        <v>#REF!</v>
      </c>
      <c r="C507" s="172" t="e">
        <f>([0]!P_1_10.2.7.5 [0]!PU)</f>
        <v>#REF!</v>
      </c>
      <c r="D507" s="172" t="e">
        <f>IF(ISTEXT(([0]!P_1_10.2.7.5 [0]!MT)),0,([0]!P_1_10.2.7.5 [0]!MT))</f>
        <v>#REF!</v>
      </c>
    </row>
    <row r="508" spans="1:4" x14ac:dyDescent="0.25">
      <c r="A508" s="170" t="s">
        <v>510</v>
      </c>
      <c r="B508" s="171" t="e">
        <f>IF(ISTEXT(([0]!P_1_10.2.7.6 [0]!Qté)),0,([0]!P_1_10.2.7.6 [0]!Qté))</f>
        <v>#REF!</v>
      </c>
      <c r="C508" s="172" t="e">
        <f>([0]!P_1_10.2.7.6 [0]!PU)</f>
        <v>#REF!</v>
      </c>
      <c r="D508" s="172" t="e">
        <f>IF(ISTEXT(([0]!P_1_10.2.7.6 [0]!MT)),0,([0]!P_1_10.2.7.6 [0]!MT))</f>
        <v>#REF!</v>
      </c>
    </row>
    <row r="509" spans="1:4" x14ac:dyDescent="0.25">
      <c r="A509" s="170" t="s">
        <v>511</v>
      </c>
      <c r="B509" s="171" t="e">
        <f>IF(ISTEXT(([0]!P_1_10.2.8.1 [0]!Qté)),0,([0]!P_1_10.2.8.1 [0]!Qté))</f>
        <v>#REF!</v>
      </c>
      <c r="C509" s="172" t="e">
        <f>([0]!P_1_10.2.8.1 [0]!PU)</f>
        <v>#REF!</v>
      </c>
      <c r="D509" s="172" t="e">
        <f>IF(ISTEXT(([0]!P_1_10.2.8.1 [0]!MT)),0,([0]!P_1_10.2.8.1 [0]!MT))</f>
        <v>#REF!</v>
      </c>
    </row>
    <row r="510" spans="1:4" x14ac:dyDescent="0.25">
      <c r="A510" s="170" t="s">
        <v>512</v>
      </c>
      <c r="B510" s="171" t="e">
        <f>IF(ISTEXT(([0]!P_1_10.2.8.2 [0]!Qté)),0,([0]!P_1_10.2.8.2 [0]!Qté))</f>
        <v>#REF!</v>
      </c>
      <c r="C510" s="172" t="e">
        <f>([0]!P_1_10.2.8.2 [0]!PU)</f>
        <v>#REF!</v>
      </c>
      <c r="D510" s="172" t="e">
        <f>IF(ISTEXT(([0]!P_1_10.2.8.2 [0]!MT)),0,([0]!P_1_10.2.8.2 [0]!MT))</f>
        <v>#REF!</v>
      </c>
    </row>
    <row r="511" spans="1:4" x14ac:dyDescent="0.25">
      <c r="A511" s="170" t="s">
        <v>513</v>
      </c>
      <c r="B511" s="171" t="e">
        <f>IF(ISTEXT(([0]!P_1_10.2.8.3 [0]!Qté)),0,([0]!P_1_10.2.8.3 [0]!Qté))</f>
        <v>#REF!</v>
      </c>
      <c r="C511" s="172" t="e">
        <f>([0]!P_1_10.2.8.3 [0]!PU)</f>
        <v>#REF!</v>
      </c>
      <c r="D511" s="172" t="e">
        <f>IF(ISTEXT(([0]!P_1_10.2.8.3 [0]!MT)),0,([0]!P_1_10.2.8.3 [0]!MT))</f>
        <v>#REF!</v>
      </c>
    </row>
    <row r="512" spans="1:4" x14ac:dyDescent="0.25">
      <c r="A512" s="170" t="s">
        <v>514</v>
      </c>
      <c r="B512" s="171" t="e">
        <f>IF(ISTEXT(([0]!P_1_10.2.8.4 [0]!Qté)),0,([0]!P_1_10.2.8.4 [0]!Qté))</f>
        <v>#REF!</v>
      </c>
      <c r="C512" s="172" t="e">
        <f>([0]!P_1_10.2.8.4 [0]!PU)</f>
        <v>#REF!</v>
      </c>
      <c r="D512" s="172" t="e">
        <f>IF(ISTEXT(([0]!P_1_10.2.8.4 [0]!MT)),0,([0]!P_1_10.2.8.4 [0]!MT))</f>
        <v>#REF!</v>
      </c>
    </row>
    <row r="513" spans="1:4" x14ac:dyDescent="0.25">
      <c r="A513" s="170" t="s">
        <v>515</v>
      </c>
      <c r="B513" s="171" t="e">
        <f>IF(ISTEXT(([0]!P_1_10.2.8.5 [0]!Qté)),0,([0]!P_1_10.2.8.5 [0]!Qté))</f>
        <v>#REF!</v>
      </c>
      <c r="C513" s="172" t="e">
        <f>([0]!P_1_10.2.8.5 [0]!PU)</f>
        <v>#REF!</v>
      </c>
      <c r="D513" s="172" t="e">
        <f>IF(ISTEXT(([0]!P_1_10.2.8.5 [0]!MT)),0,([0]!P_1_10.2.8.5 [0]!MT))</f>
        <v>#REF!</v>
      </c>
    </row>
    <row r="514" spans="1:4" x14ac:dyDescent="0.25">
      <c r="A514" s="170" t="s">
        <v>516</v>
      </c>
      <c r="B514" s="171" t="e">
        <f>IF(ISTEXT(([0]!P_1_10.2.8.6 [0]!Qté)),0,([0]!P_1_10.2.8.6 [0]!Qté))</f>
        <v>#REF!</v>
      </c>
      <c r="C514" s="172" t="e">
        <f>([0]!P_1_10.2.8.6 [0]!PU)</f>
        <v>#REF!</v>
      </c>
      <c r="D514" s="172" t="e">
        <f>IF(ISTEXT(([0]!P_1_10.2.8.6 [0]!MT)),0,([0]!P_1_10.2.8.6 [0]!MT))</f>
        <v>#REF!</v>
      </c>
    </row>
    <row r="515" spans="1:4" x14ac:dyDescent="0.25">
      <c r="A515" s="170" t="s">
        <v>517</v>
      </c>
      <c r="B515" s="171" t="e">
        <f>IF(ISTEXT(([0]!P_1_10.2.9.1 [0]!Qté)),0,([0]!P_1_10.2.9.1 [0]!Qté))</f>
        <v>#REF!</v>
      </c>
      <c r="C515" s="172" t="e">
        <f>([0]!P_1_10.2.9.1 [0]!PU)</f>
        <v>#REF!</v>
      </c>
      <c r="D515" s="172" t="e">
        <f>IF(ISTEXT(([0]!P_1_10.2.9.1 [0]!MT)),0,([0]!P_1_10.2.9.1 [0]!MT))</f>
        <v>#REF!</v>
      </c>
    </row>
    <row r="516" spans="1:4" x14ac:dyDescent="0.25">
      <c r="A516" s="170" t="s">
        <v>518</v>
      </c>
      <c r="B516" s="171" t="e">
        <f>IF(ISTEXT(([0]!P_1_10.2.9.2 [0]!Qté)),0,([0]!P_1_10.2.9.2 [0]!Qté))</f>
        <v>#REF!</v>
      </c>
      <c r="C516" s="172" t="e">
        <f>([0]!P_1_10.2.9.2 [0]!PU)</f>
        <v>#REF!</v>
      </c>
      <c r="D516" s="172" t="e">
        <f>IF(ISTEXT(([0]!P_1_10.2.9.2 [0]!MT)),0,([0]!P_1_10.2.9.2 [0]!MT))</f>
        <v>#REF!</v>
      </c>
    </row>
    <row r="517" spans="1:4" x14ac:dyDescent="0.25">
      <c r="A517" s="170" t="s">
        <v>519</v>
      </c>
      <c r="B517" s="171" t="e">
        <f>IF(ISTEXT(([0]!P_1_10.2.10.1 [0]!Qté)),0,([0]!P_1_10.2.10.1 [0]!Qté))</f>
        <v>#REF!</v>
      </c>
      <c r="C517" s="172" t="e">
        <f>([0]!P_1_10.2.10.1 [0]!PU)</f>
        <v>#REF!</v>
      </c>
      <c r="D517" s="172" t="e">
        <f>IF(ISTEXT(([0]!P_1_10.2.10.1 [0]!MT)),0,([0]!P_1_10.2.10.1 [0]!MT))</f>
        <v>#REF!</v>
      </c>
    </row>
    <row r="518" spans="1:4" x14ac:dyDescent="0.25">
      <c r="A518" s="170" t="s">
        <v>520</v>
      </c>
      <c r="B518" s="171" t="e">
        <f>IF(ISTEXT(([0]!P_1_10.2.10.2 [0]!Qté)),0,([0]!P_1_10.2.10.2 [0]!Qté))</f>
        <v>#REF!</v>
      </c>
      <c r="C518" s="172" t="e">
        <f>([0]!P_1_10.2.10.2 [0]!PU)</f>
        <v>#REF!</v>
      </c>
      <c r="D518" s="172" t="e">
        <f>IF(ISTEXT(([0]!P_1_10.2.10.2 [0]!MT)),0,([0]!P_1_10.2.10.2 [0]!MT))</f>
        <v>#REF!</v>
      </c>
    </row>
    <row r="519" spans="1:4" x14ac:dyDescent="0.25">
      <c r="A519" s="170" t="s">
        <v>521</v>
      </c>
      <c r="B519" s="171" t="e">
        <f>IF(ISTEXT(([0]!P_1_10.2.11.1 [0]!Qté)),0,([0]!P_1_10.2.11.1 [0]!Qté))</f>
        <v>#REF!</v>
      </c>
      <c r="C519" s="172" t="e">
        <f>([0]!P_1_10.2.11.1 [0]!PU)</f>
        <v>#REF!</v>
      </c>
      <c r="D519" s="172" t="e">
        <f>IF(ISTEXT(([0]!P_1_10.2.11.1 [0]!MT)),0,([0]!P_1_10.2.11.1 [0]!MT))</f>
        <v>#REF!</v>
      </c>
    </row>
    <row r="520" spans="1:4" x14ac:dyDescent="0.25">
      <c r="A520" s="170" t="s">
        <v>522</v>
      </c>
      <c r="B520" s="171" t="e">
        <f>IF(ISTEXT(([0]!P_1_10.2.11.2 [0]!Qté)),0,([0]!P_1_10.2.11.2 [0]!Qté))</f>
        <v>#REF!</v>
      </c>
      <c r="C520" s="172" t="e">
        <f>([0]!P_1_10.2.11.2 [0]!PU)</f>
        <v>#REF!</v>
      </c>
      <c r="D520" s="172" t="e">
        <f>IF(ISTEXT(([0]!P_1_10.2.11.2 [0]!MT)),0,([0]!P_1_10.2.11.2 [0]!MT))</f>
        <v>#REF!</v>
      </c>
    </row>
    <row r="521" spans="1:4" x14ac:dyDescent="0.25">
      <c r="A521" s="170" t="s">
        <v>523</v>
      </c>
      <c r="B521" s="171" t="e">
        <f>IF(ISTEXT(([0]!P_1_10.2.12.1 [0]!Qté)),0,([0]!P_1_10.2.12.1 [0]!Qté))</f>
        <v>#REF!</v>
      </c>
      <c r="C521" s="172" t="e">
        <f>([0]!P_1_10.2.12.1 [0]!PU)</f>
        <v>#REF!</v>
      </c>
      <c r="D521" s="172" t="e">
        <f>IF(ISTEXT(([0]!P_1_10.2.12.1 [0]!MT)),0,([0]!P_1_10.2.12.1 [0]!MT))</f>
        <v>#REF!</v>
      </c>
    </row>
    <row r="522" spans="1:4" x14ac:dyDescent="0.25">
      <c r="A522" s="170" t="s">
        <v>524</v>
      </c>
      <c r="B522" s="171" t="e">
        <f>IF(ISTEXT(([0]!P_1_10.2.12.2 [0]!Qté)),0,([0]!P_1_10.2.12.2 [0]!Qté))</f>
        <v>#REF!</v>
      </c>
      <c r="C522" s="172" t="e">
        <f>([0]!P_1_10.2.12.2 [0]!PU)</f>
        <v>#REF!</v>
      </c>
      <c r="D522" s="172" t="e">
        <f>IF(ISTEXT(([0]!P_1_10.2.12.2 [0]!MT)),0,([0]!P_1_10.2.12.2 [0]!MT))</f>
        <v>#REF!</v>
      </c>
    </row>
    <row r="523" spans="1:4" x14ac:dyDescent="0.25">
      <c r="A523" s="170" t="s">
        <v>525</v>
      </c>
      <c r="B523" s="171" t="e">
        <f>IF(ISTEXT(([0]!P_1_10.2.13.1.1 [0]!Qté)),0,([0]!P_1_10.2.13.1.1 [0]!Qté))</f>
        <v>#REF!</v>
      </c>
      <c r="C523" s="172" t="e">
        <f>([0]!P_1_10.2.13.1.1 [0]!PU)</f>
        <v>#REF!</v>
      </c>
      <c r="D523" s="172" t="e">
        <f>IF(ISTEXT(([0]!P_1_10.2.13.1.1 [0]!MT)),0,([0]!P_1_10.2.13.1.1 [0]!MT))</f>
        <v>#REF!</v>
      </c>
    </row>
    <row r="524" spans="1:4" x14ac:dyDescent="0.25">
      <c r="A524" s="170" t="s">
        <v>526</v>
      </c>
      <c r="B524" s="171" t="e">
        <f>IF(ISTEXT(([0]!P_1_10.2.13.1.2 [0]!Qté)),0,([0]!P_1_10.2.13.1.2 [0]!Qté))</f>
        <v>#REF!</v>
      </c>
      <c r="C524" s="172" t="e">
        <f>([0]!P_1_10.2.13.1.2 [0]!PU)</f>
        <v>#REF!</v>
      </c>
      <c r="D524" s="172" t="e">
        <f>IF(ISTEXT(([0]!P_1_10.2.13.1.2 [0]!MT)),0,([0]!P_1_10.2.13.1.2 [0]!MT))</f>
        <v>#REF!</v>
      </c>
    </row>
    <row r="525" spans="1:4" x14ac:dyDescent="0.25">
      <c r="A525" s="170" t="s">
        <v>527</v>
      </c>
      <c r="B525" s="171" t="e">
        <f>IF(ISTEXT(([0]!P_1_10.2.13.1.3 [0]!Qté)),0,([0]!P_1_10.2.13.1.3 [0]!Qté))</f>
        <v>#REF!</v>
      </c>
      <c r="C525" s="172" t="e">
        <f>([0]!P_1_10.2.13.1.3 [0]!PU)</f>
        <v>#REF!</v>
      </c>
      <c r="D525" s="172" t="e">
        <f>IF(ISTEXT(([0]!P_1_10.2.13.1.3 [0]!MT)),0,([0]!P_1_10.2.13.1.3 [0]!MT))</f>
        <v>#REF!</v>
      </c>
    </row>
    <row r="526" spans="1:4" x14ac:dyDescent="0.25">
      <c r="A526" s="170" t="s">
        <v>528</v>
      </c>
      <c r="B526" s="171" t="e">
        <f>IF(ISTEXT(([0]!P_1_10.2.13.1.4 [0]!Qté)),0,([0]!P_1_10.2.13.1.4 [0]!Qté))</f>
        <v>#REF!</v>
      </c>
      <c r="C526" s="172" t="e">
        <f>([0]!P_1_10.2.13.1.4 [0]!PU)</f>
        <v>#REF!</v>
      </c>
      <c r="D526" s="172" t="e">
        <f>IF(ISTEXT(([0]!P_1_10.2.13.1.4 [0]!MT)),0,([0]!P_1_10.2.13.1.4 [0]!MT))</f>
        <v>#REF!</v>
      </c>
    </row>
    <row r="527" spans="1:4" x14ac:dyDescent="0.25">
      <c r="A527" s="170" t="s">
        <v>529</v>
      </c>
      <c r="B527" s="171" t="e">
        <f>IF(ISTEXT(([0]!P_1_10.2.13.1.5 [0]!Qté)),0,([0]!P_1_10.2.13.1.5 [0]!Qté))</f>
        <v>#REF!</v>
      </c>
      <c r="C527" s="172" t="e">
        <f>([0]!P_1_10.2.13.1.5 [0]!PU)</f>
        <v>#REF!</v>
      </c>
      <c r="D527" s="172" t="e">
        <f>IF(ISTEXT(([0]!P_1_10.2.13.1.5 [0]!MT)),0,([0]!P_1_10.2.13.1.5 [0]!MT))</f>
        <v>#REF!</v>
      </c>
    </row>
    <row r="528" spans="1:4" x14ac:dyDescent="0.25">
      <c r="A528" s="170" t="s">
        <v>530</v>
      </c>
      <c r="B528" s="171" t="e">
        <f>IF(ISTEXT(([0]!P_1_10.2.13.1.6 [0]!Qté)),0,([0]!P_1_10.2.13.1.6 [0]!Qté))</f>
        <v>#REF!</v>
      </c>
      <c r="C528" s="172" t="e">
        <f>([0]!P_1_10.2.13.1.6 [0]!PU)</f>
        <v>#REF!</v>
      </c>
      <c r="D528" s="172" t="e">
        <f>IF(ISTEXT(([0]!P_1_10.2.13.1.6 [0]!MT)),0,([0]!P_1_10.2.13.1.6 [0]!MT))</f>
        <v>#REF!</v>
      </c>
    </row>
    <row r="529" spans="1:4" x14ac:dyDescent="0.25">
      <c r="A529" s="170" t="s">
        <v>531</v>
      </c>
      <c r="B529" s="171" t="e">
        <f>IF(ISTEXT(([0]!P_1_10.2.13.2.1 [0]!Qté)),0,([0]!P_1_10.2.13.2.1 [0]!Qté))</f>
        <v>#REF!</v>
      </c>
      <c r="C529" s="172" t="e">
        <f>([0]!P_1_10.2.13.2.1 [0]!PU)</f>
        <v>#REF!</v>
      </c>
      <c r="D529" s="172" t="e">
        <f>IF(ISTEXT(([0]!P_1_10.2.13.2.1 [0]!MT)),0,([0]!P_1_10.2.13.2.1 [0]!MT))</f>
        <v>#REF!</v>
      </c>
    </row>
    <row r="530" spans="1:4" x14ac:dyDescent="0.25">
      <c r="A530" s="170" t="s">
        <v>532</v>
      </c>
      <c r="B530" s="171" t="e">
        <f>IF(ISTEXT(([0]!P_1_10.2.13.2.2 [0]!Qté)),0,([0]!P_1_10.2.13.2.2 [0]!Qté))</f>
        <v>#REF!</v>
      </c>
      <c r="C530" s="172" t="e">
        <f>([0]!P_1_10.2.13.2.2 [0]!PU)</f>
        <v>#REF!</v>
      </c>
      <c r="D530" s="172" t="e">
        <f>IF(ISTEXT(([0]!P_1_10.2.13.2.2 [0]!MT)),0,([0]!P_1_10.2.13.2.2 [0]!MT))</f>
        <v>#REF!</v>
      </c>
    </row>
    <row r="531" spans="1:4" x14ac:dyDescent="0.25">
      <c r="A531" s="170" t="s">
        <v>533</v>
      </c>
      <c r="B531" s="171" t="e">
        <f>IF(ISTEXT(([0]!P_1_10.2.13.2.3 [0]!Qté)),0,([0]!P_1_10.2.13.2.3 [0]!Qté))</f>
        <v>#REF!</v>
      </c>
      <c r="C531" s="172" t="e">
        <f>([0]!P_1_10.2.13.2.3 [0]!PU)</f>
        <v>#REF!</v>
      </c>
      <c r="D531" s="172" t="e">
        <f>IF(ISTEXT(([0]!P_1_10.2.13.2.3 [0]!MT)),0,([0]!P_1_10.2.13.2.3 [0]!MT))</f>
        <v>#REF!</v>
      </c>
    </row>
    <row r="532" spans="1:4" x14ac:dyDescent="0.25">
      <c r="A532" s="170" t="s">
        <v>534</v>
      </c>
      <c r="B532" s="171" t="e">
        <f>IF(ISTEXT(([0]!P_1_10.2.13.2.4 [0]!Qté)),0,([0]!P_1_10.2.13.2.4 [0]!Qté))</f>
        <v>#REF!</v>
      </c>
      <c r="C532" s="172" t="e">
        <f>([0]!P_1_10.2.13.2.4 [0]!PU)</f>
        <v>#REF!</v>
      </c>
      <c r="D532" s="172" t="e">
        <f>IF(ISTEXT(([0]!P_1_10.2.13.2.4 [0]!MT)),0,([0]!P_1_10.2.13.2.4 [0]!MT))</f>
        <v>#REF!</v>
      </c>
    </row>
    <row r="533" spans="1:4" x14ac:dyDescent="0.25">
      <c r="A533" s="170" t="s">
        <v>535</v>
      </c>
      <c r="B533" s="171" t="e">
        <f>IF(ISTEXT(([0]!P_1_10.2.13.2.5 [0]!Qté)),0,([0]!P_1_10.2.13.2.5 [0]!Qté))</f>
        <v>#REF!</v>
      </c>
      <c r="C533" s="172" t="e">
        <f>([0]!P_1_10.2.13.2.5 [0]!PU)</f>
        <v>#REF!</v>
      </c>
      <c r="D533" s="172" t="e">
        <f>IF(ISTEXT(([0]!P_1_10.2.13.2.5 [0]!MT)),0,([0]!P_1_10.2.13.2.5 [0]!MT))</f>
        <v>#REF!</v>
      </c>
    </row>
    <row r="534" spans="1:4" x14ac:dyDescent="0.25">
      <c r="A534" s="170" t="s">
        <v>536</v>
      </c>
      <c r="B534" s="171" t="e">
        <f>IF(ISTEXT(([0]!P_1_10.2.13.2.6 [0]!Qté)),0,([0]!P_1_10.2.13.2.6 [0]!Qté))</f>
        <v>#REF!</v>
      </c>
      <c r="C534" s="172" t="e">
        <f>([0]!P_1_10.2.13.2.6 [0]!PU)</f>
        <v>#REF!</v>
      </c>
      <c r="D534" s="172" t="e">
        <f>IF(ISTEXT(([0]!P_1_10.2.13.2.6 [0]!MT)),0,([0]!P_1_10.2.13.2.6 [0]!MT))</f>
        <v>#REF!</v>
      </c>
    </row>
    <row r="535" spans="1:4" x14ac:dyDescent="0.25">
      <c r="A535" s="170" t="s">
        <v>537</v>
      </c>
      <c r="B535" s="171" t="e">
        <f>IF(ISTEXT(([0]!P_1_10.2.13.3.1 [0]!Qté)),0,([0]!P_1_10.2.13.3.1 [0]!Qté))</f>
        <v>#REF!</v>
      </c>
      <c r="C535" s="172" t="e">
        <f>([0]!P_1_10.2.13.3.1 [0]!PU)</f>
        <v>#REF!</v>
      </c>
      <c r="D535" s="172" t="e">
        <f>IF(ISTEXT(([0]!P_1_10.2.13.3.1 [0]!MT)),0,([0]!P_1_10.2.13.3.1 [0]!MT))</f>
        <v>#REF!</v>
      </c>
    </row>
    <row r="536" spans="1:4" x14ac:dyDescent="0.25">
      <c r="A536" s="170" t="s">
        <v>538</v>
      </c>
      <c r="B536" s="171" t="e">
        <f>IF(ISTEXT(([0]!P_1_10.2.13.3.2 [0]!Qté)),0,([0]!P_1_10.2.13.3.2 [0]!Qté))</f>
        <v>#REF!</v>
      </c>
      <c r="C536" s="172" t="e">
        <f>([0]!P_1_10.2.13.3.2 [0]!PU)</f>
        <v>#REF!</v>
      </c>
      <c r="D536" s="172" t="e">
        <f>IF(ISTEXT(([0]!P_1_10.2.13.3.2 [0]!MT)),0,([0]!P_1_10.2.13.3.2 [0]!MT))</f>
        <v>#REF!</v>
      </c>
    </row>
    <row r="537" spans="1:4" x14ac:dyDescent="0.25">
      <c r="A537" s="170" t="s">
        <v>539</v>
      </c>
      <c r="B537" s="171" t="e">
        <f>IF(ISTEXT(([0]!P_1_10.2.13.3.3 [0]!Qté)),0,([0]!P_1_10.2.13.3.3 [0]!Qté))</f>
        <v>#REF!</v>
      </c>
      <c r="C537" s="172" t="e">
        <f>([0]!P_1_10.2.13.3.3 [0]!PU)</f>
        <v>#REF!</v>
      </c>
      <c r="D537" s="172" t="e">
        <f>IF(ISTEXT(([0]!P_1_10.2.13.3.3 [0]!MT)),0,([0]!P_1_10.2.13.3.3 [0]!MT))</f>
        <v>#REF!</v>
      </c>
    </row>
    <row r="538" spans="1:4" x14ac:dyDescent="0.25">
      <c r="A538" s="170" t="s">
        <v>540</v>
      </c>
      <c r="B538" s="171" t="e">
        <f>IF(ISTEXT(([0]!P_1_10.2.13.3.4 [0]!Qté)),0,([0]!P_1_10.2.13.3.4 [0]!Qté))</f>
        <v>#REF!</v>
      </c>
      <c r="C538" s="172" t="e">
        <f>([0]!P_1_10.2.13.3.4 [0]!PU)</f>
        <v>#REF!</v>
      </c>
      <c r="D538" s="172" t="e">
        <f>IF(ISTEXT(([0]!P_1_10.2.13.3.4 [0]!MT)),0,([0]!P_1_10.2.13.3.4 [0]!MT))</f>
        <v>#REF!</v>
      </c>
    </row>
    <row r="539" spans="1:4" x14ac:dyDescent="0.25">
      <c r="A539" s="170" t="s">
        <v>541</v>
      </c>
      <c r="B539" s="171" t="e">
        <f>IF(ISTEXT(([0]!P_1_10.2.13.3.5 [0]!Qté)),0,([0]!P_1_10.2.13.3.5 [0]!Qté))</f>
        <v>#REF!</v>
      </c>
      <c r="C539" s="172" t="e">
        <f>([0]!P_1_10.2.13.3.5 [0]!PU)</f>
        <v>#REF!</v>
      </c>
      <c r="D539" s="172" t="e">
        <f>IF(ISTEXT(([0]!P_1_10.2.13.3.5 [0]!MT)),0,([0]!P_1_10.2.13.3.5 [0]!MT))</f>
        <v>#REF!</v>
      </c>
    </row>
    <row r="540" spans="1:4" x14ac:dyDescent="0.25">
      <c r="A540" s="170" t="s">
        <v>542</v>
      </c>
      <c r="B540" s="171" t="e">
        <f>IF(ISTEXT(([0]!P_1_10.2.13.3.6 [0]!Qté)),0,([0]!P_1_10.2.13.3.6 [0]!Qté))</f>
        <v>#REF!</v>
      </c>
      <c r="C540" s="172" t="e">
        <f>([0]!P_1_10.2.13.3.6 [0]!PU)</f>
        <v>#REF!</v>
      </c>
      <c r="D540" s="172" t="e">
        <f>IF(ISTEXT(([0]!P_1_10.2.13.3.6 [0]!MT)),0,([0]!P_1_10.2.13.3.6 [0]!MT))</f>
        <v>#REF!</v>
      </c>
    </row>
    <row r="541" spans="1:4" x14ac:dyDescent="0.25">
      <c r="A541" s="170" t="s">
        <v>543</v>
      </c>
      <c r="B541" s="171" t="e">
        <f>IF(ISTEXT(([0]!P_1_10.2.13.4.1 [0]!Qté)),0,([0]!P_1_10.2.13.4.1 [0]!Qté))</f>
        <v>#REF!</v>
      </c>
      <c r="C541" s="172" t="e">
        <f>([0]!P_1_10.2.13.4.1 [0]!PU)</f>
        <v>#REF!</v>
      </c>
      <c r="D541" s="172" t="e">
        <f>IF(ISTEXT(([0]!P_1_10.2.13.4.1 [0]!MT)),0,([0]!P_1_10.2.13.4.1 [0]!MT))</f>
        <v>#REF!</v>
      </c>
    </row>
    <row r="542" spans="1:4" x14ac:dyDescent="0.25">
      <c r="A542" s="170" t="s">
        <v>544</v>
      </c>
      <c r="B542" s="171" t="e">
        <f>IF(ISTEXT(([0]!P_1_10.2.13.4.2 [0]!Qté)),0,([0]!P_1_10.2.13.4.2 [0]!Qté))</f>
        <v>#REF!</v>
      </c>
      <c r="C542" s="172" t="e">
        <f>([0]!P_1_10.2.13.4.2 [0]!PU)</f>
        <v>#REF!</v>
      </c>
      <c r="D542" s="172" t="e">
        <f>IF(ISTEXT(([0]!P_1_10.2.13.4.2 [0]!MT)),0,([0]!P_1_10.2.13.4.2 [0]!MT))</f>
        <v>#REF!</v>
      </c>
    </row>
    <row r="543" spans="1:4" x14ac:dyDescent="0.25">
      <c r="A543" s="170" t="s">
        <v>545</v>
      </c>
      <c r="B543" s="171" t="e">
        <f>IF(ISTEXT(([0]!P_1_10.2.13.4.3 [0]!Qté)),0,([0]!P_1_10.2.13.4.3 [0]!Qté))</f>
        <v>#REF!</v>
      </c>
      <c r="C543" s="172" t="e">
        <f>([0]!P_1_10.2.13.4.3 [0]!PU)</f>
        <v>#REF!</v>
      </c>
      <c r="D543" s="172" t="e">
        <f>IF(ISTEXT(([0]!P_1_10.2.13.4.3 [0]!MT)),0,([0]!P_1_10.2.13.4.3 [0]!MT))</f>
        <v>#REF!</v>
      </c>
    </row>
    <row r="544" spans="1:4" x14ac:dyDescent="0.25">
      <c r="A544" s="170" t="s">
        <v>546</v>
      </c>
      <c r="B544" s="171" t="e">
        <f>IF(ISTEXT(([0]!P_1_10.2.13.4.4 [0]!Qté)),0,([0]!P_1_10.2.13.4.4 [0]!Qté))</f>
        <v>#REF!</v>
      </c>
      <c r="C544" s="172" t="e">
        <f>([0]!P_1_10.2.13.4.4 [0]!PU)</f>
        <v>#REF!</v>
      </c>
      <c r="D544" s="172" t="e">
        <f>IF(ISTEXT(([0]!P_1_10.2.13.4.4 [0]!MT)),0,([0]!P_1_10.2.13.4.4 [0]!MT))</f>
        <v>#REF!</v>
      </c>
    </row>
    <row r="545" spans="1:4" x14ac:dyDescent="0.25">
      <c r="A545" s="170" t="s">
        <v>547</v>
      </c>
      <c r="B545" s="171" t="e">
        <f>IF(ISTEXT(([0]!P_1_10.2.13.4.5 [0]!Qté)),0,([0]!P_1_10.2.13.4.5 [0]!Qté))</f>
        <v>#REF!</v>
      </c>
      <c r="C545" s="172" t="e">
        <f>([0]!P_1_10.2.13.4.5 [0]!PU)</f>
        <v>#REF!</v>
      </c>
      <c r="D545" s="172" t="e">
        <f>IF(ISTEXT(([0]!P_1_10.2.13.4.5 [0]!MT)),0,([0]!P_1_10.2.13.4.5 [0]!MT))</f>
        <v>#REF!</v>
      </c>
    </row>
    <row r="546" spans="1:4" x14ac:dyDescent="0.25">
      <c r="A546" s="170" t="s">
        <v>548</v>
      </c>
      <c r="B546" s="171" t="e">
        <f>IF(ISTEXT(([0]!P_1_10.2.14.1.1 [0]!Qté)),0,([0]!P_1_10.2.14.1.1 [0]!Qté))</f>
        <v>#REF!</v>
      </c>
      <c r="C546" s="172" t="e">
        <f>([0]!P_1_10.2.14.1.1 [0]!PU)</f>
        <v>#REF!</v>
      </c>
      <c r="D546" s="172" t="e">
        <f>IF(ISTEXT(([0]!P_1_10.2.14.1.1 [0]!MT)),0,([0]!P_1_10.2.14.1.1 [0]!MT))</f>
        <v>#REF!</v>
      </c>
    </row>
    <row r="547" spans="1:4" x14ac:dyDescent="0.25">
      <c r="A547" s="170" t="s">
        <v>549</v>
      </c>
      <c r="B547" s="171" t="e">
        <f>IF(ISTEXT(([0]!P_1_10.2.14.1.2 [0]!Qté)),0,([0]!P_1_10.2.14.1.2 [0]!Qté))</f>
        <v>#REF!</v>
      </c>
      <c r="C547" s="172" t="e">
        <f>([0]!P_1_10.2.14.1.2 [0]!PU)</f>
        <v>#REF!</v>
      </c>
      <c r="D547" s="172" t="e">
        <f>IF(ISTEXT(([0]!P_1_10.2.14.1.2 [0]!MT)),0,([0]!P_1_10.2.14.1.2 [0]!MT))</f>
        <v>#REF!</v>
      </c>
    </row>
    <row r="548" spans="1:4" x14ac:dyDescent="0.25">
      <c r="A548" s="170" t="s">
        <v>550</v>
      </c>
      <c r="B548" s="171" t="e">
        <f>IF(ISTEXT(([0]!P_1_10.2.14.1.3 [0]!Qté)),0,([0]!P_1_10.2.14.1.3 [0]!Qté))</f>
        <v>#REF!</v>
      </c>
      <c r="C548" s="172" t="e">
        <f>([0]!P_1_10.2.14.1.3 [0]!PU)</f>
        <v>#REF!</v>
      </c>
      <c r="D548" s="172" t="e">
        <f>IF(ISTEXT(([0]!P_1_10.2.14.1.3 [0]!MT)),0,([0]!P_1_10.2.14.1.3 [0]!MT))</f>
        <v>#REF!</v>
      </c>
    </row>
    <row r="549" spans="1:4" x14ac:dyDescent="0.25">
      <c r="A549" s="170" t="s">
        <v>551</v>
      </c>
      <c r="B549" s="171" t="e">
        <f>IF(ISTEXT(([0]!P_1_10.2.14.1.4 [0]!Qté)),0,([0]!P_1_10.2.14.1.4 [0]!Qté))</f>
        <v>#REF!</v>
      </c>
      <c r="C549" s="172" t="e">
        <f>([0]!P_1_10.2.14.1.4 [0]!PU)</f>
        <v>#REF!</v>
      </c>
      <c r="D549" s="172" t="e">
        <f>IF(ISTEXT(([0]!P_1_10.2.14.1.4 [0]!MT)),0,([0]!P_1_10.2.14.1.4 [0]!MT))</f>
        <v>#REF!</v>
      </c>
    </row>
    <row r="550" spans="1:4" x14ac:dyDescent="0.25">
      <c r="A550" s="170" t="s">
        <v>552</v>
      </c>
      <c r="B550" s="171" t="e">
        <f>IF(ISTEXT(([0]!P_1_10.2.14.1.5 [0]!Qté)),0,([0]!P_1_10.2.14.1.5 [0]!Qté))</f>
        <v>#REF!</v>
      </c>
      <c r="C550" s="172" t="e">
        <f>([0]!P_1_10.2.14.1.5 [0]!PU)</f>
        <v>#REF!</v>
      </c>
      <c r="D550" s="172" t="e">
        <f>IF(ISTEXT(([0]!P_1_10.2.14.1.5 [0]!MT)),0,([0]!P_1_10.2.14.1.5 [0]!MT))</f>
        <v>#REF!</v>
      </c>
    </row>
    <row r="551" spans="1:4" x14ac:dyDescent="0.25">
      <c r="A551" s="170" t="s">
        <v>553</v>
      </c>
      <c r="B551" s="171" t="e">
        <f>IF(ISTEXT(([0]!P_1_10.2.14.1.6 [0]!Qté)),0,([0]!P_1_10.2.14.1.6 [0]!Qté))</f>
        <v>#REF!</v>
      </c>
      <c r="C551" s="172" t="e">
        <f>([0]!P_1_10.2.14.1.6 [0]!PU)</f>
        <v>#REF!</v>
      </c>
      <c r="D551" s="172" t="e">
        <f>IF(ISTEXT(([0]!P_1_10.2.14.1.6 [0]!MT)),0,([0]!P_1_10.2.14.1.6 [0]!MT))</f>
        <v>#REF!</v>
      </c>
    </row>
    <row r="552" spans="1:4" x14ac:dyDescent="0.25">
      <c r="A552" s="170" t="s">
        <v>554</v>
      </c>
      <c r="B552" s="171" t="e">
        <f>IF(ISTEXT(([0]!P_1_10.2.14.2.1 [0]!Qté)),0,([0]!P_1_10.2.14.2.1 [0]!Qté))</f>
        <v>#REF!</v>
      </c>
      <c r="C552" s="172" t="e">
        <f>([0]!P_1_10.2.14.2.1 [0]!PU)</f>
        <v>#REF!</v>
      </c>
      <c r="D552" s="172" t="e">
        <f>IF(ISTEXT(([0]!P_1_10.2.14.2.1 [0]!MT)),0,([0]!P_1_10.2.14.2.1 [0]!MT))</f>
        <v>#REF!</v>
      </c>
    </row>
    <row r="553" spans="1:4" x14ac:dyDescent="0.25">
      <c r="A553" s="170" t="s">
        <v>555</v>
      </c>
      <c r="B553" s="171" t="e">
        <f>IF(ISTEXT(([0]!P_1_10.2.14.2.2 [0]!Qté)),0,([0]!P_1_10.2.14.2.2 [0]!Qté))</f>
        <v>#REF!</v>
      </c>
      <c r="C553" s="172" t="e">
        <f>([0]!P_1_10.2.14.2.2 [0]!PU)</f>
        <v>#REF!</v>
      </c>
      <c r="D553" s="172" t="e">
        <f>IF(ISTEXT(([0]!P_1_10.2.14.2.2 [0]!MT)),0,([0]!P_1_10.2.14.2.2 [0]!MT))</f>
        <v>#REF!</v>
      </c>
    </row>
    <row r="554" spans="1:4" x14ac:dyDescent="0.25">
      <c r="A554" s="170" t="s">
        <v>556</v>
      </c>
      <c r="B554" s="171" t="e">
        <f>IF(ISTEXT(([0]!P_1_10.2.14.2.3 [0]!Qté)),0,([0]!P_1_10.2.14.2.3 [0]!Qté))</f>
        <v>#REF!</v>
      </c>
      <c r="C554" s="172" t="e">
        <f>([0]!P_1_10.2.14.2.3 [0]!PU)</f>
        <v>#REF!</v>
      </c>
      <c r="D554" s="172" t="e">
        <f>IF(ISTEXT(([0]!P_1_10.2.14.2.3 [0]!MT)),0,([0]!P_1_10.2.14.2.3 [0]!MT))</f>
        <v>#REF!</v>
      </c>
    </row>
    <row r="555" spans="1:4" x14ac:dyDescent="0.25">
      <c r="A555" s="170" t="s">
        <v>557</v>
      </c>
      <c r="B555" s="171" t="e">
        <f>IF(ISTEXT(([0]!P_1_10.2.14.2.4 [0]!Qté)),0,([0]!P_1_10.2.14.2.4 [0]!Qté))</f>
        <v>#REF!</v>
      </c>
      <c r="C555" s="172" t="e">
        <f>([0]!P_1_10.2.14.2.4 [0]!PU)</f>
        <v>#REF!</v>
      </c>
      <c r="D555" s="172" t="e">
        <f>IF(ISTEXT(([0]!P_1_10.2.14.2.4 [0]!MT)),0,([0]!P_1_10.2.14.2.4 [0]!MT))</f>
        <v>#REF!</v>
      </c>
    </row>
    <row r="556" spans="1:4" x14ac:dyDescent="0.25">
      <c r="A556" s="170" t="s">
        <v>558</v>
      </c>
      <c r="B556" s="171" t="e">
        <f>IF(ISTEXT(([0]!P_1_10.2.14.2.5 [0]!Qté)),0,([0]!P_1_10.2.14.2.5 [0]!Qté))</f>
        <v>#REF!</v>
      </c>
      <c r="C556" s="172" t="e">
        <f>([0]!P_1_10.2.14.2.5 [0]!PU)</f>
        <v>#REF!</v>
      </c>
      <c r="D556" s="172" t="e">
        <f>IF(ISTEXT(([0]!P_1_10.2.14.2.5 [0]!MT)),0,([0]!P_1_10.2.14.2.5 [0]!MT))</f>
        <v>#REF!</v>
      </c>
    </row>
    <row r="557" spans="1:4" x14ac:dyDescent="0.25">
      <c r="A557" s="170" t="s">
        <v>559</v>
      </c>
      <c r="B557" s="171" t="e">
        <f>IF(ISTEXT(([0]!P_1_10.2.14.2.6 [0]!Qté)),0,([0]!P_1_10.2.14.2.6 [0]!Qté))</f>
        <v>#REF!</v>
      </c>
      <c r="C557" s="172" t="e">
        <f>([0]!P_1_10.2.14.2.6 [0]!PU)</f>
        <v>#REF!</v>
      </c>
      <c r="D557" s="172" t="e">
        <f>IF(ISTEXT(([0]!P_1_10.2.14.2.6 [0]!MT)),0,([0]!P_1_10.2.14.2.6 [0]!MT))</f>
        <v>#REF!</v>
      </c>
    </row>
    <row r="558" spans="1:4" x14ac:dyDescent="0.25">
      <c r="A558" s="170" t="s">
        <v>560</v>
      </c>
      <c r="B558" s="171" t="e">
        <f>IF(ISTEXT(([0]!P_1_10.2.14.3.1 [0]!Qté)),0,([0]!P_1_10.2.14.3.1 [0]!Qté))</f>
        <v>#REF!</v>
      </c>
      <c r="C558" s="172" t="e">
        <f>([0]!P_1_10.2.14.3.1 [0]!PU)</f>
        <v>#REF!</v>
      </c>
      <c r="D558" s="172" t="e">
        <f>IF(ISTEXT(([0]!P_1_10.2.14.3.1 [0]!MT)),0,([0]!P_1_10.2.14.3.1 [0]!MT))</f>
        <v>#REF!</v>
      </c>
    </row>
    <row r="559" spans="1:4" x14ac:dyDescent="0.25">
      <c r="A559" s="170" t="s">
        <v>561</v>
      </c>
      <c r="B559" s="171" t="e">
        <f>IF(ISTEXT(([0]!P_1_10.2.14.3.2 [0]!Qté)),0,([0]!P_1_10.2.14.3.2 [0]!Qté))</f>
        <v>#REF!</v>
      </c>
      <c r="C559" s="172" t="e">
        <f>([0]!P_1_10.2.14.3.2 [0]!PU)</f>
        <v>#REF!</v>
      </c>
      <c r="D559" s="172" t="e">
        <f>IF(ISTEXT(([0]!P_1_10.2.14.3.2 [0]!MT)),0,([0]!P_1_10.2.14.3.2 [0]!MT))</f>
        <v>#REF!</v>
      </c>
    </row>
    <row r="560" spans="1:4" x14ac:dyDescent="0.25">
      <c r="A560" s="170" t="s">
        <v>562</v>
      </c>
      <c r="B560" s="171" t="e">
        <f>IF(ISTEXT(([0]!P_1_10.2.14.3.3 [0]!Qté)),0,([0]!P_1_10.2.14.3.3 [0]!Qté))</f>
        <v>#REF!</v>
      </c>
      <c r="C560" s="172" t="e">
        <f>([0]!P_1_10.2.14.3.3 [0]!PU)</f>
        <v>#REF!</v>
      </c>
      <c r="D560" s="172" t="e">
        <f>IF(ISTEXT(([0]!P_1_10.2.14.3.3 [0]!MT)),0,([0]!P_1_10.2.14.3.3 [0]!MT))</f>
        <v>#REF!</v>
      </c>
    </row>
    <row r="561" spans="1:4" x14ac:dyDescent="0.25">
      <c r="A561" s="170" t="s">
        <v>563</v>
      </c>
      <c r="B561" s="171" t="e">
        <f>IF(ISTEXT(([0]!P_1_10.2.14.3.4 [0]!Qté)),0,([0]!P_1_10.2.14.3.4 [0]!Qté))</f>
        <v>#REF!</v>
      </c>
      <c r="C561" s="172" t="e">
        <f>([0]!P_1_10.2.14.3.4 [0]!PU)</f>
        <v>#REF!</v>
      </c>
      <c r="D561" s="172" t="e">
        <f>IF(ISTEXT(([0]!P_1_10.2.14.3.4 [0]!MT)),0,([0]!P_1_10.2.14.3.4 [0]!MT))</f>
        <v>#REF!</v>
      </c>
    </row>
    <row r="562" spans="1:4" x14ac:dyDescent="0.25">
      <c r="A562" s="170" t="s">
        <v>564</v>
      </c>
      <c r="B562" s="171" t="e">
        <f>IF(ISTEXT(([0]!P_1_10.2.14.3.5 [0]!Qté)),0,([0]!P_1_10.2.14.3.5 [0]!Qté))</f>
        <v>#REF!</v>
      </c>
      <c r="C562" s="172" t="e">
        <f>([0]!P_1_10.2.14.3.5 [0]!PU)</f>
        <v>#REF!</v>
      </c>
      <c r="D562" s="172" t="e">
        <f>IF(ISTEXT(([0]!P_1_10.2.14.3.5 [0]!MT)),0,([0]!P_1_10.2.14.3.5 [0]!MT))</f>
        <v>#REF!</v>
      </c>
    </row>
    <row r="563" spans="1:4" x14ac:dyDescent="0.25">
      <c r="A563" s="170" t="s">
        <v>565</v>
      </c>
      <c r="B563" s="171" t="e">
        <f>IF(ISTEXT(([0]!P_1_10.2.14.3.6 [0]!Qté)),0,([0]!P_1_10.2.14.3.6 [0]!Qté))</f>
        <v>#REF!</v>
      </c>
      <c r="C563" s="172" t="e">
        <f>([0]!P_1_10.2.14.3.6 [0]!PU)</f>
        <v>#REF!</v>
      </c>
      <c r="D563" s="172" t="e">
        <f>IF(ISTEXT(([0]!P_1_10.2.14.3.6 [0]!MT)),0,([0]!P_1_10.2.14.3.6 [0]!MT))</f>
        <v>#REF!</v>
      </c>
    </row>
    <row r="564" spans="1:4" x14ac:dyDescent="0.25">
      <c r="A564" s="170" t="s">
        <v>566</v>
      </c>
      <c r="B564" s="171" t="e">
        <f>IF(ISTEXT(([0]!P_1_10.2.14.4.1 [0]!Qté)),0,([0]!P_1_10.2.14.4.1 [0]!Qté))</f>
        <v>#REF!</v>
      </c>
      <c r="C564" s="172" t="e">
        <f>([0]!P_1_10.2.14.4.1 [0]!PU)</f>
        <v>#REF!</v>
      </c>
      <c r="D564" s="172" t="e">
        <f>IF(ISTEXT(([0]!P_1_10.2.14.4.1 [0]!MT)),0,([0]!P_1_10.2.14.4.1 [0]!MT))</f>
        <v>#REF!</v>
      </c>
    </row>
    <row r="565" spans="1:4" x14ac:dyDescent="0.25">
      <c r="A565" s="170" t="s">
        <v>567</v>
      </c>
      <c r="B565" s="171" t="e">
        <f>IF(ISTEXT(([0]!P_1_10.2.14.4.2 [0]!Qté)),0,([0]!P_1_10.2.14.4.2 [0]!Qté))</f>
        <v>#REF!</v>
      </c>
      <c r="C565" s="172" t="e">
        <f>([0]!P_1_10.2.14.4.2 [0]!PU)</f>
        <v>#REF!</v>
      </c>
      <c r="D565" s="172" t="e">
        <f>IF(ISTEXT(([0]!P_1_10.2.14.4.2 [0]!MT)),0,([0]!P_1_10.2.14.4.2 [0]!MT))</f>
        <v>#REF!</v>
      </c>
    </row>
    <row r="566" spans="1:4" x14ac:dyDescent="0.25">
      <c r="A566" s="170" t="s">
        <v>568</v>
      </c>
      <c r="B566" s="171" t="e">
        <f>IF(ISTEXT(([0]!P_1_10.2.14.4.3 [0]!Qté)),0,([0]!P_1_10.2.14.4.3 [0]!Qté))</f>
        <v>#REF!</v>
      </c>
      <c r="C566" s="172" t="e">
        <f>([0]!P_1_10.2.14.4.3 [0]!PU)</f>
        <v>#REF!</v>
      </c>
      <c r="D566" s="172" t="e">
        <f>IF(ISTEXT(([0]!P_1_10.2.14.4.3 [0]!MT)),0,([0]!P_1_10.2.14.4.3 [0]!MT))</f>
        <v>#REF!</v>
      </c>
    </row>
    <row r="567" spans="1:4" x14ac:dyDescent="0.25">
      <c r="A567" s="170" t="s">
        <v>569</v>
      </c>
      <c r="B567" s="171" t="e">
        <f>IF(ISTEXT(([0]!P_1_10.2.14.4.4 [0]!Qté)),0,([0]!P_1_10.2.14.4.4 [0]!Qté))</f>
        <v>#REF!</v>
      </c>
      <c r="C567" s="172" t="e">
        <f>([0]!P_1_10.2.14.4.4 [0]!PU)</f>
        <v>#REF!</v>
      </c>
      <c r="D567" s="172" t="e">
        <f>IF(ISTEXT(([0]!P_1_10.2.14.4.4 [0]!MT)),0,([0]!P_1_10.2.14.4.4 [0]!MT))</f>
        <v>#REF!</v>
      </c>
    </row>
    <row r="568" spans="1:4" x14ac:dyDescent="0.25">
      <c r="A568" s="170" t="s">
        <v>570</v>
      </c>
      <c r="B568" s="171" t="e">
        <f>IF(ISTEXT(([0]!P_1_10.2.14.4.5 [0]!Qté)),0,([0]!P_1_10.2.14.4.5 [0]!Qté))</f>
        <v>#REF!</v>
      </c>
      <c r="C568" s="172" t="e">
        <f>([0]!P_1_10.2.14.4.5 [0]!PU)</f>
        <v>#REF!</v>
      </c>
      <c r="D568" s="172" t="e">
        <f>IF(ISTEXT(([0]!P_1_10.2.14.4.5 [0]!MT)),0,([0]!P_1_10.2.14.4.5 [0]!MT))</f>
        <v>#REF!</v>
      </c>
    </row>
    <row r="569" spans="1:4" x14ac:dyDescent="0.25">
      <c r="A569" s="170" t="s">
        <v>571</v>
      </c>
      <c r="B569" s="171" t="e">
        <f>IF(ISTEXT(([0]!P_1_10.2.14.4.6 [0]!Qté)),0,([0]!P_1_10.2.14.4.6 [0]!Qté))</f>
        <v>#REF!</v>
      </c>
      <c r="C569" s="172" t="e">
        <f>([0]!P_1_10.2.14.4.6 [0]!PU)</f>
        <v>#REF!</v>
      </c>
      <c r="D569" s="172" t="e">
        <f>IF(ISTEXT(([0]!P_1_10.2.14.4.6 [0]!MT)),0,([0]!P_1_10.2.14.4.6 [0]!MT))</f>
        <v>#REF!</v>
      </c>
    </row>
    <row r="570" spans="1:4" x14ac:dyDescent="0.25">
      <c r="A570" s="170" t="s">
        <v>572</v>
      </c>
      <c r="B570" s="171" t="e">
        <f>IF(ISTEXT(([0]!P_1_10.2.15.1 [0]!Qté)),0,([0]!P_1_10.2.15.1 [0]!Qté))</f>
        <v>#REF!</v>
      </c>
      <c r="C570" s="172" t="e">
        <f>([0]!P_1_10.2.15.1 [0]!PU)</f>
        <v>#REF!</v>
      </c>
      <c r="D570" s="172" t="e">
        <f>IF(ISTEXT(([0]!P_1_10.2.15.1 [0]!MT)),0,([0]!P_1_10.2.15.1 [0]!MT))</f>
        <v>#REF!</v>
      </c>
    </row>
    <row r="571" spans="1:4" x14ac:dyDescent="0.25">
      <c r="A571" s="170" t="s">
        <v>573</v>
      </c>
      <c r="B571" s="171" t="e">
        <f>IF(ISTEXT(([0]!P_1_10.2.15.2 [0]!Qté)),0,([0]!P_1_10.2.15.2 [0]!Qté))</f>
        <v>#REF!</v>
      </c>
      <c r="C571" s="172" t="e">
        <f>([0]!P_1_10.2.15.2 [0]!PU)</f>
        <v>#REF!</v>
      </c>
      <c r="D571" s="172" t="e">
        <f>IF(ISTEXT(([0]!P_1_10.2.15.2 [0]!MT)),0,([0]!P_1_10.2.15.2 [0]!MT))</f>
        <v>#REF!</v>
      </c>
    </row>
    <row r="572" spans="1:4" x14ac:dyDescent="0.25">
      <c r="A572" s="170" t="s">
        <v>574</v>
      </c>
      <c r="B572" s="171" t="e">
        <f>IF(ISTEXT(([0]!P_1_10.2.15.3 [0]!Qté)),0,([0]!P_1_10.2.15.3 [0]!Qté))</f>
        <v>#REF!</v>
      </c>
      <c r="C572" s="172" t="e">
        <f>([0]!P_1_10.2.15.3 [0]!PU)</f>
        <v>#REF!</v>
      </c>
      <c r="D572" s="172" t="e">
        <f>IF(ISTEXT(([0]!P_1_10.2.15.3 [0]!MT)),0,([0]!P_1_10.2.15.3 [0]!MT))</f>
        <v>#REF!</v>
      </c>
    </row>
    <row r="573" spans="1:4" x14ac:dyDescent="0.25">
      <c r="A573" s="170" t="s">
        <v>575</v>
      </c>
      <c r="B573" s="171" t="e">
        <f>IF(ISTEXT(([0]!P_1_10.2.15.4 [0]!Qté)),0,([0]!P_1_10.2.15.4 [0]!Qté))</f>
        <v>#REF!</v>
      </c>
      <c r="C573" s="172" t="e">
        <f>([0]!P_1_10.2.15.4 [0]!PU)</f>
        <v>#REF!</v>
      </c>
      <c r="D573" s="172" t="e">
        <f>IF(ISTEXT(([0]!P_1_10.2.15.4 [0]!MT)),0,([0]!P_1_10.2.15.4 [0]!MT))</f>
        <v>#REF!</v>
      </c>
    </row>
    <row r="574" spans="1:4" x14ac:dyDescent="0.25">
      <c r="A574" s="170" t="s">
        <v>576</v>
      </c>
      <c r="B574" s="171" t="e">
        <f>IF(ISTEXT(([0]!P_1_10.3.1 [0]!Qté)),0,([0]!P_1_10.3.1 [0]!Qté))</f>
        <v>#REF!</v>
      </c>
      <c r="C574" s="172" t="e">
        <f>([0]!P_1_10.3.1 [0]!PU)</f>
        <v>#REF!</v>
      </c>
      <c r="D574" s="172" t="e">
        <f>IF(ISTEXT(([0]!P_1_10.3.1 [0]!MT)),0,([0]!P_1_10.3.1 [0]!MT))</f>
        <v>#REF!</v>
      </c>
    </row>
    <row r="575" spans="1:4" x14ac:dyDescent="0.25">
      <c r="A575" s="170" t="s">
        <v>577</v>
      </c>
      <c r="B575" s="171" t="e">
        <f>IF(ISTEXT(([0]!P_1_10.3.2 [0]!Qté)),0,([0]!P_1_10.3.2 [0]!Qté))</f>
        <v>#REF!</v>
      </c>
      <c r="C575" s="172" t="e">
        <f>([0]!P_1_10.3.2 [0]!PU)</f>
        <v>#REF!</v>
      </c>
      <c r="D575" s="172" t="e">
        <f>IF(ISTEXT(([0]!P_1_10.3.2 [0]!MT)),0,([0]!P_1_10.3.2 [0]!MT))</f>
        <v>#REF!</v>
      </c>
    </row>
    <row r="576" spans="1:4" x14ac:dyDescent="0.25">
      <c r="A576" s="170" t="s">
        <v>578</v>
      </c>
      <c r="B576" s="171" t="e">
        <f>IF(ISTEXT(([0]!P_1_10.3.3 [0]!Qté)),0,([0]!P_1_10.3.3 [0]!Qté))</f>
        <v>#REF!</v>
      </c>
      <c r="C576" s="172" t="e">
        <f>([0]!P_1_10.3.3 [0]!PU)</f>
        <v>#REF!</v>
      </c>
      <c r="D576" s="172" t="e">
        <f>IF(ISTEXT(([0]!P_1_10.3.3 [0]!MT)),0,([0]!P_1_10.3.3 [0]!MT))</f>
        <v>#REF!</v>
      </c>
    </row>
    <row r="577" spans="1:4" x14ac:dyDescent="0.25">
      <c r="A577" s="170" t="s">
        <v>579</v>
      </c>
      <c r="B577" s="171" t="e">
        <f>IF(ISTEXT(([0]!P_1_10.3.4 [0]!Qté)),0,([0]!P_1_10.3.4 [0]!Qté))</f>
        <v>#REF!</v>
      </c>
      <c r="C577" s="172" t="e">
        <f>([0]!P_1_10.3.4 [0]!PU)</f>
        <v>#REF!</v>
      </c>
      <c r="D577" s="172" t="e">
        <f>IF(ISTEXT(([0]!P_1_10.3.4 [0]!MT)),0,([0]!P_1_10.3.4 [0]!MT))</f>
        <v>#REF!</v>
      </c>
    </row>
    <row r="578" spans="1:4" x14ac:dyDescent="0.25">
      <c r="A578" s="170" t="s">
        <v>580</v>
      </c>
      <c r="B578" s="171" t="e">
        <f>IF(ISTEXT(([0]!P_1_10.3.5 [0]!Qté)),0,([0]!P_1_10.3.5 [0]!Qté))</f>
        <v>#REF!</v>
      </c>
      <c r="C578" s="172" t="e">
        <f>([0]!P_1_10.3.5 [0]!PU)</f>
        <v>#REF!</v>
      </c>
      <c r="D578" s="172" t="e">
        <f>IF(ISTEXT(([0]!P_1_10.3.5 [0]!MT)),0,([0]!P_1_10.3.5 [0]!MT))</f>
        <v>#REF!</v>
      </c>
    </row>
    <row r="579" spans="1:4" x14ac:dyDescent="0.25">
      <c r="A579" s="170" t="s">
        <v>581</v>
      </c>
      <c r="B579" s="171" t="e">
        <f>IF(ISTEXT(([0]!P_1_10.3.6 [0]!Qté)),0,([0]!P_1_10.3.6 [0]!Qté))</f>
        <v>#REF!</v>
      </c>
      <c r="C579" s="172" t="e">
        <f>([0]!P_1_10.3.6 [0]!PU)</f>
        <v>#REF!</v>
      </c>
      <c r="D579" s="172" t="e">
        <f>IF(ISTEXT(([0]!P_1_10.3.6 [0]!MT)),0,([0]!P_1_10.3.6 [0]!MT))</f>
        <v>#REF!</v>
      </c>
    </row>
    <row r="580" spans="1:4" x14ac:dyDescent="0.25">
      <c r="A580" s="170" t="s">
        <v>582</v>
      </c>
      <c r="B580" s="171" t="e">
        <f>IF(ISTEXT(([0]!P_1_10.3.7 [0]!Qté)),0,([0]!P_1_10.3.7 [0]!Qté))</f>
        <v>#REF!</v>
      </c>
      <c r="C580" s="172" t="e">
        <f>([0]!P_1_10.3.7 [0]!PU)</f>
        <v>#REF!</v>
      </c>
      <c r="D580" s="172" t="e">
        <f>IF(ISTEXT(([0]!P_1_10.3.7 [0]!MT)),0,([0]!P_1_10.3.7 [0]!MT))</f>
        <v>#REF!</v>
      </c>
    </row>
    <row r="581" spans="1:4" x14ac:dyDescent="0.25">
      <c r="A581" s="170" t="s">
        <v>583</v>
      </c>
      <c r="B581" s="171" t="e">
        <f>IF(ISTEXT(([0]!P_1_10.3.8 [0]!Qté)),0,([0]!P_1_10.3.8 [0]!Qté))</f>
        <v>#REF!</v>
      </c>
      <c r="C581" s="172" t="e">
        <f>([0]!P_1_10.3.8 [0]!PU)</f>
        <v>#REF!</v>
      </c>
      <c r="D581" s="172" t="e">
        <f>IF(ISTEXT(([0]!P_1_10.3.8 [0]!MT)),0,([0]!P_1_10.3.8 [0]!MT))</f>
        <v>#REF!</v>
      </c>
    </row>
    <row r="582" spans="1:4" x14ac:dyDescent="0.25">
      <c r="A582" s="170" t="s">
        <v>584</v>
      </c>
      <c r="B582" s="171" t="e">
        <f>IF(ISTEXT(([0]!P_1_10.3.9 [0]!Qté)),0,([0]!P_1_10.3.9 [0]!Qté))</f>
        <v>#REF!</v>
      </c>
      <c r="C582" s="172" t="e">
        <f>([0]!P_1_10.3.9 [0]!PU)</f>
        <v>#REF!</v>
      </c>
      <c r="D582" s="172" t="e">
        <f>IF(ISTEXT(([0]!P_1_10.3.9 [0]!MT)),0,([0]!P_1_10.3.9 [0]!MT))</f>
        <v>#REF!</v>
      </c>
    </row>
    <row r="583" spans="1:4" x14ac:dyDescent="0.25">
      <c r="A583" s="170" t="s">
        <v>585</v>
      </c>
      <c r="B583" s="171" t="e">
        <f>IF(ISTEXT(([0]!P_1_10.3.10 [0]!Qté)),0,([0]!P_1_10.3.10 [0]!Qté))</f>
        <v>#REF!</v>
      </c>
      <c r="C583" s="172" t="e">
        <f>([0]!P_1_10.3.10 [0]!PU)</f>
        <v>#REF!</v>
      </c>
      <c r="D583" s="172" t="e">
        <f>IF(ISTEXT(([0]!P_1_10.3.10 [0]!MT)),0,([0]!P_1_10.3.10 [0]!MT))</f>
        <v>#REF!</v>
      </c>
    </row>
    <row r="584" spans="1:4" x14ac:dyDescent="0.25">
      <c r="A584" s="170" t="s">
        <v>586</v>
      </c>
      <c r="B584" s="171" t="e">
        <f>IF(ISTEXT(([0]!P_1_10.3.11 [0]!Qté)),0,([0]!P_1_10.3.11 [0]!Qté))</f>
        <v>#REF!</v>
      </c>
      <c r="C584" s="172" t="e">
        <f>([0]!P_1_10.3.11 [0]!PU)</f>
        <v>#REF!</v>
      </c>
      <c r="D584" s="172" t="e">
        <f>IF(ISTEXT(([0]!P_1_10.3.11 [0]!MT)),0,([0]!P_1_10.3.11 [0]!MT))</f>
        <v>#REF!</v>
      </c>
    </row>
    <row r="585" spans="1:4" x14ac:dyDescent="0.25">
      <c r="A585" s="170" t="s">
        <v>587</v>
      </c>
      <c r="B585" s="171" t="e">
        <f>IF(ISTEXT(([0]!P_1_10.3.12 [0]!Qté)),0,([0]!P_1_10.3.12 [0]!Qté))</f>
        <v>#REF!</v>
      </c>
      <c r="C585" s="172" t="e">
        <f>([0]!P_1_10.3.12 [0]!PU)</f>
        <v>#REF!</v>
      </c>
      <c r="D585" s="172" t="e">
        <f>IF(ISTEXT(([0]!P_1_10.3.12 [0]!MT)),0,([0]!P_1_10.3.12 [0]!MT))</f>
        <v>#REF!</v>
      </c>
    </row>
    <row r="586" spans="1:4" x14ac:dyDescent="0.25">
      <c r="A586" s="170" t="s">
        <v>588</v>
      </c>
      <c r="B586" s="171" t="e">
        <f>IF(ISTEXT(([0]!P_1_10.3.13 [0]!Qté)),0,([0]!P_1_10.3.13 [0]!Qté))</f>
        <v>#REF!</v>
      </c>
      <c r="C586" s="172" t="e">
        <f>([0]!P_1_10.3.13 [0]!PU)</f>
        <v>#REF!</v>
      </c>
      <c r="D586" s="172" t="e">
        <f>IF(ISTEXT(([0]!P_1_10.3.13 [0]!MT)),0,([0]!P_1_10.3.13 [0]!MT))</f>
        <v>#REF!</v>
      </c>
    </row>
    <row r="587" spans="1:4" x14ac:dyDescent="0.25">
      <c r="A587" s="170" t="s">
        <v>589</v>
      </c>
      <c r="B587" s="171" t="e">
        <f>IF(ISTEXT(([0]!P_1_10.3.14 [0]!Qté)),0,([0]!P_1_10.3.14 [0]!Qté))</f>
        <v>#REF!</v>
      </c>
      <c r="C587" s="172" t="e">
        <f>([0]!P_1_10.3.14 [0]!PU)</f>
        <v>#REF!</v>
      </c>
      <c r="D587" s="172" t="e">
        <f>IF(ISTEXT(([0]!P_1_10.3.14 [0]!MT)),0,([0]!P_1_10.3.14 [0]!MT))</f>
        <v>#REF!</v>
      </c>
    </row>
    <row r="588" spans="1:4" x14ac:dyDescent="0.25">
      <c r="A588" s="170" t="s">
        <v>590</v>
      </c>
      <c r="B588" s="171" t="e">
        <f>IF(ISTEXT(([0]!P_1_10.3.15 [0]!Qté)),0,([0]!P_1_10.3.15 [0]!Qté))</f>
        <v>#REF!</v>
      </c>
      <c r="C588" s="172" t="e">
        <f>([0]!P_1_10.3.15 [0]!PU)</f>
        <v>#REF!</v>
      </c>
      <c r="D588" s="172" t="e">
        <f>IF(ISTEXT(([0]!P_1_10.3.15 [0]!MT)),0,([0]!P_1_10.3.15 [0]!MT))</f>
        <v>#REF!</v>
      </c>
    </row>
    <row r="589" spans="1:4" x14ac:dyDescent="0.25">
      <c r="A589" s="170" t="s">
        <v>591</v>
      </c>
      <c r="B589" s="171" t="e">
        <f>IF(ISTEXT(([0]!P_1_10.3.16 [0]!Qté)),0,([0]!P_1_10.3.16 [0]!Qté))</f>
        <v>#REF!</v>
      </c>
      <c r="C589" s="172" t="e">
        <f>([0]!P_1_10.3.16 [0]!PU)</f>
        <v>#REF!</v>
      </c>
      <c r="D589" s="172" t="e">
        <f>IF(ISTEXT(([0]!P_1_10.3.16 [0]!MT)),0,([0]!P_1_10.3.16 [0]!MT))</f>
        <v>#REF!</v>
      </c>
    </row>
    <row r="590" spans="1:4" x14ac:dyDescent="0.25">
      <c r="A590" s="170" t="s">
        <v>592</v>
      </c>
      <c r="B590" s="171" t="e">
        <f>IF(ISTEXT(([0]!P_1_10.3.17 [0]!Qté)),0,([0]!P_1_10.3.17 [0]!Qté))</f>
        <v>#REF!</v>
      </c>
      <c r="C590" s="172" t="e">
        <f>([0]!P_1_10.3.17 [0]!PU)</f>
        <v>#REF!</v>
      </c>
      <c r="D590" s="172" t="e">
        <f>IF(ISTEXT(([0]!P_1_10.3.17 [0]!MT)),0,([0]!P_1_10.3.17 [0]!MT))</f>
        <v>#REF!</v>
      </c>
    </row>
    <row r="591" spans="1:4" x14ac:dyDescent="0.25">
      <c r="A591" s="170" t="s">
        <v>593</v>
      </c>
      <c r="B591" s="171" t="e">
        <f>IF(ISTEXT(([0]!P_1_10.3.18 [0]!Qté)),0,([0]!P_1_10.3.18 [0]!Qté))</f>
        <v>#REF!</v>
      </c>
      <c r="C591" s="172" t="e">
        <f>([0]!P_1_10.3.18 [0]!PU)</f>
        <v>#REF!</v>
      </c>
      <c r="D591" s="172" t="e">
        <f>IF(ISTEXT(([0]!P_1_10.3.18 [0]!MT)),0,([0]!P_1_10.3.18 [0]!MT))</f>
        <v>#REF!</v>
      </c>
    </row>
    <row r="592" spans="1:4" x14ac:dyDescent="0.25">
      <c r="A592" s="170" t="s">
        <v>594</v>
      </c>
      <c r="B592" s="171" t="e">
        <f>IF(ISTEXT(([0]!P_1_10.3.19 [0]!Qté)),0,([0]!P_1_10.3.19 [0]!Qté))</f>
        <v>#REF!</v>
      </c>
      <c r="C592" s="172" t="e">
        <f>([0]!P_1_10.3.19 [0]!PU)</f>
        <v>#REF!</v>
      </c>
      <c r="D592" s="172" t="e">
        <f>IF(ISTEXT(([0]!P_1_10.3.19 [0]!MT)),0,([0]!P_1_10.3.19 [0]!MT))</f>
        <v>#REF!</v>
      </c>
    </row>
    <row r="593" spans="1:4" x14ac:dyDescent="0.25">
      <c r="A593" s="170" t="s">
        <v>595</v>
      </c>
      <c r="B593" s="171" t="e">
        <f>IF(ISTEXT(([0]!P_1_10.3.20 [0]!Qté)),0,([0]!P_1_10.3.20 [0]!Qté))</f>
        <v>#REF!</v>
      </c>
      <c r="C593" s="172" t="e">
        <f>([0]!P_1_10.3.20 [0]!PU)</f>
        <v>#REF!</v>
      </c>
      <c r="D593" s="172" t="e">
        <f>IF(ISTEXT(([0]!P_1_10.3.20 [0]!MT)),0,([0]!P_1_10.3.20 [0]!MT))</f>
        <v>#REF!</v>
      </c>
    </row>
    <row r="594" spans="1:4" x14ac:dyDescent="0.25">
      <c r="A594" s="170" t="s">
        <v>596</v>
      </c>
      <c r="B594" s="171" t="e">
        <f>IF(ISTEXT(([0]!P_1_10.3.21 [0]!Qté)),0,([0]!P_1_10.3.21 [0]!Qté))</f>
        <v>#REF!</v>
      </c>
      <c r="C594" s="172" t="e">
        <f>([0]!P_1_10.3.21 [0]!PU)</f>
        <v>#REF!</v>
      </c>
      <c r="D594" s="172" t="e">
        <f>IF(ISTEXT(([0]!P_1_10.3.21 [0]!MT)),0,([0]!P_1_10.3.21 [0]!MT))</f>
        <v>#REF!</v>
      </c>
    </row>
    <row r="595" spans="1:4" x14ac:dyDescent="0.25">
      <c r="A595" s="170" t="s">
        <v>597</v>
      </c>
      <c r="B595" s="171" t="e">
        <f>IF(ISTEXT(([0]!P_1_10.4.1 [0]!Qté)),0,([0]!P_1_10.4.1 [0]!Qté))</f>
        <v>#REF!</v>
      </c>
      <c r="C595" s="172" t="e">
        <f>([0]!P_1_10.4.1 [0]!PU)</f>
        <v>#REF!</v>
      </c>
      <c r="D595" s="172" t="e">
        <f>IF(ISTEXT(([0]!P_1_10.4.1 [0]!MT)),0,([0]!P_1_10.4.1 [0]!MT))</f>
        <v>#REF!</v>
      </c>
    </row>
    <row r="596" spans="1:4" x14ac:dyDescent="0.25">
      <c r="A596" s="170" t="s">
        <v>598</v>
      </c>
      <c r="B596" s="171" t="e">
        <f>IF(ISTEXT(([0]!P_1_10.4.2 [0]!Qté)),0,([0]!P_1_10.4.2 [0]!Qté))</f>
        <v>#REF!</v>
      </c>
      <c r="C596" s="172" t="e">
        <f>([0]!P_1_10.4.2 [0]!PU)</f>
        <v>#REF!</v>
      </c>
      <c r="D596" s="172" t="e">
        <f>IF(ISTEXT(([0]!P_1_10.4.2 [0]!MT)),0,([0]!P_1_10.4.2 [0]!MT))</f>
        <v>#REF!</v>
      </c>
    </row>
    <row r="597" spans="1:4" x14ac:dyDescent="0.25">
      <c r="A597" s="170" t="s">
        <v>599</v>
      </c>
      <c r="B597" s="171" t="e">
        <f>IF(ISTEXT(([0]!P_1_10.4.3 [0]!Qté)),0,([0]!P_1_10.4.3 [0]!Qté))</f>
        <v>#REF!</v>
      </c>
      <c r="C597" s="172" t="e">
        <f>([0]!P_1_10.4.3 [0]!PU)</f>
        <v>#REF!</v>
      </c>
      <c r="D597" s="172" t="e">
        <f>IF(ISTEXT(([0]!P_1_10.4.3 [0]!MT)),0,([0]!P_1_10.4.3 [0]!MT))</f>
        <v>#REF!</v>
      </c>
    </row>
    <row r="598" spans="1:4" x14ac:dyDescent="0.25">
      <c r="A598" s="170" t="s">
        <v>600</v>
      </c>
      <c r="B598" s="171" t="e">
        <f>IF(ISTEXT(([0]!P_1_10.4.4 [0]!Qté)),0,([0]!P_1_10.4.4 [0]!Qté))</f>
        <v>#REF!</v>
      </c>
      <c r="C598" s="172" t="e">
        <f>([0]!P_1_10.4.4 [0]!PU)</f>
        <v>#REF!</v>
      </c>
      <c r="D598" s="172" t="e">
        <f>IF(ISTEXT(([0]!P_1_10.4.4 [0]!MT)),0,([0]!P_1_10.4.4 [0]!MT))</f>
        <v>#REF!</v>
      </c>
    </row>
    <row r="599" spans="1:4" x14ac:dyDescent="0.25">
      <c r="A599" s="170" t="s">
        <v>601</v>
      </c>
      <c r="B599" s="171" t="e">
        <f>IF(ISTEXT(([0]!P_1_10.4.5 [0]!Qté)),0,([0]!P_1_10.4.5 [0]!Qté))</f>
        <v>#REF!</v>
      </c>
      <c r="C599" s="172" t="e">
        <f>([0]!P_1_10.4.5 [0]!PU)</f>
        <v>#REF!</v>
      </c>
      <c r="D599" s="172" t="e">
        <f>IF(ISTEXT(([0]!P_1_10.4.5 [0]!MT)),0,([0]!P_1_10.4.5 [0]!MT))</f>
        <v>#REF!</v>
      </c>
    </row>
    <row r="600" spans="1:4" x14ac:dyDescent="0.25">
      <c r="A600" s="170" t="s">
        <v>602</v>
      </c>
      <c r="B600" s="171" t="e">
        <f>IF(ISTEXT(([0]!P_1_10.4.6 [0]!Qté)),0,([0]!P_1_10.4.6 [0]!Qté))</f>
        <v>#REF!</v>
      </c>
      <c r="C600" s="172" t="e">
        <f>([0]!P_1_10.4.6 [0]!PU)</f>
        <v>#REF!</v>
      </c>
      <c r="D600" s="172" t="e">
        <f>IF(ISTEXT(([0]!P_1_10.4.6 [0]!MT)),0,([0]!P_1_10.4.6 [0]!MT))</f>
        <v>#REF!</v>
      </c>
    </row>
    <row r="601" spans="1:4" x14ac:dyDescent="0.25">
      <c r="A601" s="170" t="s">
        <v>603</v>
      </c>
      <c r="B601" s="171" t="e">
        <f>IF(ISTEXT(([0]!P_1_10.4.7 [0]!Qté)),0,([0]!P_1_10.4.7 [0]!Qté))</f>
        <v>#REF!</v>
      </c>
      <c r="C601" s="172" t="e">
        <f>([0]!P_1_10.4.7 [0]!PU)</f>
        <v>#REF!</v>
      </c>
      <c r="D601" s="172" t="e">
        <f>IF(ISTEXT(([0]!P_1_10.4.7 [0]!MT)),0,([0]!P_1_10.4.7 [0]!MT))</f>
        <v>#REF!</v>
      </c>
    </row>
    <row r="602" spans="1:4" x14ac:dyDescent="0.25">
      <c r="A602" s="170" t="s">
        <v>604</v>
      </c>
      <c r="B602" s="171" t="e">
        <f>IF(ISTEXT(([0]!P_1_10.4.8 [0]!Qté)),0,([0]!P_1_10.4.8 [0]!Qté))</f>
        <v>#REF!</v>
      </c>
      <c r="C602" s="172" t="e">
        <f>([0]!P_1_10.4.8 [0]!PU)</f>
        <v>#REF!</v>
      </c>
      <c r="D602" s="172" t="e">
        <f>IF(ISTEXT(([0]!P_1_10.4.8 [0]!MT)),0,([0]!P_1_10.4.8 [0]!MT))</f>
        <v>#REF!</v>
      </c>
    </row>
    <row r="603" spans="1:4" x14ac:dyDescent="0.25">
      <c r="A603" s="170" t="s">
        <v>605</v>
      </c>
      <c r="B603" s="171" t="e">
        <f>IF(ISTEXT(([0]!P_1_10.4.9 [0]!Qté)),0,([0]!P_1_10.4.9 [0]!Qté))</f>
        <v>#REF!</v>
      </c>
      <c r="C603" s="172" t="e">
        <f>([0]!P_1_10.4.9 [0]!PU)</f>
        <v>#REF!</v>
      </c>
      <c r="D603" s="172" t="e">
        <f>IF(ISTEXT(([0]!P_1_10.4.9 [0]!MT)),0,([0]!P_1_10.4.9 [0]!MT))</f>
        <v>#REF!</v>
      </c>
    </row>
    <row r="604" spans="1:4" x14ac:dyDescent="0.25">
      <c r="A604" s="170" t="s">
        <v>606</v>
      </c>
      <c r="B604" s="171" t="e">
        <f>IF(ISTEXT(([0]!P_1_10.4.10 [0]!Qté)),0,([0]!P_1_10.4.10 [0]!Qté))</f>
        <v>#REF!</v>
      </c>
      <c r="C604" s="172" t="e">
        <f>([0]!P_1_10.4.10 [0]!PU)</f>
        <v>#REF!</v>
      </c>
      <c r="D604" s="172" t="e">
        <f>IF(ISTEXT(([0]!P_1_10.4.10 [0]!MT)),0,([0]!P_1_10.4.10 [0]!MT))</f>
        <v>#REF!</v>
      </c>
    </row>
    <row r="605" spans="1:4" x14ac:dyDescent="0.25">
      <c r="A605" s="170" t="s">
        <v>607</v>
      </c>
      <c r="B605" s="171" t="e">
        <f>IF(ISTEXT(([0]!P_1_10.4.11 [0]!Qté)),0,([0]!P_1_10.4.11 [0]!Qté))</f>
        <v>#REF!</v>
      </c>
      <c r="C605" s="172" t="e">
        <f>([0]!P_1_10.4.11 [0]!PU)</f>
        <v>#REF!</v>
      </c>
      <c r="D605" s="172" t="e">
        <f>IF(ISTEXT(([0]!P_1_10.4.11 [0]!MT)),0,([0]!P_1_10.4.11 [0]!MT))</f>
        <v>#REF!</v>
      </c>
    </row>
    <row r="606" spans="1:4" x14ac:dyDescent="0.25">
      <c r="A606" s="170" t="s">
        <v>608</v>
      </c>
      <c r="B606" s="171" t="e">
        <f>IF(ISTEXT(([0]!P_1_10.4.12 [0]!Qté)),0,([0]!P_1_10.4.12 [0]!Qté))</f>
        <v>#REF!</v>
      </c>
      <c r="C606" s="172" t="e">
        <f>([0]!P_1_10.4.12 [0]!PU)</f>
        <v>#REF!</v>
      </c>
      <c r="D606" s="172" t="e">
        <f>IF(ISTEXT(([0]!P_1_10.4.12 [0]!MT)),0,([0]!P_1_10.4.12 [0]!MT))</f>
        <v>#REF!</v>
      </c>
    </row>
    <row r="607" spans="1:4" x14ac:dyDescent="0.25">
      <c r="A607" s="170" t="s">
        <v>609</v>
      </c>
      <c r="B607" s="171" t="e">
        <f>IF(ISTEXT(([0]!P_1_10.4.13 [0]!Qté)),0,([0]!P_1_10.4.13 [0]!Qté))</f>
        <v>#REF!</v>
      </c>
      <c r="C607" s="172" t="e">
        <f>([0]!P_1_10.4.13 [0]!PU)</f>
        <v>#REF!</v>
      </c>
      <c r="D607" s="172" t="e">
        <f>IF(ISTEXT(([0]!P_1_10.4.13 [0]!MT)),0,([0]!P_1_10.4.13 [0]!MT))</f>
        <v>#REF!</v>
      </c>
    </row>
    <row r="608" spans="1:4" x14ac:dyDescent="0.25">
      <c r="A608" s="170" t="s">
        <v>610</v>
      </c>
      <c r="B608" s="171" t="e">
        <f>IF(ISTEXT(([0]!P_1_10.4.14 [0]!Qté)),0,([0]!P_1_10.4.14 [0]!Qté))</f>
        <v>#REF!</v>
      </c>
      <c r="C608" s="172" t="e">
        <f>([0]!P_1_10.4.14 [0]!PU)</f>
        <v>#REF!</v>
      </c>
      <c r="D608" s="172" t="e">
        <f>IF(ISTEXT(([0]!P_1_10.4.14 [0]!MT)),0,([0]!P_1_10.4.14 [0]!MT))</f>
        <v>#REF!</v>
      </c>
    </row>
    <row r="609" spans="1:4" x14ac:dyDescent="0.25">
      <c r="A609" s="170" t="s">
        <v>611</v>
      </c>
      <c r="B609" s="171" t="e">
        <f>IF(ISTEXT(([0]!P_1_10.4.15 [0]!Qté)),0,([0]!P_1_10.4.15 [0]!Qté))</f>
        <v>#REF!</v>
      </c>
      <c r="C609" s="172" t="e">
        <f>([0]!P_1_10.4.15 [0]!PU)</f>
        <v>#REF!</v>
      </c>
      <c r="D609" s="172" t="e">
        <f>IF(ISTEXT(([0]!P_1_10.4.15 [0]!MT)),0,([0]!P_1_10.4.15 [0]!MT))</f>
        <v>#REF!</v>
      </c>
    </row>
    <row r="610" spans="1:4" x14ac:dyDescent="0.25">
      <c r="A610" s="170" t="s">
        <v>612</v>
      </c>
      <c r="B610" s="171" t="e">
        <f>IF(ISTEXT(([0]!P_1_11.1.1.1 [0]!Qté)),0,([0]!P_1_11.1.1.1 [0]!Qté))</f>
        <v>#REF!</v>
      </c>
      <c r="C610" s="172" t="e">
        <f>([0]!P_1_11.1.1.1 [0]!PU)</f>
        <v>#REF!</v>
      </c>
      <c r="D610" s="172" t="e">
        <f>IF(ISTEXT(([0]!P_1_11.1.1.1 [0]!MT)),0,([0]!P_1_11.1.1.1 [0]!MT))</f>
        <v>#REF!</v>
      </c>
    </row>
    <row r="611" spans="1:4" x14ac:dyDescent="0.25">
      <c r="A611" s="170" t="s">
        <v>613</v>
      </c>
      <c r="B611" s="171" t="e">
        <f>IF(ISTEXT(([0]!P_1_11.1.1.2 [0]!Qté)),0,([0]!P_1_11.1.1.2 [0]!Qté))</f>
        <v>#REF!</v>
      </c>
      <c r="C611" s="172" t="e">
        <f>([0]!P_1_11.1.1.2 [0]!PU)</f>
        <v>#REF!</v>
      </c>
      <c r="D611" s="172" t="e">
        <f>IF(ISTEXT(([0]!P_1_11.1.1.2 [0]!MT)),0,([0]!P_1_11.1.1.2 [0]!MT))</f>
        <v>#REF!</v>
      </c>
    </row>
    <row r="612" spans="1:4" x14ac:dyDescent="0.25">
      <c r="A612" s="170" t="s">
        <v>614</v>
      </c>
      <c r="B612" s="171" t="e">
        <f>IF(ISTEXT(([0]!P_1_11.1.1.3 [0]!Qté)),0,([0]!P_1_11.1.1.3 [0]!Qté))</f>
        <v>#REF!</v>
      </c>
      <c r="C612" s="172" t="e">
        <f>([0]!P_1_11.1.1.3 [0]!PU)</f>
        <v>#REF!</v>
      </c>
      <c r="D612" s="172" t="e">
        <f>IF(ISTEXT(([0]!P_1_11.1.1.3 [0]!MT)),0,([0]!P_1_11.1.1.3 [0]!MT))</f>
        <v>#REF!</v>
      </c>
    </row>
    <row r="613" spans="1:4" x14ac:dyDescent="0.25">
      <c r="A613" s="170" t="s">
        <v>615</v>
      </c>
      <c r="B613" s="171" t="e">
        <f>IF(ISTEXT(([0]!P_1_11.1.1.4 [0]!Qté)),0,([0]!P_1_11.1.1.4 [0]!Qté))</f>
        <v>#REF!</v>
      </c>
      <c r="C613" s="172" t="e">
        <f>([0]!P_1_11.1.1.4 [0]!PU)</f>
        <v>#REF!</v>
      </c>
      <c r="D613" s="172" t="e">
        <f>IF(ISTEXT(([0]!P_1_11.1.1.4 [0]!MT)),0,([0]!P_1_11.1.1.4 [0]!MT))</f>
        <v>#REF!</v>
      </c>
    </row>
    <row r="614" spans="1:4" x14ac:dyDescent="0.25">
      <c r="A614" s="170" t="s">
        <v>616</v>
      </c>
      <c r="B614" s="171" t="e">
        <f>IF(ISTEXT(([0]!P_1_11.1.2.1 [0]!Qté)),0,([0]!P_1_11.1.2.1 [0]!Qté))</f>
        <v>#REF!</v>
      </c>
      <c r="C614" s="172" t="e">
        <f>([0]!P_1_11.1.2.1 [0]!PU)</f>
        <v>#REF!</v>
      </c>
      <c r="D614" s="172" t="e">
        <f>IF(ISTEXT(([0]!P_1_11.1.2.1 [0]!MT)),0,([0]!P_1_11.1.2.1 [0]!MT))</f>
        <v>#REF!</v>
      </c>
    </row>
    <row r="615" spans="1:4" x14ac:dyDescent="0.25">
      <c r="A615" s="170" t="s">
        <v>617</v>
      </c>
      <c r="B615" s="171" t="e">
        <f>IF(ISTEXT(([0]!P_1_11.1.2.2 [0]!Qté)),0,([0]!P_1_11.1.2.2 [0]!Qté))</f>
        <v>#REF!</v>
      </c>
      <c r="C615" s="172" t="e">
        <f>([0]!P_1_11.1.2.2 [0]!PU)</f>
        <v>#REF!</v>
      </c>
      <c r="D615" s="172" t="e">
        <f>IF(ISTEXT(([0]!P_1_11.1.2.2 [0]!MT)),0,([0]!P_1_11.1.2.2 [0]!MT))</f>
        <v>#REF!</v>
      </c>
    </row>
    <row r="616" spans="1:4" x14ac:dyDescent="0.25">
      <c r="A616" s="170" t="s">
        <v>618</v>
      </c>
      <c r="B616" s="171" t="e">
        <f>IF(ISTEXT(([0]!P_1_11.1.2.3 [0]!Qté)),0,([0]!P_1_11.1.2.3 [0]!Qté))</f>
        <v>#REF!</v>
      </c>
      <c r="C616" s="172" t="e">
        <f>([0]!P_1_11.1.2.3 [0]!PU)</f>
        <v>#REF!</v>
      </c>
      <c r="D616" s="172" t="e">
        <f>IF(ISTEXT(([0]!P_1_11.1.2.3 [0]!MT)),0,([0]!P_1_11.1.2.3 [0]!MT))</f>
        <v>#REF!</v>
      </c>
    </row>
    <row r="617" spans="1:4" x14ac:dyDescent="0.25">
      <c r="A617" s="170" t="s">
        <v>619</v>
      </c>
      <c r="B617" s="171" t="e">
        <f>IF(ISTEXT(([0]!P_1_11.1.2.4 [0]!Qté)),0,([0]!P_1_11.1.2.4 [0]!Qté))</f>
        <v>#REF!</v>
      </c>
      <c r="C617" s="172" t="e">
        <f>([0]!P_1_11.1.2.4 [0]!PU)</f>
        <v>#REF!</v>
      </c>
      <c r="D617" s="172" t="e">
        <f>IF(ISTEXT(([0]!P_1_11.1.2.4 [0]!MT)),0,([0]!P_1_11.1.2.4 [0]!MT))</f>
        <v>#REF!</v>
      </c>
    </row>
    <row r="618" spans="1:4" x14ac:dyDescent="0.25">
      <c r="A618" s="170" t="s">
        <v>620</v>
      </c>
      <c r="B618" s="171" t="e">
        <f>IF(ISTEXT(([0]!P_1_11.1.3.1 [0]!Qté)),0,([0]!P_1_11.1.3.1 [0]!Qté))</f>
        <v>#REF!</v>
      </c>
      <c r="C618" s="172" t="e">
        <f>([0]!P_1_11.1.3.1 [0]!PU)</f>
        <v>#REF!</v>
      </c>
      <c r="D618" s="172" t="e">
        <f>IF(ISTEXT(([0]!P_1_11.1.3.1 [0]!MT)),0,([0]!P_1_11.1.3.1 [0]!MT))</f>
        <v>#REF!</v>
      </c>
    </row>
    <row r="619" spans="1:4" x14ac:dyDescent="0.25">
      <c r="A619" s="170" t="s">
        <v>621</v>
      </c>
      <c r="B619" s="171" t="e">
        <f>IF(ISTEXT(([0]!P_1_11.1.3.2 [0]!Qté)),0,([0]!P_1_11.1.3.2 [0]!Qté))</f>
        <v>#REF!</v>
      </c>
      <c r="C619" s="172" t="e">
        <f>([0]!P_1_11.1.3.2 [0]!PU)</f>
        <v>#REF!</v>
      </c>
      <c r="D619" s="172" t="e">
        <f>IF(ISTEXT(([0]!P_1_11.1.3.2 [0]!MT)),0,([0]!P_1_11.1.3.2 [0]!MT))</f>
        <v>#REF!</v>
      </c>
    </row>
    <row r="620" spans="1:4" x14ac:dyDescent="0.25">
      <c r="A620" s="170" t="s">
        <v>622</v>
      </c>
      <c r="B620" s="171" t="e">
        <f>IF(ISTEXT(([0]!P_1_11.1.3.3 [0]!Qté)),0,([0]!P_1_11.1.3.3 [0]!Qté))</f>
        <v>#REF!</v>
      </c>
      <c r="C620" s="172" t="e">
        <f>([0]!P_1_11.1.3.3 [0]!PU)</f>
        <v>#REF!</v>
      </c>
      <c r="D620" s="172" t="e">
        <f>IF(ISTEXT(([0]!P_1_11.1.3.3 [0]!MT)),0,([0]!P_1_11.1.3.3 [0]!MT))</f>
        <v>#REF!</v>
      </c>
    </row>
    <row r="621" spans="1:4" x14ac:dyDescent="0.25">
      <c r="A621" s="170" t="s">
        <v>623</v>
      </c>
      <c r="B621" s="171" t="e">
        <f>IF(ISTEXT(([0]!P_1_11.1.3.4 [0]!Qté)),0,([0]!P_1_11.1.3.4 [0]!Qté))</f>
        <v>#REF!</v>
      </c>
      <c r="C621" s="172" t="e">
        <f>([0]!P_1_11.1.3.4 [0]!PU)</f>
        <v>#REF!</v>
      </c>
      <c r="D621" s="172" t="e">
        <f>IF(ISTEXT(([0]!P_1_11.1.3.4 [0]!MT)),0,([0]!P_1_11.1.3.4 [0]!MT))</f>
        <v>#REF!</v>
      </c>
    </row>
    <row r="622" spans="1:4" x14ac:dyDescent="0.25">
      <c r="A622" s="170" t="s">
        <v>624</v>
      </c>
      <c r="B622" s="171" t="e">
        <f>IF(ISTEXT(([0]!P_1_11.2.1 [0]!Qté)),0,([0]!P_1_11.2.1 [0]!Qté))</f>
        <v>#REF!</v>
      </c>
      <c r="C622" s="172" t="e">
        <f>([0]!P_1_11.2.1 [0]!PU)</f>
        <v>#REF!</v>
      </c>
      <c r="D622" s="172" t="e">
        <f>IF(ISTEXT(([0]!P_1_11.2.1 [0]!MT)),0,([0]!P_1_11.2.1 [0]!MT))</f>
        <v>#REF!</v>
      </c>
    </row>
    <row r="623" spans="1:4" x14ac:dyDescent="0.25">
      <c r="A623" s="170" t="s">
        <v>625</v>
      </c>
      <c r="B623" s="171" t="e">
        <f>IF(ISTEXT(([0]!P_1_11.2.2 [0]!Qté)),0,([0]!P_1_11.2.2 [0]!Qté))</f>
        <v>#REF!</v>
      </c>
      <c r="C623" s="172" t="e">
        <f>([0]!P_1_11.2.2 [0]!PU)</f>
        <v>#REF!</v>
      </c>
      <c r="D623" s="172" t="e">
        <f>IF(ISTEXT(([0]!P_1_11.2.2 [0]!MT)),0,([0]!P_1_11.2.2 [0]!MT))</f>
        <v>#REF!</v>
      </c>
    </row>
    <row r="624" spans="1:4" x14ac:dyDescent="0.25">
      <c r="A624" s="170" t="s">
        <v>626</v>
      </c>
      <c r="B624" s="171" t="e">
        <f>IF(ISTEXT(([0]!P_1_11.2.3 [0]!Qté)),0,([0]!P_1_11.2.3 [0]!Qté))</f>
        <v>#REF!</v>
      </c>
      <c r="C624" s="172" t="e">
        <f>([0]!P_1_11.2.3 [0]!PU)</f>
        <v>#REF!</v>
      </c>
      <c r="D624" s="172" t="e">
        <f>IF(ISTEXT(([0]!P_1_11.2.3 [0]!MT)),0,([0]!P_1_11.2.3 [0]!MT))</f>
        <v>#REF!</v>
      </c>
    </row>
    <row r="625" spans="1:4" x14ac:dyDescent="0.25">
      <c r="A625" s="170" t="s">
        <v>627</v>
      </c>
      <c r="B625" s="171" t="e">
        <f>IF(ISTEXT(([0]!P_1_11.2.4 [0]!Qté)),0,([0]!P_1_11.2.4 [0]!Qté))</f>
        <v>#REF!</v>
      </c>
      <c r="C625" s="172" t="e">
        <f>([0]!P_1_11.2.4 [0]!PU)</f>
        <v>#REF!</v>
      </c>
      <c r="D625" s="172" t="e">
        <f>IF(ISTEXT(([0]!P_1_11.2.4 [0]!MT)),0,([0]!P_1_11.2.4 [0]!MT))</f>
        <v>#REF!</v>
      </c>
    </row>
    <row r="626" spans="1:4" x14ac:dyDescent="0.25">
      <c r="A626" s="170" t="s">
        <v>628</v>
      </c>
      <c r="B626" s="171" t="e">
        <f>IF(ISTEXT(([0]!P_1_11.2.5 [0]!Qté)),0,([0]!P_1_11.2.5 [0]!Qté))</f>
        <v>#REF!</v>
      </c>
      <c r="C626" s="172" t="e">
        <f>([0]!P_1_11.2.5 [0]!PU)</f>
        <v>#REF!</v>
      </c>
      <c r="D626" s="172" t="e">
        <f>IF(ISTEXT(([0]!P_1_11.2.5 [0]!MT)),0,([0]!P_1_11.2.5 [0]!MT))</f>
        <v>#REF!</v>
      </c>
    </row>
    <row r="627" spans="1:4" x14ac:dyDescent="0.25">
      <c r="A627" s="170" t="s">
        <v>629</v>
      </c>
      <c r="B627" s="171" t="e">
        <f>IF(ISTEXT(([0]!P_1_11.3.1 [0]!Qté)),0,([0]!P_1_11.3.1 [0]!Qté))</f>
        <v>#REF!</v>
      </c>
      <c r="C627" s="172" t="e">
        <f>([0]!P_1_11.3.1 [0]!PU)</f>
        <v>#REF!</v>
      </c>
      <c r="D627" s="172" t="e">
        <f>IF(ISTEXT(([0]!P_1_11.3.1 [0]!MT)),0,([0]!P_1_11.3.1 [0]!MT))</f>
        <v>#REF!</v>
      </c>
    </row>
    <row r="628" spans="1:4" x14ac:dyDescent="0.25">
      <c r="A628" s="170" t="s">
        <v>630</v>
      </c>
      <c r="B628" s="171" t="e">
        <f>IF(ISTEXT(([0]!P_1_11.3.2 [0]!Qté)),0,([0]!P_1_11.3.2 [0]!Qté))</f>
        <v>#REF!</v>
      </c>
      <c r="C628" s="172" t="e">
        <f>([0]!P_1_11.3.2 [0]!PU)</f>
        <v>#REF!</v>
      </c>
      <c r="D628" s="172" t="e">
        <f>IF(ISTEXT(([0]!P_1_11.3.2 [0]!MT)),0,([0]!P_1_11.3.2 [0]!MT))</f>
        <v>#REF!</v>
      </c>
    </row>
    <row r="629" spans="1:4" x14ac:dyDescent="0.25">
      <c r="A629" s="170" t="s">
        <v>631</v>
      </c>
      <c r="B629" s="171" t="e">
        <f>IF(ISTEXT(([0]!P_1_11.3.3 [0]!Qté)),0,([0]!P_1_11.3.3 [0]!Qté))</f>
        <v>#REF!</v>
      </c>
      <c r="C629" s="172" t="e">
        <f>([0]!P_1_11.3.3 [0]!PU)</f>
        <v>#REF!</v>
      </c>
      <c r="D629" s="172" t="e">
        <f>IF(ISTEXT(([0]!P_1_11.3.3 [0]!MT)),0,([0]!P_1_11.3.3 [0]!MT))</f>
        <v>#REF!</v>
      </c>
    </row>
    <row r="630" spans="1:4" x14ac:dyDescent="0.25">
      <c r="A630" s="170" t="s">
        <v>632</v>
      </c>
      <c r="B630" s="171" t="e">
        <f>IF(ISTEXT(([0]!P_1_11.3.4 [0]!Qté)),0,([0]!P_1_11.3.4 [0]!Qté))</f>
        <v>#REF!</v>
      </c>
      <c r="C630" s="172" t="e">
        <f>([0]!P_1_11.3.4 [0]!PU)</f>
        <v>#REF!</v>
      </c>
      <c r="D630" s="172" t="e">
        <f>IF(ISTEXT(([0]!P_1_11.3.4 [0]!MT)),0,([0]!P_1_11.3.4 [0]!MT))</f>
        <v>#REF!</v>
      </c>
    </row>
    <row r="631" spans="1:4" x14ac:dyDescent="0.25">
      <c r="A631" s="170" t="s">
        <v>633</v>
      </c>
      <c r="B631" s="171" t="e">
        <f>IF(ISTEXT(([0]!P_1_11.3.5 [0]!Qté)),0,([0]!P_1_11.3.5 [0]!Qté))</f>
        <v>#REF!</v>
      </c>
      <c r="C631" s="172" t="e">
        <f>([0]!P_1_11.3.5 [0]!PU)</f>
        <v>#REF!</v>
      </c>
      <c r="D631" s="172" t="e">
        <f>IF(ISTEXT(([0]!P_1_11.3.5 [0]!MT)),0,([0]!P_1_11.3.5 [0]!MT))</f>
        <v>#REF!</v>
      </c>
    </row>
    <row r="632" spans="1:4" x14ac:dyDescent="0.25">
      <c r="A632" s="170" t="s">
        <v>634</v>
      </c>
      <c r="B632" s="171" t="e">
        <f>IF(ISTEXT(([0]!P_1_11.3.6 [0]!Qté)),0,([0]!P_1_11.3.6 [0]!Qté))</f>
        <v>#REF!</v>
      </c>
      <c r="C632" s="172" t="e">
        <f>([0]!P_1_11.3.6 [0]!PU)</f>
        <v>#REF!</v>
      </c>
      <c r="D632" s="172" t="e">
        <f>IF(ISTEXT(([0]!P_1_11.3.6 [0]!MT)),0,([0]!P_1_11.3.6 [0]!MT))</f>
        <v>#REF!</v>
      </c>
    </row>
    <row r="633" spans="1:4" x14ac:dyDescent="0.25">
      <c r="A633" s="170" t="s">
        <v>635</v>
      </c>
      <c r="B633" s="171" t="e">
        <f>IF(ISTEXT(([0]!P_1_11.4.1 [0]!Qté)),0,([0]!P_1_11.4.1 [0]!Qté))</f>
        <v>#REF!</v>
      </c>
      <c r="C633" s="172" t="e">
        <f>([0]!P_1_11.4.1 [0]!PU)</f>
        <v>#REF!</v>
      </c>
      <c r="D633" s="172" t="e">
        <f>IF(ISTEXT(([0]!P_1_11.4.1 [0]!MT)),0,([0]!P_1_11.4.1 [0]!MT))</f>
        <v>#REF!</v>
      </c>
    </row>
    <row r="634" spans="1:4" x14ac:dyDescent="0.25">
      <c r="A634" s="170" t="s">
        <v>636</v>
      </c>
      <c r="B634" s="171" t="e">
        <f>IF(ISTEXT(([0]!P_1_11.4.2.1 [0]!Qté)),0,([0]!P_1_11.4.2.1 [0]!Qté))</f>
        <v>#REF!</v>
      </c>
      <c r="C634" s="172" t="e">
        <f>([0]!P_1_11.4.2.1 [0]!PU)</f>
        <v>#REF!</v>
      </c>
      <c r="D634" s="172" t="e">
        <f>IF(ISTEXT(([0]!P_1_11.4.2.1 [0]!MT)),0,([0]!P_1_11.4.2.1 [0]!MT))</f>
        <v>#REF!</v>
      </c>
    </row>
    <row r="635" spans="1:4" x14ac:dyDescent="0.25">
      <c r="A635" s="170" t="s">
        <v>637</v>
      </c>
      <c r="B635" s="171" t="e">
        <f>IF(ISTEXT(([0]!P_1_11.4.2.2 [0]!Qté)),0,([0]!P_1_11.4.2.2 [0]!Qté))</f>
        <v>#REF!</v>
      </c>
      <c r="C635" s="172" t="e">
        <f>([0]!P_1_11.4.2.2 [0]!PU)</f>
        <v>#REF!</v>
      </c>
      <c r="D635" s="172" t="e">
        <f>IF(ISTEXT(([0]!P_1_11.4.2.2 [0]!MT)),0,([0]!P_1_11.4.2.2 [0]!MT))</f>
        <v>#REF!</v>
      </c>
    </row>
    <row r="636" spans="1:4" x14ac:dyDescent="0.25">
      <c r="A636" s="170" t="s">
        <v>638</v>
      </c>
      <c r="B636" s="171" t="e">
        <f>IF(ISTEXT(([0]!P_1_11.4.2.3 [0]!Qté)),0,([0]!P_1_11.4.2.3 [0]!Qté))</f>
        <v>#REF!</v>
      </c>
      <c r="C636" s="172" t="e">
        <f>([0]!P_1_11.4.2.3 [0]!PU)</f>
        <v>#REF!</v>
      </c>
      <c r="D636" s="172" t="e">
        <f>IF(ISTEXT(([0]!P_1_11.4.2.3 [0]!MT)),0,([0]!P_1_11.4.2.3 [0]!MT))</f>
        <v>#REF!</v>
      </c>
    </row>
    <row r="637" spans="1:4" x14ac:dyDescent="0.25">
      <c r="A637" s="170" t="s">
        <v>639</v>
      </c>
      <c r="B637" s="171" t="e">
        <f>IF(ISTEXT(([0]!P_1_11.4.2.4 [0]!Qté)),0,([0]!P_1_11.4.2.4 [0]!Qté))</f>
        <v>#REF!</v>
      </c>
      <c r="C637" s="172" t="e">
        <f>([0]!P_1_11.4.2.4 [0]!PU)</f>
        <v>#REF!</v>
      </c>
      <c r="D637" s="172" t="e">
        <f>IF(ISTEXT(([0]!P_1_11.4.2.4 [0]!MT)),0,([0]!P_1_11.4.2.4 [0]!MT))</f>
        <v>#REF!</v>
      </c>
    </row>
    <row r="638" spans="1:4" x14ac:dyDescent="0.25">
      <c r="A638" s="170" t="s">
        <v>640</v>
      </c>
      <c r="B638" s="171" t="e">
        <f>IF(ISTEXT(([0]!P_1_11.4.2.5 [0]!Qté)),0,([0]!P_1_11.4.2.5 [0]!Qté))</f>
        <v>#REF!</v>
      </c>
      <c r="C638" s="172" t="e">
        <f>([0]!P_1_11.4.2.5 [0]!PU)</f>
        <v>#REF!</v>
      </c>
      <c r="D638" s="172" t="e">
        <f>IF(ISTEXT(([0]!P_1_11.4.2.5 [0]!MT)),0,([0]!P_1_11.4.2.5 [0]!MT))</f>
        <v>#REF!</v>
      </c>
    </row>
    <row r="639" spans="1:4" x14ac:dyDescent="0.25">
      <c r="A639" s="170" t="s">
        <v>641</v>
      </c>
      <c r="B639" s="171" t="e">
        <f>IF(ISTEXT(([0]!P_1_11.4.3.1 [0]!Qté)),0,([0]!P_1_11.4.3.1 [0]!Qté))</f>
        <v>#REF!</v>
      </c>
      <c r="C639" s="172" t="e">
        <f>([0]!P_1_11.4.3.1 [0]!PU)</f>
        <v>#REF!</v>
      </c>
      <c r="D639" s="172" t="e">
        <f>IF(ISTEXT(([0]!P_1_11.4.3.1 [0]!MT)),0,([0]!P_1_11.4.3.1 [0]!MT))</f>
        <v>#REF!</v>
      </c>
    </row>
    <row r="640" spans="1:4" x14ac:dyDescent="0.25">
      <c r="A640" s="170" t="s">
        <v>642</v>
      </c>
      <c r="B640" s="171" t="e">
        <f>IF(ISTEXT(([0]!P_1_11.4.3.2 [0]!Qté)),0,([0]!P_1_11.4.3.2 [0]!Qté))</f>
        <v>#REF!</v>
      </c>
      <c r="C640" s="172" t="e">
        <f>([0]!P_1_11.4.3.2 [0]!PU)</f>
        <v>#REF!</v>
      </c>
      <c r="D640" s="172" t="e">
        <f>IF(ISTEXT(([0]!P_1_11.4.3.2 [0]!MT)),0,([0]!P_1_11.4.3.2 [0]!MT))</f>
        <v>#REF!</v>
      </c>
    </row>
    <row r="641" spans="1:4" x14ac:dyDescent="0.25">
      <c r="A641" s="170" t="s">
        <v>643</v>
      </c>
      <c r="B641" s="171" t="e">
        <f>IF(ISTEXT(([0]!P_1_11.4.3.3 [0]!Qté)),0,([0]!P_1_11.4.3.3 [0]!Qté))</f>
        <v>#REF!</v>
      </c>
      <c r="C641" s="172" t="e">
        <f>([0]!P_1_11.4.3.3 [0]!PU)</f>
        <v>#REF!</v>
      </c>
      <c r="D641" s="172" t="e">
        <f>IF(ISTEXT(([0]!P_1_11.4.3.3 [0]!MT)),0,([0]!P_1_11.4.3.3 [0]!MT))</f>
        <v>#REF!</v>
      </c>
    </row>
    <row r="642" spans="1:4" x14ac:dyDescent="0.25">
      <c r="A642" s="170" t="s">
        <v>644</v>
      </c>
      <c r="B642" s="171" t="e">
        <f>IF(ISTEXT(([0]!P_1_11.4.3.4 [0]!Qté)),0,([0]!P_1_11.4.3.4 [0]!Qté))</f>
        <v>#REF!</v>
      </c>
      <c r="C642" s="172" t="e">
        <f>([0]!P_1_11.4.3.4 [0]!PU)</f>
        <v>#REF!</v>
      </c>
      <c r="D642" s="172" t="e">
        <f>IF(ISTEXT(([0]!P_1_11.4.3.4 [0]!MT)),0,([0]!P_1_11.4.3.4 [0]!MT))</f>
        <v>#REF!</v>
      </c>
    </row>
    <row r="643" spans="1:4" x14ac:dyDescent="0.25">
      <c r="A643" s="170" t="s">
        <v>645</v>
      </c>
      <c r="B643" s="171" t="e">
        <f>IF(ISTEXT(([0]!P_1_11.4.3.5 [0]!Qté)),0,([0]!P_1_11.4.3.5 [0]!Qté))</f>
        <v>#REF!</v>
      </c>
      <c r="C643" s="172" t="e">
        <f>([0]!P_1_11.4.3.5 [0]!PU)</f>
        <v>#REF!</v>
      </c>
      <c r="D643" s="172" t="e">
        <f>IF(ISTEXT(([0]!P_1_11.4.3.5 [0]!MT)),0,([0]!P_1_11.4.3.5 [0]!MT))</f>
        <v>#REF!</v>
      </c>
    </row>
    <row r="644" spans="1:4" x14ac:dyDescent="0.25">
      <c r="A644" s="170" t="s">
        <v>646</v>
      </c>
      <c r="B644" s="171" t="e">
        <f>IF(ISTEXT(([0]!P_1_11.4.4.1 [0]!Qté)),0,([0]!P_1_11.4.4.1 [0]!Qté))</f>
        <v>#REF!</v>
      </c>
      <c r="C644" s="172" t="e">
        <f>([0]!P_1_11.4.4.1 [0]!PU)</f>
        <v>#REF!</v>
      </c>
      <c r="D644" s="172" t="e">
        <f>IF(ISTEXT(([0]!P_1_11.4.4.1 [0]!MT)),0,([0]!P_1_11.4.4.1 [0]!MT))</f>
        <v>#REF!</v>
      </c>
    </row>
    <row r="645" spans="1:4" x14ac:dyDescent="0.25">
      <c r="A645" s="170" t="s">
        <v>647</v>
      </c>
      <c r="B645" s="171" t="e">
        <f>IF(ISTEXT(([0]!P_1_11.4.4.2 [0]!Qté)),0,([0]!P_1_11.4.4.2 [0]!Qté))</f>
        <v>#REF!</v>
      </c>
      <c r="C645" s="172" t="e">
        <f>([0]!P_1_11.4.4.2 [0]!PU)</f>
        <v>#REF!</v>
      </c>
      <c r="D645" s="172" t="e">
        <f>IF(ISTEXT(([0]!P_1_11.4.4.2 [0]!MT)),0,([0]!P_1_11.4.4.2 [0]!MT))</f>
        <v>#REF!</v>
      </c>
    </row>
    <row r="646" spans="1:4" x14ac:dyDescent="0.25">
      <c r="A646" s="170" t="s">
        <v>648</v>
      </c>
      <c r="B646" s="171" t="e">
        <f>IF(ISTEXT(([0]!P_1_11.4.4.3 [0]!Qté)),0,([0]!P_1_11.4.4.3 [0]!Qté))</f>
        <v>#REF!</v>
      </c>
      <c r="C646" s="172" t="e">
        <f>([0]!P_1_11.4.4.3 [0]!PU)</f>
        <v>#REF!</v>
      </c>
      <c r="D646" s="172" t="e">
        <f>IF(ISTEXT(([0]!P_1_11.4.4.3 [0]!MT)),0,([0]!P_1_11.4.4.3 [0]!MT))</f>
        <v>#REF!</v>
      </c>
    </row>
    <row r="647" spans="1:4" x14ac:dyDescent="0.25">
      <c r="A647" s="170" t="s">
        <v>649</v>
      </c>
      <c r="B647" s="171" t="e">
        <f>IF(ISTEXT(([0]!P_1_11.4.4.4 [0]!Qté)),0,([0]!P_1_11.4.4.4 [0]!Qté))</f>
        <v>#REF!</v>
      </c>
      <c r="C647" s="172" t="e">
        <f>([0]!P_1_11.4.4.4 [0]!PU)</f>
        <v>#REF!</v>
      </c>
      <c r="D647" s="172" t="e">
        <f>IF(ISTEXT(([0]!P_1_11.4.4.4 [0]!MT)),0,([0]!P_1_11.4.4.4 [0]!MT))</f>
        <v>#REF!</v>
      </c>
    </row>
    <row r="648" spans="1:4" x14ac:dyDescent="0.25">
      <c r="A648" s="170" t="s">
        <v>650</v>
      </c>
      <c r="B648" s="171" t="e">
        <f>IF(ISTEXT(([0]!P_1_11.4.4.5 [0]!Qté)),0,([0]!P_1_11.4.4.5 [0]!Qté))</f>
        <v>#REF!</v>
      </c>
      <c r="C648" s="172" t="e">
        <f>([0]!P_1_11.4.4.5 [0]!PU)</f>
        <v>#REF!</v>
      </c>
      <c r="D648" s="172" t="e">
        <f>IF(ISTEXT(([0]!P_1_11.4.4.5 [0]!MT)),0,([0]!P_1_11.4.4.5 [0]!MT))</f>
        <v>#REF!</v>
      </c>
    </row>
    <row r="649" spans="1:4" x14ac:dyDescent="0.25">
      <c r="A649" s="170" t="s">
        <v>651</v>
      </c>
      <c r="B649" s="171" t="e">
        <f>IF(ISTEXT(([0]!P_1_11.5.1 [0]!Qté)),0,([0]!P_1_11.5.1 [0]!Qté))</f>
        <v>#REF!</v>
      </c>
      <c r="C649" s="172" t="e">
        <f>([0]!P_1_11.5.1 [0]!PU)</f>
        <v>#REF!</v>
      </c>
      <c r="D649" s="172" t="e">
        <f>IF(ISTEXT(([0]!P_1_11.5.1 [0]!MT)),0,([0]!P_1_11.5.1 [0]!MT))</f>
        <v>#REF!</v>
      </c>
    </row>
    <row r="650" spans="1:4" x14ac:dyDescent="0.25">
      <c r="A650" s="170" t="s">
        <v>652</v>
      </c>
      <c r="B650" s="171" t="e">
        <f>IF(ISTEXT(([0]!P_1_11.5.2 [0]!Qté)),0,([0]!P_1_11.5.2 [0]!Qté))</f>
        <v>#REF!</v>
      </c>
      <c r="C650" s="172" t="e">
        <f>([0]!P_1_11.5.2 [0]!PU)</f>
        <v>#REF!</v>
      </c>
      <c r="D650" s="172" t="e">
        <f>IF(ISTEXT(([0]!P_1_11.5.2 [0]!MT)),0,([0]!P_1_11.5.2 [0]!MT))</f>
        <v>#REF!</v>
      </c>
    </row>
    <row r="651" spans="1:4" x14ac:dyDescent="0.25">
      <c r="A651" s="170" t="s">
        <v>653</v>
      </c>
      <c r="B651" s="171" t="e">
        <f>IF(ISTEXT(([0]!P_1_11.5.3 [0]!Qté)),0,([0]!P_1_11.5.3 [0]!Qté))</f>
        <v>#REF!</v>
      </c>
      <c r="C651" s="172" t="e">
        <f>([0]!P_1_11.5.3 [0]!PU)</f>
        <v>#REF!</v>
      </c>
      <c r="D651" s="172" t="e">
        <f>IF(ISTEXT(([0]!P_1_11.5.3 [0]!MT)),0,([0]!P_1_11.5.3 [0]!MT))</f>
        <v>#REF!</v>
      </c>
    </row>
    <row r="652" spans="1:4" x14ac:dyDescent="0.25">
      <c r="A652" s="170" t="s">
        <v>654</v>
      </c>
      <c r="B652" s="171" t="e">
        <f>IF(ISTEXT(([0]!P_1_11.5.4 [0]!Qté)),0,([0]!P_1_11.5.4 [0]!Qté))</f>
        <v>#REF!</v>
      </c>
      <c r="C652" s="172" t="e">
        <f>([0]!P_1_11.5.4 [0]!PU)</f>
        <v>#REF!</v>
      </c>
      <c r="D652" s="172" t="e">
        <f>IF(ISTEXT(([0]!P_1_11.5.4 [0]!MT)),0,([0]!P_1_11.5.4 [0]!MT))</f>
        <v>#REF!</v>
      </c>
    </row>
    <row r="653" spans="1:4" x14ac:dyDescent="0.25">
      <c r="A653" s="170" t="s">
        <v>655</v>
      </c>
      <c r="B653" s="171" t="e">
        <f>IF(ISTEXT(([0]!P_1_11.5.5 [0]!Qté)),0,([0]!P_1_11.5.5 [0]!Qté))</f>
        <v>#REF!</v>
      </c>
      <c r="C653" s="172" t="e">
        <f>([0]!P_1_11.5.5 [0]!PU)</f>
        <v>#REF!</v>
      </c>
      <c r="D653" s="172" t="e">
        <f>IF(ISTEXT(([0]!P_1_11.5.5 [0]!MT)),0,([0]!P_1_11.5.5 [0]!MT))</f>
        <v>#REF!</v>
      </c>
    </row>
    <row r="654" spans="1:4" x14ac:dyDescent="0.25">
      <c r="A654" s="170" t="s">
        <v>656</v>
      </c>
      <c r="B654" s="171" t="e">
        <f>IF(ISTEXT(([0]!P_1_11.5.6 [0]!Qté)),0,([0]!P_1_11.5.6 [0]!Qté))</f>
        <v>#REF!</v>
      </c>
      <c r="C654" s="172" t="e">
        <f>([0]!P_1_11.5.6 [0]!PU)</f>
        <v>#REF!</v>
      </c>
      <c r="D654" s="172" t="e">
        <f>IF(ISTEXT(([0]!P_1_11.5.6 [0]!MT)),0,([0]!P_1_11.5.6 [0]!MT))</f>
        <v>#REF!</v>
      </c>
    </row>
    <row r="655" spans="1:4" x14ac:dyDescent="0.25">
      <c r="A655" s="170" t="s">
        <v>657</v>
      </c>
      <c r="B655" s="171" t="e">
        <f>IF(ISTEXT(([0]!P_1_11.5.7 [0]!Qté)),0,([0]!P_1_11.5.7 [0]!Qté))</f>
        <v>#REF!</v>
      </c>
      <c r="C655" s="172" t="e">
        <f>([0]!P_1_11.5.7 [0]!PU)</f>
        <v>#REF!</v>
      </c>
      <c r="D655" s="172" t="e">
        <f>IF(ISTEXT(([0]!P_1_11.5.7 [0]!MT)),0,([0]!P_1_11.5.7 [0]!MT))</f>
        <v>#REF!</v>
      </c>
    </row>
    <row r="656" spans="1:4" x14ac:dyDescent="0.25">
      <c r="A656" s="170" t="s">
        <v>658</v>
      </c>
      <c r="B656" s="171" t="e">
        <f>IF(ISTEXT(([0]!P_1_11.6.1.1 [0]!Qté)),0,([0]!P_1_11.6.1.1 [0]!Qté))</f>
        <v>#REF!</v>
      </c>
      <c r="C656" s="172" t="e">
        <f>([0]!P_1_11.6.1.1 [0]!PU)</f>
        <v>#REF!</v>
      </c>
      <c r="D656" s="172" t="e">
        <f>IF(ISTEXT(([0]!P_1_11.6.1.1 [0]!MT)),0,([0]!P_1_11.6.1.1 [0]!MT))</f>
        <v>#REF!</v>
      </c>
    </row>
    <row r="657" spans="1:4" x14ac:dyDescent="0.25">
      <c r="A657" s="170" t="s">
        <v>659</v>
      </c>
      <c r="B657" s="171" t="e">
        <f>IF(ISTEXT(([0]!P_1_11.6.1.2 [0]!Qté)),0,([0]!P_1_11.6.1.2 [0]!Qté))</f>
        <v>#REF!</v>
      </c>
      <c r="C657" s="172" t="e">
        <f>([0]!P_1_11.6.1.2 [0]!PU)</f>
        <v>#REF!</v>
      </c>
      <c r="D657" s="172" t="e">
        <f>IF(ISTEXT(([0]!P_1_11.6.1.2 [0]!MT)),0,([0]!P_1_11.6.1.2 [0]!MT))</f>
        <v>#REF!</v>
      </c>
    </row>
    <row r="658" spans="1:4" x14ac:dyDescent="0.25">
      <c r="A658" s="170" t="s">
        <v>660</v>
      </c>
      <c r="B658" s="171" t="e">
        <f>IF(ISTEXT(([0]!P_1_11.6.1.3 [0]!Qté)),0,([0]!P_1_11.6.1.3 [0]!Qté))</f>
        <v>#REF!</v>
      </c>
      <c r="C658" s="172" t="e">
        <f>([0]!P_1_11.6.1.3 [0]!PU)</f>
        <v>#REF!</v>
      </c>
      <c r="D658" s="172" t="e">
        <f>IF(ISTEXT(([0]!P_1_11.6.1.3 [0]!MT)),0,([0]!P_1_11.6.1.3 [0]!MT))</f>
        <v>#REF!</v>
      </c>
    </row>
    <row r="659" spans="1:4" x14ac:dyDescent="0.25">
      <c r="A659" s="170" t="s">
        <v>661</v>
      </c>
      <c r="B659" s="171" t="e">
        <f>IF(ISTEXT(([0]!P_1_11.6.1.4 [0]!Qté)),0,([0]!P_1_11.6.1.4 [0]!Qté))</f>
        <v>#REF!</v>
      </c>
      <c r="C659" s="172" t="e">
        <f>([0]!P_1_11.6.1.4 [0]!PU)</f>
        <v>#REF!</v>
      </c>
      <c r="D659" s="172" t="e">
        <f>IF(ISTEXT(([0]!P_1_11.6.1.4 [0]!MT)),0,([0]!P_1_11.6.1.4 [0]!MT))</f>
        <v>#REF!</v>
      </c>
    </row>
    <row r="660" spans="1:4" x14ac:dyDescent="0.25">
      <c r="A660" s="170" t="s">
        <v>662</v>
      </c>
      <c r="B660" s="171" t="e">
        <f>IF(ISTEXT(([0]!P_1_11.6.1.5 [0]!Qté)),0,([0]!P_1_11.6.1.5 [0]!Qté))</f>
        <v>#REF!</v>
      </c>
      <c r="C660" s="172" t="e">
        <f>([0]!P_1_11.6.1.5 [0]!PU)</f>
        <v>#REF!</v>
      </c>
      <c r="D660" s="172" t="e">
        <f>IF(ISTEXT(([0]!P_1_11.6.1.5 [0]!MT)),0,([0]!P_1_11.6.1.5 [0]!MT))</f>
        <v>#REF!</v>
      </c>
    </row>
    <row r="661" spans="1:4" x14ac:dyDescent="0.25">
      <c r="A661" s="170" t="s">
        <v>663</v>
      </c>
      <c r="B661" s="171" t="e">
        <f>IF(ISTEXT(([0]!P_1_11.6.1.6 [0]!Qté)),0,([0]!P_1_11.6.1.6 [0]!Qté))</f>
        <v>#REF!</v>
      </c>
      <c r="C661" s="172" t="e">
        <f>([0]!P_1_11.6.1.6 [0]!PU)</f>
        <v>#REF!</v>
      </c>
      <c r="D661" s="172" t="e">
        <f>IF(ISTEXT(([0]!P_1_11.6.1.6 [0]!MT)),0,([0]!P_1_11.6.1.6 [0]!MT))</f>
        <v>#REF!</v>
      </c>
    </row>
    <row r="662" spans="1:4" x14ac:dyDescent="0.25">
      <c r="A662" s="170" t="s">
        <v>664</v>
      </c>
      <c r="B662" s="171" t="e">
        <f>IF(ISTEXT(([0]!P_1_11.6.1.7 [0]!Qté)),0,([0]!P_1_11.6.1.7 [0]!Qté))</f>
        <v>#REF!</v>
      </c>
      <c r="C662" s="172" t="e">
        <f>([0]!P_1_11.6.1.7 [0]!PU)</f>
        <v>#REF!</v>
      </c>
      <c r="D662" s="172" t="e">
        <f>IF(ISTEXT(([0]!P_1_11.6.1.7 [0]!MT)),0,([0]!P_1_11.6.1.7 [0]!MT))</f>
        <v>#REF!</v>
      </c>
    </row>
    <row r="663" spans="1:4" x14ac:dyDescent="0.25">
      <c r="A663" s="170" t="s">
        <v>665</v>
      </c>
      <c r="B663" s="171" t="e">
        <f>IF(ISTEXT(([0]!P_1_11.6.1.8 [0]!Qté)),0,([0]!P_1_11.6.1.8 [0]!Qté))</f>
        <v>#REF!</v>
      </c>
      <c r="C663" s="172" t="e">
        <f>([0]!P_1_11.6.1.8 [0]!PU)</f>
        <v>#REF!</v>
      </c>
      <c r="D663" s="172" t="e">
        <f>IF(ISTEXT(([0]!P_1_11.6.1.8 [0]!MT)),0,([0]!P_1_11.6.1.8 [0]!MT))</f>
        <v>#REF!</v>
      </c>
    </row>
    <row r="664" spans="1:4" x14ac:dyDescent="0.25">
      <c r="A664" s="170" t="s">
        <v>666</v>
      </c>
      <c r="B664" s="171" t="e">
        <f>IF(ISTEXT(([0]!P_1_11.6.1.9 [0]!Qté)),0,([0]!P_1_11.6.1.9 [0]!Qté))</f>
        <v>#REF!</v>
      </c>
      <c r="C664" s="172" t="e">
        <f>([0]!P_1_11.6.1.9 [0]!PU)</f>
        <v>#REF!</v>
      </c>
      <c r="D664" s="172" t="e">
        <f>IF(ISTEXT(([0]!P_1_11.6.1.9 [0]!MT)),0,([0]!P_1_11.6.1.9 [0]!MT))</f>
        <v>#REF!</v>
      </c>
    </row>
    <row r="665" spans="1:4" x14ac:dyDescent="0.25">
      <c r="A665" s="170" t="s">
        <v>667</v>
      </c>
      <c r="B665" s="171" t="e">
        <f>IF(ISTEXT(([0]!P_1_11.6.1.10 [0]!Qté)),0,([0]!P_1_11.6.1.10 [0]!Qté))</f>
        <v>#REF!</v>
      </c>
      <c r="C665" s="172" t="e">
        <f>([0]!P_1_11.6.1.10 [0]!PU)</f>
        <v>#REF!</v>
      </c>
      <c r="D665" s="172" t="e">
        <f>IF(ISTEXT(([0]!P_1_11.6.1.10 [0]!MT)),0,([0]!P_1_11.6.1.10 [0]!MT))</f>
        <v>#REF!</v>
      </c>
    </row>
    <row r="666" spans="1:4" x14ac:dyDescent="0.25">
      <c r="A666" s="170" t="s">
        <v>668</v>
      </c>
      <c r="B666" s="171" t="e">
        <f>IF(ISTEXT(([0]!P_1_11.6.1.11 [0]!Qté)),0,([0]!P_1_11.6.1.11 [0]!Qté))</f>
        <v>#REF!</v>
      </c>
      <c r="C666" s="172" t="e">
        <f>([0]!P_1_11.6.1.11 [0]!PU)</f>
        <v>#REF!</v>
      </c>
      <c r="D666" s="172" t="e">
        <f>IF(ISTEXT(([0]!P_1_11.6.1.11 [0]!MT)),0,([0]!P_1_11.6.1.11 [0]!MT))</f>
        <v>#REF!</v>
      </c>
    </row>
    <row r="667" spans="1:4" x14ac:dyDescent="0.25">
      <c r="A667" s="170" t="s">
        <v>669</v>
      </c>
      <c r="B667" s="171" t="e">
        <f>IF(ISTEXT(([0]!P_1_11.6.1.12 [0]!Qté)),0,([0]!P_1_11.6.1.12 [0]!Qté))</f>
        <v>#REF!</v>
      </c>
      <c r="C667" s="172" t="e">
        <f>([0]!P_1_11.6.1.12 [0]!PU)</f>
        <v>#REF!</v>
      </c>
      <c r="D667" s="172" t="e">
        <f>IF(ISTEXT(([0]!P_1_11.6.1.12 [0]!MT)),0,([0]!P_1_11.6.1.12 [0]!MT))</f>
        <v>#REF!</v>
      </c>
    </row>
    <row r="668" spans="1:4" x14ac:dyDescent="0.25">
      <c r="A668" s="170" t="s">
        <v>670</v>
      </c>
      <c r="B668" s="171" t="e">
        <f>IF(ISTEXT(([0]!P_1_11.6.2.1 [0]!Qté)),0,([0]!P_1_11.6.2.1 [0]!Qté))</f>
        <v>#REF!</v>
      </c>
      <c r="C668" s="172" t="e">
        <f>([0]!P_1_11.6.2.1 [0]!PU)</f>
        <v>#REF!</v>
      </c>
      <c r="D668" s="172" t="e">
        <f>IF(ISTEXT(([0]!P_1_11.6.2.1 [0]!MT)),0,([0]!P_1_11.6.2.1 [0]!MT))</f>
        <v>#REF!</v>
      </c>
    </row>
    <row r="669" spans="1:4" x14ac:dyDescent="0.25">
      <c r="A669" s="170" t="s">
        <v>671</v>
      </c>
      <c r="B669" s="171" t="e">
        <f>IF(ISTEXT(([0]!P_1_11.6.2.2 [0]!Qté)),0,([0]!P_1_11.6.2.2 [0]!Qté))</f>
        <v>#REF!</v>
      </c>
      <c r="C669" s="172" t="e">
        <f>([0]!P_1_11.6.2.2 [0]!PU)</f>
        <v>#REF!</v>
      </c>
      <c r="D669" s="172" t="e">
        <f>IF(ISTEXT(([0]!P_1_11.6.2.2 [0]!MT)),0,([0]!P_1_11.6.2.2 [0]!MT))</f>
        <v>#REF!</v>
      </c>
    </row>
    <row r="670" spans="1:4" x14ac:dyDescent="0.25">
      <c r="A670" s="170" t="s">
        <v>672</v>
      </c>
      <c r="B670" s="171" t="e">
        <f>IF(ISTEXT(([0]!P_1_11.6.2.3 [0]!Qté)),0,([0]!P_1_11.6.2.3 [0]!Qté))</f>
        <v>#REF!</v>
      </c>
      <c r="C670" s="172" t="e">
        <f>([0]!P_1_11.6.2.3 [0]!PU)</f>
        <v>#REF!</v>
      </c>
      <c r="D670" s="172" t="e">
        <f>IF(ISTEXT(([0]!P_1_11.6.2.3 [0]!MT)),0,([0]!P_1_11.6.2.3 [0]!MT))</f>
        <v>#REF!</v>
      </c>
    </row>
    <row r="671" spans="1:4" x14ac:dyDescent="0.25">
      <c r="A671" s="170" t="s">
        <v>673</v>
      </c>
      <c r="B671" s="171" t="e">
        <f>IF(ISTEXT(([0]!P_1_11.6.2.4 [0]!Qté)),0,([0]!P_1_11.6.2.4 [0]!Qté))</f>
        <v>#REF!</v>
      </c>
      <c r="C671" s="172" t="e">
        <f>([0]!P_1_11.6.2.4 [0]!PU)</f>
        <v>#REF!</v>
      </c>
      <c r="D671" s="172" t="e">
        <f>IF(ISTEXT(([0]!P_1_11.6.2.4 [0]!MT)),0,([0]!P_1_11.6.2.4 [0]!MT))</f>
        <v>#REF!</v>
      </c>
    </row>
    <row r="672" spans="1:4" x14ac:dyDescent="0.25">
      <c r="A672" s="170" t="s">
        <v>674</v>
      </c>
      <c r="B672" s="171" t="e">
        <f>IF(ISTEXT(([0]!P_1_11.6.2.5 [0]!Qté)),0,([0]!P_1_11.6.2.5 [0]!Qté))</f>
        <v>#REF!</v>
      </c>
      <c r="C672" s="172" t="e">
        <f>([0]!P_1_11.6.2.5 [0]!PU)</f>
        <v>#REF!</v>
      </c>
      <c r="D672" s="172" t="e">
        <f>IF(ISTEXT(([0]!P_1_11.6.2.5 [0]!MT)),0,([0]!P_1_11.6.2.5 [0]!MT))</f>
        <v>#REF!</v>
      </c>
    </row>
    <row r="673" spans="1:4" x14ac:dyDescent="0.25">
      <c r="A673" s="170" t="s">
        <v>675</v>
      </c>
      <c r="B673" s="171" t="e">
        <f>IF(ISTEXT(([0]!P_1_11.6.2.6 [0]!Qté)),0,([0]!P_1_11.6.2.6 [0]!Qté))</f>
        <v>#REF!</v>
      </c>
      <c r="C673" s="172" t="e">
        <f>([0]!P_1_11.6.2.6 [0]!PU)</f>
        <v>#REF!</v>
      </c>
      <c r="D673" s="172" t="e">
        <f>IF(ISTEXT(([0]!P_1_11.6.2.6 [0]!MT)),0,([0]!P_1_11.6.2.6 [0]!MT))</f>
        <v>#REF!</v>
      </c>
    </row>
    <row r="674" spans="1:4" x14ac:dyDescent="0.25">
      <c r="A674" s="170" t="s">
        <v>676</v>
      </c>
      <c r="B674" s="171" t="e">
        <f>IF(ISTEXT(([0]!P_1_11.6.2.7 [0]!Qté)),0,([0]!P_1_11.6.2.7 [0]!Qté))</f>
        <v>#REF!</v>
      </c>
      <c r="C674" s="172" t="e">
        <f>([0]!P_1_11.6.2.7 [0]!PU)</f>
        <v>#REF!</v>
      </c>
      <c r="D674" s="172" t="e">
        <f>IF(ISTEXT(([0]!P_1_11.6.2.7 [0]!MT)),0,([0]!P_1_11.6.2.7 [0]!MT))</f>
        <v>#REF!</v>
      </c>
    </row>
    <row r="675" spans="1:4" x14ac:dyDescent="0.25">
      <c r="A675" s="170" t="s">
        <v>677</v>
      </c>
      <c r="B675" s="171" t="e">
        <f>IF(ISTEXT(([0]!P_1_11.6.2.8 [0]!Qté)),0,([0]!P_1_11.6.2.8 [0]!Qté))</f>
        <v>#REF!</v>
      </c>
      <c r="C675" s="172" t="e">
        <f>([0]!P_1_11.6.2.8 [0]!PU)</f>
        <v>#REF!</v>
      </c>
      <c r="D675" s="172" t="e">
        <f>IF(ISTEXT(([0]!P_1_11.6.2.8 [0]!MT)),0,([0]!P_1_11.6.2.8 [0]!MT))</f>
        <v>#REF!</v>
      </c>
    </row>
    <row r="676" spans="1:4" x14ac:dyDescent="0.25">
      <c r="A676" s="170" t="s">
        <v>678</v>
      </c>
      <c r="B676" s="171" t="e">
        <f>IF(ISTEXT(([0]!P_1_11.6.2.9 [0]!Qté)),0,([0]!P_1_11.6.2.9 [0]!Qté))</f>
        <v>#REF!</v>
      </c>
      <c r="C676" s="172" t="e">
        <f>([0]!P_1_11.6.2.9 [0]!PU)</f>
        <v>#REF!</v>
      </c>
      <c r="D676" s="172" t="e">
        <f>IF(ISTEXT(([0]!P_1_11.6.2.9 [0]!MT)),0,([0]!P_1_11.6.2.9 [0]!MT))</f>
        <v>#REF!</v>
      </c>
    </row>
    <row r="677" spans="1:4" x14ac:dyDescent="0.25">
      <c r="A677" s="170" t="s">
        <v>679</v>
      </c>
      <c r="B677" s="171" t="e">
        <f>IF(ISTEXT(([0]!P_1_11.6.2.10 [0]!Qté)),0,([0]!P_1_11.6.2.10 [0]!Qté))</f>
        <v>#REF!</v>
      </c>
      <c r="C677" s="172" t="e">
        <f>([0]!P_1_11.6.2.10 [0]!PU)</f>
        <v>#REF!</v>
      </c>
      <c r="D677" s="172" t="e">
        <f>IF(ISTEXT(([0]!P_1_11.6.2.10 [0]!MT)),0,([0]!P_1_11.6.2.10 [0]!MT))</f>
        <v>#REF!</v>
      </c>
    </row>
    <row r="678" spans="1:4" x14ac:dyDescent="0.25">
      <c r="A678" s="170" t="s">
        <v>680</v>
      </c>
      <c r="B678" s="171" t="e">
        <f>IF(ISTEXT(([0]!P_1_11.6.2.11 [0]!Qté)),0,([0]!P_1_11.6.2.11 [0]!Qté))</f>
        <v>#REF!</v>
      </c>
      <c r="C678" s="172" t="e">
        <f>([0]!P_1_11.6.2.11 [0]!PU)</f>
        <v>#REF!</v>
      </c>
      <c r="D678" s="172" t="e">
        <f>IF(ISTEXT(([0]!P_1_11.6.2.11 [0]!MT)),0,([0]!P_1_11.6.2.11 [0]!MT))</f>
        <v>#REF!</v>
      </c>
    </row>
    <row r="679" spans="1:4" x14ac:dyDescent="0.25">
      <c r="A679" s="170" t="s">
        <v>681</v>
      </c>
      <c r="B679" s="171" t="e">
        <f>IF(ISTEXT(([0]!P_1_11.6.2.12 [0]!Qté)),0,([0]!P_1_11.6.2.12 [0]!Qté))</f>
        <v>#REF!</v>
      </c>
      <c r="C679" s="172" t="e">
        <f>([0]!P_1_11.6.2.12 [0]!PU)</f>
        <v>#REF!</v>
      </c>
      <c r="D679" s="172" t="e">
        <f>IF(ISTEXT(([0]!P_1_11.6.2.12 [0]!MT)),0,([0]!P_1_11.6.2.12 [0]!MT))</f>
        <v>#REF!</v>
      </c>
    </row>
    <row r="680" spans="1:4" x14ac:dyDescent="0.25">
      <c r="A680" s="170" t="s">
        <v>682</v>
      </c>
      <c r="B680" s="171" t="e">
        <f>IF(ISTEXT(([0]!P_1_11.7.1 [0]!Qté)),0,([0]!P_1_11.7.1 [0]!Qté))</f>
        <v>#REF!</v>
      </c>
      <c r="C680" s="172" t="e">
        <f>([0]!P_1_11.7.1 [0]!PU)</f>
        <v>#REF!</v>
      </c>
      <c r="D680" s="172" t="e">
        <f>IF(ISTEXT(([0]!P_1_11.7.1 [0]!MT)),0,([0]!P_1_11.7.1 [0]!MT))</f>
        <v>#REF!</v>
      </c>
    </row>
    <row r="681" spans="1:4" x14ac:dyDescent="0.25">
      <c r="A681" s="170" t="s">
        <v>683</v>
      </c>
      <c r="B681" s="171" t="e">
        <f>IF(ISTEXT(([0]!P_1_11.7.2 [0]!Qté)),0,([0]!P_1_11.7.2 [0]!Qté))</f>
        <v>#REF!</v>
      </c>
      <c r="C681" s="172" t="e">
        <f>([0]!P_1_11.7.2 [0]!PU)</f>
        <v>#REF!</v>
      </c>
      <c r="D681" s="172" t="e">
        <f>IF(ISTEXT(([0]!P_1_11.7.2 [0]!MT)),0,([0]!P_1_11.7.2 [0]!MT))</f>
        <v>#REF!</v>
      </c>
    </row>
    <row r="682" spans="1:4" x14ac:dyDescent="0.25">
      <c r="A682" s="170" t="s">
        <v>684</v>
      </c>
      <c r="B682" s="171" t="e">
        <f>IF(ISTEXT(([0]!P_1_11.7.3 [0]!Qté)),0,([0]!P_1_11.7.3 [0]!Qté))</f>
        <v>#REF!</v>
      </c>
      <c r="C682" s="172" t="e">
        <f>([0]!P_1_11.7.3 [0]!PU)</f>
        <v>#REF!</v>
      </c>
      <c r="D682" s="172" t="e">
        <f>IF(ISTEXT(([0]!P_1_11.7.3 [0]!MT)),0,([0]!P_1_11.7.3 [0]!MT))</f>
        <v>#REF!</v>
      </c>
    </row>
    <row r="683" spans="1:4" x14ac:dyDescent="0.25">
      <c r="A683" s="170" t="s">
        <v>685</v>
      </c>
      <c r="B683" s="171" t="e">
        <f>IF(ISTEXT(([0]!P_1_11.8.1 [0]!Qté)),0,([0]!P_1_11.8.1 [0]!Qté))</f>
        <v>#REF!</v>
      </c>
      <c r="C683" s="172" t="e">
        <f>([0]!P_1_11.8.1 [0]!PU)</f>
        <v>#REF!</v>
      </c>
      <c r="D683" s="172" t="e">
        <f>IF(ISTEXT(([0]!P_1_11.8.1 [0]!MT)),0,([0]!P_1_11.8.1 [0]!MT))</f>
        <v>#REF!</v>
      </c>
    </row>
    <row r="684" spans="1:4" x14ac:dyDescent="0.25">
      <c r="A684" s="170" t="s">
        <v>686</v>
      </c>
      <c r="B684" s="171" t="e">
        <f>IF(ISTEXT(([0]!P_1_11.8.2 [0]!Qté)),0,([0]!P_1_11.8.2 [0]!Qté))</f>
        <v>#REF!</v>
      </c>
      <c r="C684" s="172" t="e">
        <f>([0]!P_1_11.8.2 [0]!PU)</f>
        <v>#REF!</v>
      </c>
      <c r="D684" s="172" t="e">
        <f>IF(ISTEXT(([0]!P_1_11.8.2 [0]!MT)),0,([0]!P_1_11.8.2 [0]!MT))</f>
        <v>#REF!</v>
      </c>
    </row>
    <row r="685" spans="1:4" x14ac:dyDescent="0.25">
      <c r="A685" s="170" t="s">
        <v>687</v>
      </c>
      <c r="B685" s="171" t="e">
        <f>IF(ISTEXT(([0]!P_1_11.8.3 [0]!Qté)),0,([0]!P_1_11.8.3 [0]!Qté))</f>
        <v>#REF!</v>
      </c>
      <c r="C685" s="172" t="e">
        <f>([0]!P_1_11.8.3 [0]!PU)</f>
        <v>#REF!</v>
      </c>
      <c r="D685" s="172" t="e">
        <f>IF(ISTEXT(([0]!P_1_11.8.3 [0]!MT)),0,([0]!P_1_11.8.3 [0]!MT))</f>
        <v>#REF!</v>
      </c>
    </row>
    <row r="686" spans="1:4" x14ac:dyDescent="0.25">
      <c r="A686" s="170" t="s">
        <v>688</v>
      </c>
      <c r="B686" s="171" t="e">
        <f>IF(ISTEXT(([0]!P_1_11.8.4 [0]!Qté)),0,([0]!P_1_11.8.4 [0]!Qté))</f>
        <v>#REF!</v>
      </c>
      <c r="C686" s="172" t="e">
        <f>([0]!P_1_11.8.4 [0]!PU)</f>
        <v>#REF!</v>
      </c>
      <c r="D686" s="172" t="e">
        <f>IF(ISTEXT(([0]!P_1_11.8.4 [0]!MT)),0,([0]!P_1_11.8.4 [0]!MT))</f>
        <v>#REF!</v>
      </c>
    </row>
    <row r="687" spans="1:4" x14ac:dyDescent="0.25">
      <c r="A687" s="170" t="s">
        <v>689</v>
      </c>
      <c r="B687" s="171" t="e">
        <f>IF(ISTEXT(([0]!P_1_11.8.5 [0]!Qté)),0,([0]!P_1_11.8.5 [0]!Qté))</f>
        <v>#REF!</v>
      </c>
      <c r="C687" s="172" t="e">
        <f>([0]!P_1_11.8.5 [0]!PU)</f>
        <v>#REF!</v>
      </c>
      <c r="D687" s="172" t="e">
        <f>IF(ISTEXT(([0]!P_1_11.8.5 [0]!MT)),0,([0]!P_1_11.8.5 [0]!MT))</f>
        <v>#REF!</v>
      </c>
    </row>
    <row r="688" spans="1:4" x14ac:dyDescent="0.25">
      <c r="A688" s="170" t="s">
        <v>690</v>
      </c>
      <c r="B688" s="171" t="e">
        <f>IF(ISTEXT(([0]!P_1_12.1.1 [0]!Qté)),0,([0]!P_1_12.1.1 [0]!Qté))</f>
        <v>#REF!</v>
      </c>
      <c r="C688" s="172" t="e">
        <f>([0]!P_1_12.1.1 [0]!PU)</f>
        <v>#REF!</v>
      </c>
      <c r="D688" s="172" t="e">
        <f>IF(ISTEXT(([0]!P_1_12.1.1 [0]!MT)),0,([0]!P_1_12.1.1 [0]!MT))</f>
        <v>#REF!</v>
      </c>
    </row>
    <row r="689" spans="1:4" x14ac:dyDescent="0.25">
      <c r="A689" s="170" t="s">
        <v>691</v>
      </c>
      <c r="B689" s="171" t="e">
        <f>IF(ISTEXT(([0]!P_1_12.1.2 [0]!Qté)),0,([0]!P_1_12.1.2 [0]!Qté))</f>
        <v>#REF!</v>
      </c>
      <c r="C689" s="172" t="e">
        <f>([0]!P_1_12.1.2 [0]!PU)</f>
        <v>#REF!</v>
      </c>
      <c r="D689" s="172" t="e">
        <f>IF(ISTEXT(([0]!P_1_12.1.2 [0]!MT)),0,([0]!P_1_12.1.2 [0]!MT))</f>
        <v>#REF!</v>
      </c>
    </row>
    <row r="690" spans="1:4" x14ac:dyDescent="0.25">
      <c r="A690" s="170" t="s">
        <v>692</v>
      </c>
      <c r="B690" s="171" t="e">
        <f>IF(ISTEXT(([0]!P_1_12.1.3 [0]!Qté)),0,([0]!P_1_12.1.3 [0]!Qté))</f>
        <v>#REF!</v>
      </c>
      <c r="C690" s="172" t="e">
        <f>([0]!P_1_12.1.3 [0]!PU)</f>
        <v>#REF!</v>
      </c>
      <c r="D690" s="172" t="e">
        <f>IF(ISTEXT(([0]!P_1_12.1.3 [0]!MT)),0,([0]!P_1_12.1.3 [0]!MT))</f>
        <v>#REF!</v>
      </c>
    </row>
    <row r="691" spans="1:4" x14ac:dyDescent="0.25">
      <c r="A691" s="170" t="s">
        <v>693</v>
      </c>
      <c r="B691" s="171" t="e">
        <f>IF(ISTEXT(([0]!P_1_12.1.4 [0]!Qté)),0,([0]!P_1_12.1.4 [0]!Qté))</f>
        <v>#REF!</v>
      </c>
      <c r="C691" s="172" t="e">
        <f>([0]!P_1_12.1.4 [0]!PU)</f>
        <v>#REF!</v>
      </c>
      <c r="D691" s="172" t="e">
        <f>IF(ISTEXT(([0]!P_1_12.1.4 [0]!MT)),0,([0]!P_1_12.1.4 [0]!MT))</f>
        <v>#REF!</v>
      </c>
    </row>
    <row r="692" spans="1:4" x14ac:dyDescent="0.25">
      <c r="A692" s="170" t="s">
        <v>694</v>
      </c>
      <c r="B692" s="171" t="e">
        <f>IF(ISTEXT(([0]!P_1_12.2.1.1 [0]!Qté)),0,([0]!P_1_12.2.1.1 [0]!Qté))</f>
        <v>#REF!</v>
      </c>
      <c r="C692" s="172" t="e">
        <f>([0]!P_1_12.2.1.1 [0]!PU)</f>
        <v>#REF!</v>
      </c>
      <c r="D692" s="172" t="e">
        <f>IF(ISTEXT(([0]!P_1_12.2.1.1 [0]!MT)),0,([0]!P_1_12.2.1.1 [0]!MT))</f>
        <v>#REF!</v>
      </c>
    </row>
    <row r="693" spans="1:4" x14ac:dyDescent="0.25">
      <c r="A693" s="170" t="s">
        <v>695</v>
      </c>
      <c r="B693" s="171" t="e">
        <f>IF(ISTEXT(([0]!P_1_12.2.1.2 [0]!Qté)),0,([0]!P_1_12.2.1.2 [0]!Qté))</f>
        <v>#REF!</v>
      </c>
      <c r="C693" s="172" t="e">
        <f>([0]!P_1_12.2.1.2 [0]!PU)</f>
        <v>#REF!</v>
      </c>
      <c r="D693" s="172" t="e">
        <f>IF(ISTEXT(([0]!P_1_12.2.1.2 [0]!MT)),0,([0]!P_1_12.2.1.2 [0]!MT))</f>
        <v>#REF!</v>
      </c>
    </row>
    <row r="694" spans="1:4" x14ac:dyDescent="0.25">
      <c r="A694" s="170" t="s">
        <v>696</v>
      </c>
      <c r="B694" s="171" t="e">
        <f>IF(ISTEXT(([0]!P_1_12.2.1.3 [0]!Qté)),0,([0]!P_1_12.2.1.3 [0]!Qté))</f>
        <v>#REF!</v>
      </c>
      <c r="C694" s="172" t="e">
        <f>([0]!P_1_12.2.1.3 [0]!PU)</f>
        <v>#REF!</v>
      </c>
      <c r="D694" s="172" t="e">
        <f>IF(ISTEXT(([0]!P_1_12.2.1.3 [0]!MT)),0,([0]!P_1_12.2.1.3 [0]!MT))</f>
        <v>#REF!</v>
      </c>
    </row>
    <row r="695" spans="1:4" x14ac:dyDescent="0.25">
      <c r="A695" s="170" t="s">
        <v>697</v>
      </c>
      <c r="B695" s="171" t="e">
        <f>IF(ISTEXT(([0]!P_1_12.2.1.4 [0]!Qté)),0,([0]!P_1_12.2.1.4 [0]!Qté))</f>
        <v>#REF!</v>
      </c>
      <c r="C695" s="172" t="e">
        <f>([0]!P_1_12.2.1.4 [0]!PU)</f>
        <v>#REF!</v>
      </c>
      <c r="D695" s="172" t="e">
        <f>IF(ISTEXT(([0]!P_1_12.2.1.4 [0]!MT)),0,([0]!P_1_12.2.1.4 [0]!MT))</f>
        <v>#REF!</v>
      </c>
    </row>
    <row r="696" spans="1:4" x14ac:dyDescent="0.25">
      <c r="A696" s="170" t="s">
        <v>698</v>
      </c>
      <c r="B696" s="171" t="e">
        <f>IF(ISTEXT(([0]!P_1_12.2.1.5 [0]!Qté)),0,([0]!P_1_12.2.1.5 [0]!Qté))</f>
        <v>#REF!</v>
      </c>
      <c r="C696" s="172" t="e">
        <f>([0]!P_1_12.2.1.5 [0]!PU)</f>
        <v>#REF!</v>
      </c>
      <c r="D696" s="172" t="e">
        <f>IF(ISTEXT(([0]!P_1_12.2.1.5 [0]!MT)),0,([0]!P_1_12.2.1.5 [0]!MT))</f>
        <v>#REF!</v>
      </c>
    </row>
    <row r="697" spans="1:4" x14ac:dyDescent="0.25">
      <c r="A697" s="170" t="s">
        <v>699</v>
      </c>
      <c r="B697" s="171" t="e">
        <f>IF(ISTEXT(([0]!P_1_12.2.1.6 [0]!Qté)),0,([0]!P_1_12.2.1.6 [0]!Qté))</f>
        <v>#REF!</v>
      </c>
      <c r="C697" s="172" t="e">
        <f>([0]!P_1_12.2.1.6 [0]!PU)</f>
        <v>#REF!</v>
      </c>
      <c r="D697" s="172" t="e">
        <f>IF(ISTEXT(([0]!P_1_12.2.1.6 [0]!MT)),0,([0]!P_1_12.2.1.6 [0]!MT))</f>
        <v>#REF!</v>
      </c>
    </row>
    <row r="698" spans="1:4" x14ac:dyDescent="0.25">
      <c r="A698" s="170" t="s">
        <v>700</v>
      </c>
      <c r="B698" s="171" t="e">
        <f>IF(ISTEXT(([0]!P_1_12.2.1.7 [0]!Qté)),0,([0]!P_1_12.2.1.7 [0]!Qté))</f>
        <v>#REF!</v>
      </c>
      <c r="C698" s="172" t="e">
        <f>([0]!P_1_12.2.1.7 [0]!PU)</f>
        <v>#REF!</v>
      </c>
      <c r="D698" s="172" t="e">
        <f>IF(ISTEXT(([0]!P_1_12.2.1.7 [0]!MT)),0,([0]!P_1_12.2.1.7 [0]!MT))</f>
        <v>#REF!</v>
      </c>
    </row>
    <row r="699" spans="1:4" x14ac:dyDescent="0.25">
      <c r="A699" s="170" t="s">
        <v>701</v>
      </c>
      <c r="B699" s="171" t="e">
        <f>IF(ISTEXT(([0]!P_1_12.2.1.8 [0]!Qté)),0,([0]!P_1_12.2.1.8 [0]!Qté))</f>
        <v>#REF!</v>
      </c>
      <c r="C699" s="172" t="e">
        <f>([0]!P_1_12.2.1.8 [0]!PU)</f>
        <v>#REF!</v>
      </c>
      <c r="D699" s="172" t="e">
        <f>IF(ISTEXT(([0]!P_1_12.2.1.8 [0]!MT)),0,([0]!P_1_12.2.1.8 [0]!MT))</f>
        <v>#REF!</v>
      </c>
    </row>
    <row r="700" spans="1:4" x14ac:dyDescent="0.25">
      <c r="A700" s="170" t="s">
        <v>702</v>
      </c>
      <c r="B700" s="171" t="e">
        <f>IF(ISTEXT(([0]!P_1_12.2.1.9 [0]!Qté)),0,([0]!P_1_12.2.1.9 [0]!Qté))</f>
        <v>#REF!</v>
      </c>
      <c r="C700" s="172" t="e">
        <f>([0]!P_1_12.2.1.9 [0]!PU)</f>
        <v>#REF!</v>
      </c>
      <c r="D700" s="172" t="e">
        <f>IF(ISTEXT(([0]!P_1_12.2.1.9 [0]!MT)),0,([0]!P_1_12.2.1.9 [0]!MT))</f>
        <v>#REF!</v>
      </c>
    </row>
    <row r="701" spans="1:4" x14ac:dyDescent="0.25">
      <c r="A701" s="170" t="s">
        <v>703</v>
      </c>
      <c r="B701" s="171" t="e">
        <f>IF(ISTEXT(([0]!P_1_12.2.2.1 [0]!Qté)),0,([0]!P_1_12.2.2.1 [0]!Qté))</f>
        <v>#REF!</v>
      </c>
      <c r="C701" s="172" t="e">
        <f>([0]!P_1_12.2.2.1 [0]!PU)</f>
        <v>#REF!</v>
      </c>
      <c r="D701" s="172" t="e">
        <f>IF(ISTEXT(([0]!P_1_12.2.2.1 [0]!MT)),0,([0]!P_1_12.2.2.1 [0]!MT))</f>
        <v>#REF!</v>
      </c>
    </row>
    <row r="702" spans="1:4" x14ac:dyDescent="0.25">
      <c r="A702" s="170" t="s">
        <v>704</v>
      </c>
      <c r="B702" s="171" t="e">
        <f>IF(ISTEXT(([0]!P_1_12.2.2.2 [0]!Qté)),0,([0]!P_1_12.2.2.2 [0]!Qté))</f>
        <v>#REF!</v>
      </c>
      <c r="C702" s="172" t="e">
        <f>([0]!P_1_12.2.2.2 [0]!PU)</f>
        <v>#REF!</v>
      </c>
      <c r="D702" s="172" t="e">
        <f>IF(ISTEXT(([0]!P_1_12.2.2.2 [0]!MT)),0,([0]!P_1_12.2.2.2 [0]!MT))</f>
        <v>#REF!</v>
      </c>
    </row>
    <row r="703" spans="1:4" x14ac:dyDescent="0.25">
      <c r="A703" s="170" t="s">
        <v>705</v>
      </c>
      <c r="B703" s="171" t="e">
        <f>IF(ISTEXT(([0]!P_1_12.2.2.3 [0]!Qté)),0,([0]!P_1_12.2.2.3 [0]!Qté))</f>
        <v>#REF!</v>
      </c>
      <c r="C703" s="172" t="e">
        <f>([0]!P_1_12.2.2.3 [0]!PU)</f>
        <v>#REF!</v>
      </c>
      <c r="D703" s="172" t="e">
        <f>IF(ISTEXT(([0]!P_1_12.2.2.3 [0]!MT)),0,([0]!P_1_12.2.2.3 [0]!MT))</f>
        <v>#REF!</v>
      </c>
    </row>
    <row r="704" spans="1:4" x14ac:dyDescent="0.25">
      <c r="A704" s="170" t="s">
        <v>706</v>
      </c>
      <c r="B704" s="171" t="e">
        <f>IF(ISTEXT(([0]!P_1_12.2.2.4 [0]!Qté)),0,([0]!P_1_12.2.2.4 [0]!Qté))</f>
        <v>#REF!</v>
      </c>
      <c r="C704" s="172" t="e">
        <f>([0]!P_1_12.2.2.4 [0]!PU)</f>
        <v>#REF!</v>
      </c>
      <c r="D704" s="172" t="e">
        <f>IF(ISTEXT(([0]!P_1_12.2.2.4 [0]!MT)),0,([0]!P_1_12.2.2.4 [0]!MT))</f>
        <v>#REF!</v>
      </c>
    </row>
    <row r="705" spans="1:4" x14ac:dyDescent="0.25">
      <c r="A705" s="170" t="s">
        <v>707</v>
      </c>
      <c r="B705" s="171" t="e">
        <f>IF(ISTEXT(([0]!P_1_12.2.2.5 [0]!Qté)),0,([0]!P_1_12.2.2.5 [0]!Qté))</f>
        <v>#REF!</v>
      </c>
      <c r="C705" s="172" t="e">
        <f>([0]!P_1_12.2.2.5 [0]!PU)</f>
        <v>#REF!</v>
      </c>
      <c r="D705" s="172" t="e">
        <f>IF(ISTEXT(([0]!P_1_12.2.2.5 [0]!MT)),0,([0]!P_1_12.2.2.5 [0]!MT))</f>
        <v>#REF!</v>
      </c>
    </row>
    <row r="706" spans="1:4" x14ac:dyDescent="0.25">
      <c r="A706" s="170" t="s">
        <v>708</v>
      </c>
      <c r="B706" s="171" t="e">
        <f>IF(ISTEXT(([0]!P_1_12.2.3 [0]!Qté)),0,([0]!P_1_12.2.3 [0]!Qté))</f>
        <v>#REF!</v>
      </c>
      <c r="C706" s="172" t="e">
        <f>([0]!P_1_12.2.3 [0]!PU)</f>
        <v>#REF!</v>
      </c>
      <c r="D706" s="172" t="e">
        <f>IF(ISTEXT(([0]!P_1_12.2.3 [0]!MT)),0,([0]!P_1_12.2.3 [0]!MT))</f>
        <v>#REF!</v>
      </c>
    </row>
    <row r="707" spans="1:4" x14ac:dyDescent="0.25">
      <c r="A707" s="170" t="s">
        <v>709</v>
      </c>
      <c r="B707" s="171" t="e">
        <f>IF(ISTEXT(([0]!P_1_12.2.4 [0]!Qté)),0,([0]!P_1_12.2.4 [0]!Qté))</f>
        <v>#REF!</v>
      </c>
      <c r="C707" s="172" t="e">
        <f>([0]!P_1_12.2.4 [0]!PU)</f>
        <v>#REF!</v>
      </c>
      <c r="D707" s="172" t="e">
        <f>IF(ISTEXT(([0]!P_1_12.2.4 [0]!MT)),0,([0]!P_1_12.2.4 [0]!MT))</f>
        <v>#REF!</v>
      </c>
    </row>
    <row r="708" spans="1:4" x14ac:dyDescent="0.25">
      <c r="A708" s="170" t="s">
        <v>710</v>
      </c>
      <c r="B708" s="171" t="e">
        <f>IF(ISTEXT(([0]!P_1_12.3.1 [0]!Qté)),0,([0]!P_1_12.3.1 [0]!Qté))</f>
        <v>#REF!</v>
      </c>
      <c r="C708" s="172" t="e">
        <f>([0]!P_1_12.3.1 [0]!PU)</f>
        <v>#REF!</v>
      </c>
      <c r="D708" s="172" t="e">
        <f>IF(ISTEXT(([0]!P_1_12.3.1 [0]!MT)),0,([0]!P_1_12.3.1 [0]!MT))</f>
        <v>#REF!</v>
      </c>
    </row>
    <row r="709" spans="1:4" x14ac:dyDescent="0.25">
      <c r="A709" s="170" t="s">
        <v>711</v>
      </c>
      <c r="B709" s="171" t="e">
        <f>IF(ISTEXT(([0]!P_1_12.3.2 [0]!Qté)),0,([0]!P_1_12.3.2 [0]!Qté))</f>
        <v>#REF!</v>
      </c>
      <c r="C709" s="172" t="e">
        <f>([0]!P_1_12.3.2 [0]!PU)</f>
        <v>#REF!</v>
      </c>
      <c r="D709" s="172" t="e">
        <f>IF(ISTEXT(([0]!P_1_12.3.2 [0]!MT)),0,([0]!P_1_12.3.2 [0]!MT))</f>
        <v>#REF!</v>
      </c>
    </row>
    <row r="710" spans="1:4" x14ac:dyDescent="0.25">
      <c r="A710" s="170" t="s">
        <v>712</v>
      </c>
      <c r="B710" s="171" t="e">
        <f>IF(ISTEXT(([0]!P_1_12.3.3 [0]!Qté)),0,([0]!P_1_12.3.3 [0]!Qté))</f>
        <v>#REF!</v>
      </c>
      <c r="C710" s="172" t="e">
        <f>([0]!P_1_12.3.3 [0]!PU)</f>
        <v>#REF!</v>
      </c>
      <c r="D710" s="172" t="e">
        <f>IF(ISTEXT(([0]!P_1_12.3.3 [0]!MT)),0,([0]!P_1_12.3.3 [0]!MT))</f>
        <v>#REF!</v>
      </c>
    </row>
    <row r="711" spans="1:4" x14ac:dyDescent="0.25">
      <c r="A711" s="170" t="s">
        <v>713</v>
      </c>
      <c r="B711" s="171" t="e">
        <f>IF(ISTEXT(([0]!P_1_12.3.4 [0]!Qté)),0,([0]!P_1_12.3.4 [0]!Qté))</f>
        <v>#REF!</v>
      </c>
      <c r="C711" s="172" t="e">
        <f>([0]!P_1_12.3.4 [0]!PU)</f>
        <v>#REF!</v>
      </c>
      <c r="D711" s="172" t="e">
        <f>IF(ISTEXT(([0]!P_1_12.3.4 [0]!MT)),0,([0]!P_1_12.3.4 [0]!MT))</f>
        <v>#REF!</v>
      </c>
    </row>
    <row r="712" spans="1:4" x14ac:dyDescent="0.25">
      <c r="A712" s="170" t="s">
        <v>714</v>
      </c>
      <c r="B712" s="171" t="e">
        <f>IF(ISTEXT(([0]!P_1_12.4.1 [0]!Qté)),0,([0]!P_1_12.4.1 [0]!Qté))</f>
        <v>#REF!</v>
      </c>
      <c r="C712" s="172" t="e">
        <f>([0]!P_1_12.4.1 [0]!PU)</f>
        <v>#REF!</v>
      </c>
      <c r="D712" s="172" t="e">
        <f>IF(ISTEXT(([0]!P_1_12.4.1 [0]!MT)),0,([0]!P_1_12.4.1 [0]!MT))</f>
        <v>#REF!</v>
      </c>
    </row>
    <row r="713" spans="1:4" x14ac:dyDescent="0.25">
      <c r="A713" s="170" t="s">
        <v>715</v>
      </c>
      <c r="B713" s="171" t="e">
        <f>IF(ISTEXT(([0]!P_1_12.4.2 [0]!Qté)),0,([0]!P_1_12.4.2 [0]!Qté))</f>
        <v>#REF!</v>
      </c>
      <c r="C713" s="172" t="e">
        <f>([0]!P_1_12.4.2 [0]!PU)</f>
        <v>#REF!</v>
      </c>
      <c r="D713" s="172" t="e">
        <f>IF(ISTEXT(([0]!P_1_12.4.2 [0]!MT)),0,([0]!P_1_12.4.2 [0]!MT))</f>
        <v>#REF!</v>
      </c>
    </row>
    <row r="714" spans="1:4" x14ac:dyDescent="0.25">
      <c r="A714" s="170" t="s">
        <v>716</v>
      </c>
      <c r="B714" s="171" t="e">
        <f>IF(ISTEXT(([0]!P_1_12.4.3 [0]!Qté)),0,([0]!P_1_12.4.3 [0]!Qté))</f>
        <v>#REF!</v>
      </c>
      <c r="C714" s="172" t="e">
        <f>([0]!P_1_12.4.3 [0]!PU)</f>
        <v>#REF!</v>
      </c>
      <c r="D714" s="172" t="e">
        <f>IF(ISTEXT(([0]!P_1_12.4.3 [0]!MT)),0,([0]!P_1_12.4.3 [0]!MT))</f>
        <v>#REF!</v>
      </c>
    </row>
    <row r="715" spans="1:4" x14ac:dyDescent="0.25">
      <c r="A715" s="170" t="s">
        <v>717</v>
      </c>
      <c r="B715" s="171" t="e">
        <f>IF(ISTEXT(([0]!P_1_12.4.4 [0]!Qté)),0,([0]!P_1_12.4.4 [0]!Qté))</f>
        <v>#REF!</v>
      </c>
      <c r="C715" s="172" t="e">
        <f>([0]!P_1_12.4.4 [0]!PU)</f>
        <v>#REF!</v>
      </c>
      <c r="D715" s="172" t="e">
        <f>IF(ISTEXT(([0]!P_1_12.4.4 [0]!MT)),0,([0]!P_1_12.4.4 [0]!MT))</f>
        <v>#REF!</v>
      </c>
    </row>
    <row r="716" spans="1:4" x14ac:dyDescent="0.25">
      <c r="A716" s="170" t="s">
        <v>718</v>
      </c>
      <c r="B716" s="171" t="e">
        <f>IF(ISTEXT(([0]!P_1_12.4.5 [0]!Qté)),0,([0]!P_1_12.4.5 [0]!Qté))</f>
        <v>#REF!</v>
      </c>
      <c r="C716" s="172" t="e">
        <f>([0]!P_1_12.4.5 [0]!PU)</f>
        <v>#REF!</v>
      </c>
      <c r="D716" s="172" t="e">
        <f>IF(ISTEXT(([0]!P_1_12.4.5 [0]!MT)),0,([0]!P_1_12.4.5 [0]!MT))</f>
        <v>#REF!</v>
      </c>
    </row>
    <row r="717" spans="1:4" x14ac:dyDescent="0.25">
      <c r="A717" s="170" t="s">
        <v>719</v>
      </c>
      <c r="B717" s="171" t="e">
        <f>IF(ISTEXT(([0]!P_1_12.4.6 [0]!Qté)),0,([0]!P_1_12.4.6 [0]!Qté))</f>
        <v>#REF!</v>
      </c>
      <c r="C717" s="172" t="e">
        <f>([0]!P_1_12.4.6 [0]!PU)</f>
        <v>#REF!</v>
      </c>
      <c r="D717" s="172" t="e">
        <f>IF(ISTEXT(([0]!P_1_12.4.6 [0]!MT)),0,([0]!P_1_12.4.6 [0]!MT))</f>
        <v>#REF!</v>
      </c>
    </row>
    <row r="718" spans="1:4" x14ac:dyDescent="0.25">
      <c r="A718" s="170" t="s">
        <v>720</v>
      </c>
      <c r="B718" s="171" t="e">
        <f>IF(ISTEXT(([0]!P_1_12.4.7 [0]!Qté)),0,([0]!P_1_12.4.7 [0]!Qté))</f>
        <v>#REF!</v>
      </c>
      <c r="C718" s="172" t="e">
        <f>([0]!P_1_12.4.7 [0]!PU)</f>
        <v>#REF!</v>
      </c>
      <c r="D718" s="172" t="e">
        <f>IF(ISTEXT(([0]!P_1_12.4.7 [0]!MT)),0,([0]!P_1_12.4.7 [0]!MT))</f>
        <v>#REF!</v>
      </c>
    </row>
    <row r="719" spans="1:4" x14ac:dyDescent="0.25">
      <c r="A719" s="170" t="s">
        <v>721</v>
      </c>
      <c r="B719" s="171" t="e">
        <f>IF(ISTEXT(([0]!P_1_12.4.8 [0]!Qté)),0,([0]!P_1_12.4.8 [0]!Qté))</f>
        <v>#REF!</v>
      </c>
      <c r="C719" s="172" t="e">
        <f>([0]!P_1_12.4.8 [0]!PU)</f>
        <v>#REF!</v>
      </c>
      <c r="D719" s="172" t="e">
        <f>IF(ISTEXT(([0]!P_1_12.4.8 [0]!MT)),0,([0]!P_1_12.4.8 [0]!MT))</f>
        <v>#REF!</v>
      </c>
    </row>
    <row r="720" spans="1:4" x14ac:dyDescent="0.25">
      <c r="A720" s="170" t="s">
        <v>722</v>
      </c>
      <c r="B720" s="171" t="e">
        <f>IF(ISTEXT(([0]!P_1_12.5.1 [0]!Qté)),0,([0]!P_1_12.5.1 [0]!Qté))</f>
        <v>#REF!</v>
      </c>
      <c r="C720" s="172" t="e">
        <f>([0]!P_1_12.5.1 [0]!PU)</f>
        <v>#REF!</v>
      </c>
      <c r="D720" s="172" t="e">
        <f>IF(ISTEXT(([0]!P_1_12.5.1 [0]!MT)),0,([0]!P_1_12.5.1 [0]!MT))</f>
        <v>#REF!</v>
      </c>
    </row>
    <row r="721" spans="1:4" x14ac:dyDescent="0.25">
      <c r="A721" s="170" t="s">
        <v>723</v>
      </c>
      <c r="B721" s="171" t="e">
        <f>IF(ISTEXT(([0]!P_1_12.5.2 [0]!Qté)),0,([0]!P_1_12.5.2 [0]!Qté))</f>
        <v>#REF!</v>
      </c>
      <c r="C721" s="172" t="e">
        <f>([0]!P_1_12.5.2 [0]!PU)</f>
        <v>#REF!</v>
      </c>
      <c r="D721" s="172" t="e">
        <f>IF(ISTEXT(([0]!P_1_12.5.2 [0]!MT)),0,([0]!P_1_12.5.2 [0]!MT))</f>
        <v>#REF!</v>
      </c>
    </row>
    <row r="722" spans="1:4" x14ac:dyDescent="0.25">
      <c r="A722" s="170" t="s">
        <v>724</v>
      </c>
      <c r="B722" s="171" t="e">
        <f>IF(ISTEXT(([0]!P_1_12.5.3 [0]!Qté)),0,([0]!P_1_12.5.3 [0]!Qté))</f>
        <v>#REF!</v>
      </c>
      <c r="C722" s="172" t="e">
        <f>([0]!P_1_12.5.3 [0]!PU)</f>
        <v>#REF!</v>
      </c>
      <c r="D722" s="172" t="e">
        <f>IF(ISTEXT(([0]!P_1_12.5.3 [0]!MT)),0,([0]!P_1_12.5.3 [0]!MT))</f>
        <v>#REF!</v>
      </c>
    </row>
    <row r="723" spans="1:4" x14ac:dyDescent="0.25">
      <c r="A723" s="170" t="s">
        <v>725</v>
      </c>
      <c r="B723" s="171" t="e">
        <f>IF(ISTEXT(([0]!P_1_12.5.4 [0]!Qté)),0,([0]!P_1_12.5.4 [0]!Qté))</f>
        <v>#REF!</v>
      </c>
      <c r="C723" s="172" t="e">
        <f>([0]!P_1_12.5.4 [0]!PU)</f>
        <v>#REF!</v>
      </c>
      <c r="D723" s="172" t="e">
        <f>IF(ISTEXT(([0]!P_1_12.5.4 [0]!MT)),0,([0]!P_1_12.5.4 [0]!MT))</f>
        <v>#REF!</v>
      </c>
    </row>
    <row r="724" spans="1:4" x14ac:dyDescent="0.25">
      <c r="A724" s="170" t="s">
        <v>726</v>
      </c>
      <c r="B724" s="171" t="e">
        <f>IF(ISTEXT(([0]!P_1_12.5.5 [0]!Qté)),0,([0]!P_1_12.5.5 [0]!Qté))</f>
        <v>#REF!</v>
      </c>
      <c r="C724" s="172" t="e">
        <f>([0]!P_1_12.5.5 [0]!PU)</f>
        <v>#REF!</v>
      </c>
      <c r="D724" s="172" t="e">
        <f>IF(ISTEXT(([0]!P_1_12.5.5 [0]!MT)),0,([0]!P_1_12.5.5 [0]!MT))</f>
        <v>#REF!</v>
      </c>
    </row>
    <row r="725" spans="1:4" x14ac:dyDescent="0.25">
      <c r="A725" s="170" t="s">
        <v>727</v>
      </c>
      <c r="B725" s="171" t="e">
        <f>IF(ISTEXT(([0]!P_1_12.5.6 [0]!Qté)),0,([0]!P_1_12.5.6 [0]!Qté))</f>
        <v>#REF!</v>
      </c>
      <c r="C725" s="172" t="e">
        <f>([0]!P_1_12.5.6 [0]!PU)</f>
        <v>#REF!</v>
      </c>
      <c r="D725" s="172" t="e">
        <f>IF(ISTEXT(([0]!P_1_12.5.6 [0]!MT)),0,([0]!P_1_12.5.6 [0]!MT))</f>
        <v>#REF!</v>
      </c>
    </row>
    <row r="726" spans="1:4" x14ac:dyDescent="0.25">
      <c r="A726" s="170" t="s">
        <v>728</v>
      </c>
      <c r="B726" s="171" t="e">
        <f>IF(ISTEXT(([0]!P_1_12.6.1 [0]!Qté)),0,([0]!P_1_12.6.1 [0]!Qté))</f>
        <v>#REF!</v>
      </c>
      <c r="C726" s="172" t="e">
        <f>([0]!P_1_12.6.1 [0]!PU)</f>
        <v>#REF!</v>
      </c>
      <c r="D726" s="172" t="e">
        <f>IF(ISTEXT(([0]!P_1_12.6.1 [0]!MT)),0,([0]!P_1_12.6.1 [0]!MT))</f>
        <v>#REF!</v>
      </c>
    </row>
    <row r="727" spans="1:4" x14ac:dyDescent="0.25">
      <c r="A727" s="170" t="s">
        <v>729</v>
      </c>
      <c r="B727" s="171" t="e">
        <f>IF(ISTEXT(([0]!P_1_12.6.2 [0]!Qté)),0,([0]!P_1_12.6.2 [0]!Qté))</f>
        <v>#REF!</v>
      </c>
      <c r="C727" s="172" t="e">
        <f>([0]!P_1_12.6.2 [0]!PU)</f>
        <v>#REF!</v>
      </c>
      <c r="D727" s="172" t="e">
        <f>IF(ISTEXT(([0]!P_1_12.6.2 [0]!MT)),0,([0]!P_1_12.6.2 [0]!MT))</f>
        <v>#REF!</v>
      </c>
    </row>
    <row r="728" spans="1:4" x14ac:dyDescent="0.25">
      <c r="A728" s="170" t="s">
        <v>730</v>
      </c>
      <c r="B728" s="171" t="e">
        <f>IF(ISTEXT(([0]!P_1_12.6.3.1 [0]!Qté)),0,([0]!P_1_12.6.3.1 [0]!Qté))</f>
        <v>#REF!</v>
      </c>
      <c r="C728" s="172" t="e">
        <f>([0]!P_1_12.6.3.1 [0]!PU)</f>
        <v>#REF!</v>
      </c>
      <c r="D728" s="172" t="e">
        <f>IF(ISTEXT(([0]!P_1_12.6.3.1 [0]!MT)),0,([0]!P_1_12.6.3.1 [0]!MT))</f>
        <v>#REF!</v>
      </c>
    </row>
    <row r="729" spans="1:4" x14ac:dyDescent="0.25">
      <c r="A729" s="170" t="s">
        <v>731</v>
      </c>
      <c r="B729" s="171" t="e">
        <f>IF(ISTEXT(([0]!P_1_12.6.3.2 [0]!Qté)),0,([0]!P_1_12.6.3.2 [0]!Qté))</f>
        <v>#REF!</v>
      </c>
      <c r="C729" s="172" t="e">
        <f>([0]!P_1_12.6.3.2 [0]!PU)</f>
        <v>#REF!</v>
      </c>
      <c r="D729" s="172" t="e">
        <f>IF(ISTEXT(([0]!P_1_12.6.3.2 [0]!MT)),0,([0]!P_1_12.6.3.2 [0]!MT))</f>
        <v>#REF!</v>
      </c>
    </row>
    <row r="730" spans="1:4" x14ac:dyDescent="0.25">
      <c r="A730" s="170" t="s">
        <v>732</v>
      </c>
      <c r="B730" s="171" t="e">
        <f>IF(ISTEXT(([0]!P_1_12.6.3.3 [0]!Qté)),0,([0]!P_1_12.6.3.3 [0]!Qté))</f>
        <v>#REF!</v>
      </c>
      <c r="C730" s="172" t="e">
        <f>([0]!P_1_12.6.3.3 [0]!PU)</f>
        <v>#REF!</v>
      </c>
      <c r="D730" s="172" t="e">
        <f>IF(ISTEXT(([0]!P_1_12.6.3.3 [0]!MT)),0,([0]!P_1_12.6.3.3 [0]!MT))</f>
        <v>#REF!</v>
      </c>
    </row>
    <row r="731" spans="1:4" x14ac:dyDescent="0.25">
      <c r="A731" s="170" t="s">
        <v>733</v>
      </c>
      <c r="B731" s="171" t="e">
        <f>IF(ISTEXT(([0]!P_1_12.6.3.4 [0]!Qté)),0,([0]!P_1_12.6.3.4 [0]!Qté))</f>
        <v>#REF!</v>
      </c>
      <c r="C731" s="172" t="e">
        <f>([0]!P_1_12.6.3.4 [0]!PU)</f>
        <v>#REF!</v>
      </c>
      <c r="D731" s="172" t="e">
        <f>IF(ISTEXT(([0]!P_1_12.6.3.4 [0]!MT)),0,([0]!P_1_12.6.3.4 [0]!MT))</f>
        <v>#REF!</v>
      </c>
    </row>
    <row r="732" spans="1:4" x14ac:dyDescent="0.25">
      <c r="A732" s="170" t="s">
        <v>734</v>
      </c>
      <c r="B732" s="171" t="e">
        <f>IF(ISTEXT(([0]!P_1_12.6.3.5 [0]!Qté)),0,([0]!P_1_12.6.3.5 [0]!Qté))</f>
        <v>#REF!</v>
      </c>
      <c r="C732" s="172" t="e">
        <f>([0]!P_1_12.6.3.5 [0]!PU)</f>
        <v>#REF!</v>
      </c>
      <c r="D732" s="172" t="e">
        <f>IF(ISTEXT(([0]!P_1_12.6.3.5 [0]!MT)),0,([0]!P_1_12.6.3.5 [0]!MT))</f>
        <v>#REF!</v>
      </c>
    </row>
    <row r="733" spans="1:4" x14ac:dyDescent="0.25">
      <c r="A733" s="170" t="s">
        <v>735</v>
      </c>
      <c r="B733" s="171" t="e">
        <f>IF(ISTEXT(([0]!P_1_12.6.3.6 [0]!Qté)),0,([0]!P_1_12.6.3.6 [0]!Qté))</f>
        <v>#REF!</v>
      </c>
      <c r="C733" s="172" t="e">
        <f>([0]!P_1_12.6.3.6 [0]!PU)</f>
        <v>#REF!</v>
      </c>
      <c r="D733" s="172" t="e">
        <f>IF(ISTEXT(([0]!P_1_12.6.3.6 [0]!MT)),0,([0]!P_1_12.6.3.6 [0]!MT))</f>
        <v>#REF!</v>
      </c>
    </row>
    <row r="734" spans="1:4" x14ac:dyDescent="0.25">
      <c r="A734" s="170" t="s">
        <v>736</v>
      </c>
      <c r="B734" s="171" t="e">
        <f>IF(ISTEXT(([0]!P_1_12.6.3.7 [0]!Qté)),0,([0]!P_1_12.6.3.7 [0]!Qté))</f>
        <v>#REF!</v>
      </c>
      <c r="C734" s="172" t="e">
        <f>([0]!P_1_12.6.3.7 [0]!PU)</f>
        <v>#REF!</v>
      </c>
      <c r="D734" s="172" t="e">
        <f>IF(ISTEXT(([0]!P_1_12.6.3.7 [0]!MT)),0,([0]!P_1_12.6.3.7 [0]!MT))</f>
        <v>#REF!</v>
      </c>
    </row>
    <row r="735" spans="1:4" x14ac:dyDescent="0.25">
      <c r="A735" s="170" t="s">
        <v>737</v>
      </c>
      <c r="B735" s="171" t="e">
        <f>IF(ISTEXT(([0]!P_1_12.7.1 [0]!Qté)),0,([0]!P_1_12.7.1 [0]!Qté))</f>
        <v>#REF!</v>
      </c>
      <c r="C735" s="172" t="e">
        <f>([0]!P_1_12.7.1 [0]!PU)</f>
        <v>#REF!</v>
      </c>
      <c r="D735" s="172" t="e">
        <f>IF(ISTEXT(([0]!P_1_12.7.1 [0]!MT)),0,([0]!P_1_12.7.1 [0]!MT))</f>
        <v>#REF!</v>
      </c>
    </row>
    <row r="736" spans="1:4" x14ac:dyDescent="0.25">
      <c r="A736" s="170" t="s">
        <v>738</v>
      </c>
      <c r="B736" s="171" t="e">
        <f>IF(ISTEXT(([0]!P_1_12.7.2 [0]!Qté)),0,([0]!P_1_12.7.2 [0]!Qté))</f>
        <v>#REF!</v>
      </c>
      <c r="C736" s="172" t="e">
        <f>([0]!P_1_12.7.2 [0]!PU)</f>
        <v>#REF!</v>
      </c>
      <c r="D736" s="172" t="e">
        <f>IF(ISTEXT(([0]!P_1_12.7.2 [0]!MT)),0,([0]!P_1_12.7.2 [0]!MT))</f>
        <v>#REF!</v>
      </c>
    </row>
    <row r="737" spans="1:4" x14ac:dyDescent="0.25">
      <c r="A737" s="170" t="s">
        <v>739</v>
      </c>
      <c r="B737" s="171" t="e">
        <f>IF(ISTEXT(([0]!P_1_12.7.3 [0]!Qté)),0,([0]!P_1_12.7.3 [0]!Qté))</f>
        <v>#REF!</v>
      </c>
      <c r="C737" s="172" t="e">
        <f>([0]!P_1_12.7.3 [0]!PU)</f>
        <v>#REF!</v>
      </c>
      <c r="D737" s="172" t="e">
        <f>IF(ISTEXT(([0]!P_1_12.7.3 [0]!MT)),0,([0]!P_1_12.7.3 [0]!MT))</f>
        <v>#REF!</v>
      </c>
    </row>
    <row r="738" spans="1:4" x14ac:dyDescent="0.25">
      <c r="A738" s="170" t="s">
        <v>740</v>
      </c>
      <c r="B738" s="171" t="e">
        <f>IF(ISTEXT(([0]!P_1_12.7.4 [0]!Qté)),0,([0]!P_1_12.7.4 [0]!Qté))</f>
        <v>#REF!</v>
      </c>
      <c r="C738" s="172" t="e">
        <f>([0]!P_1_12.7.4 [0]!PU)</f>
        <v>#REF!</v>
      </c>
      <c r="D738" s="172" t="e">
        <f>IF(ISTEXT(([0]!P_1_12.7.4 [0]!MT)),0,([0]!P_1_12.7.4 [0]!MT))</f>
        <v>#REF!</v>
      </c>
    </row>
    <row r="739" spans="1:4" x14ac:dyDescent="0.25">
      <c r="A739" s="170" t="s">
        <v>741</v>
      </c>
      <c r="B739" s="171" t="e">
        <f>IF(ISTEXT(([0]!P_1_12.7.5 [0]!Qté)),0,([0]!P_1_12.7.5 [0]!Qté))</f>
        <v>#REF!</v>
      </c>
      <c r="C739" s="172" t="e">
        <f>([0]!P_1_12.7.5 [0]!PU)</f>
        <v>#REF!</v>
      </c>
      <c r="D739" s="172" t="e">
        <f>IF(ISTEXT(([0]!P_1_12.7.5 [0]!MT)),0,([0]!P_1_12.7.5 [0]!MT))</f>
        <v>#REF!</v>
      </c>
    </row>
    <row r="740" spans="1:4" x14ac:dyDescent="0.25">
      <c r="A740" s="170" t="s">
        <v>742</v>
      </c>
      <c r="B740" s="171" t="e">
        <f>IF(ISTEXT(([0]!P_1_12.7.6 [0]!Qté)),0,([0]!P_1_12.7.6 [0]!Qté))</f>
        <v>#REF!</v>
      </c>
      <c r="C740" s="172" t="e">
        <f>([0]!P_1_12.7.6 [0]!PU)</f>
        <v>#REF!</v>
      </c>
      <c r="D740" s="172" t="e">
        <f>IF(ISTEXT(([0]!P_1_12.7.6 [0]!MT)),0,([0]!P_1_12.7.6 [0]!MT))</f>
        <v>#REF!</v>
      </c>
    </row>
    <row r="741" spans="1:4" x14ac:dyDescent="0.25">
      <c r="A741" s="170" t="s">
        <v>743</v>
      </c>
      <c r="B741" s="171" t="e">
        <f>IF(ISTEXT(([0]!P_1_12.7.7 [0]!Qté)),0,([0]!P_1_12.7.7 [0]!Qté))</f>
        <v>#REF!</v>
      </c>
      <c r="C741" s="172" t="e">
        <f>([0]!P_1_12.7.7 [0]!PU)</f>
        <v>#REF!</v>
      </c>
      <c r="D741" s="172" t="e">
        <f>IF(ISTEXT(([0]!P_1_12.7.7 [0]!MT)),0,([0]!P_1_12.7.7 [0]!MT))</f>
        <v>#REF!</v>
      </c>
    </row>
    <row r="742" spans="1:4" x14ac:dyDescent="0.25">
      <c r="A742" s="170" t="s">
        <v>744</v>
      </c>
      <c r="B742" s="171" t="e">
        <f>IF(ISTEXT(([0]!P_1_12.7.8 [0]!Qté)),0,([0]!P_1_12.7.8 [0]!Qté))</f>
        <v>#REF!</v>
      </c>
      <c r="C742" s="172" t="e">
        <f>([0]!P_1_12.7.8 [0]!PU)</f>
        <v>#REF!</v>
      </c>
      <c r="D742" s="172" t="e">
        <f>IF(ISTEXT(([0]!P_1_12.7.8 [0]!MT)),0,([0]!P_1_12.7.8 [0]!MT))</f>
        <v>#REF!</v>
      </c>
    </row>
    <row r="743" spans="1:4" x14ac:dyDescent="0.25">
      <c r="A743" s="170" t="s">
        <v>745</v>
      </c>
      <c r="B743" s="171" t="e">
        <f>IF(ISTEXT(([0]!P_1_12.7.9 [0]!Qté)),0,([0]!P_1_12.7.9 [0]!Qté))</f>
        <v>#REF!</v>
      </c>
      <c r="C743" s="172" t="e">
        <f>([0]!P_1_12.7.9 [0]!PU)</f>
        <v>#REF!</v>
      </c>
      <c r="D743" s="172" t="e">
        <f>IF(ISTEXT(([0]!P_1_12.7.9 [0]!MT)),0,([0]!P_1_12.7.9 [0]!MT))</f>
        <v>#REF!</v>
      </c>
    </row>
    <row r="744" spans="1:4" x14ac:dyDescent="0.25">
      <c r="A744" s="170" t="s">
        <v>746</v>
      </c>
      <c r="B744" s="171" t="e">
        <f>IF(ISTEXT(([0]!P_1_12.7.10 [0]!Qté)),0,([0]!P_1_12.7.10 [0]!Qté))</f>
        <v>#REF!</v>
      </c>
      <c r="C744" s="172" t="e">
        <f>([0]!P_1_12.7.10 [0]!PU)</f>
        <v>#REF!</v>
      </c>
      <c r="D744" s="172" t="e">
        <f>IF(ISTEXT(([0]!P_1_12.7.10 [0]!MT)),0,([0]!P_1_12.7.10 [0]!MT))</f>
        <v>#REF!</v>
      </c>
    </row>
    <row r="745" spans="1:4" x14ac:dyDescent="0.25">
      <c r="A745" s="170" t="s">
        <v>747</v>
      </c>
      <c r="B745" s="171" t="e">
        <f>IF(ISTEXT(([0]!P_1_12.8.1 [0]!Qté)),0,([0]!P_1_12.8.1 [0]!Qté))</f>
        <v>#REF!</v>
      </c>
      <c r="C745" s="172" t="e">
        <f>([0]!P_1_12.8.1 [0]!PU)</f>
        <v>#REF!</v>
      </c>
      <c r="D745" s="172" t="e">
        <f>IF(ISTEXT(([0]!P_1_12.8.1 [0]!MT)),0,([0]!P_1_12.8.1 [0]!MT))</f>
        <v>#REF!</v>
      </c>
    </row>
    <row r="746" spans="1:4" x14ac:dyDescent="0.25">
      <c r="A746" s="170" t="s">
        <v>748</v>
      </c>
      <c r="B746" s="171" t="e">
        <f>IF(ISTEXT(([0]!P_1_12.8.2 [0]!Qté)),0,([0]!P_1_12.8.2 [0]!Qté))</f>
        <v>#REF!</v>
      </c>
      <c r="C746" s="172" t="e">
        <f>([0]!P_1_12.8.2 [0]!PU)</f>
        <v>#REF!</v>
      </c>
      <c r="D746" s="172" t="e">
        <f>IF(ISTEXT(([0]!P_1_12.8.2 [0]!MT)),0,([0]!P_1_12.8.2 [0]!MT))</f>
        <v>#REF!</v>
      </c>
    </row>
    <row r="747" spans="1:4" x14ac:dyDescent="0.25">
      <c r="A747" s="170" t="s">
        <v>749</v>
      </c>
      <c r="B747" s="171" t="e">
        <f>IF(ISTEXT(([0]!P_1_12.8.3 [0]!Qté)),0,([0]!P_1_12.8.3 [0]!Qté))</f>
        <v>#REF!</v>
      </c>
      <c r="C747" s="172" t="e">
        <f>([0]!P_1_12.8.3 [0]!PU)</f>
        <v>#REF!</v>
      </c>
      <c r="D747" s="172" t="e">
        <f>IF(ISTEXT(([0]!P_1_12.8.3 [0]!MT)),0,([0]!P_1_12.8.3 [0]!MT))</f>
        <v>#REF!</v>
      </c>
    </row>
    <row r="748" spans="1:4" x14ac:dyDescent="0.25">
      <c r="A748" s="170" t="s">
        <v>750</v>
      </c>
      <c r="B748" s="171" t="e">
        <f>IF(ISTEXT(([0]!P_1_12.8.4 [0]!Qté)),0,([0]!P_1_12.8.4 [0]!Qté))</f>
        <v>#REF!</v>
      </c>
      <c r="C748" s="172" t="e">
        <f>([0]!P_1_12.8.4 [0]!PU)</f>
        <v>#REF!</v>
      </c>
      <c r="D748" s="172" t="e">
        <f>IF(ISTEXT(([0]!P_1_12.8.4 [0]!MT)),0,([0]!P_1_12.8.4 [0]!MT))</f>
        <v>#REF!</v>
      </c>
    </row>
    <row r="749" spans="1:4" x14ac:dyDescent="0.25">
      <c r="A749" s="170" t="s">
        <v>751</v>
      </c>
      <c r="B749" s="171" t="e">
        <f>IF(ISTEXT(([0]!P_1_12.9.1.1 [0]!Qté)),0,([0]!P_1_12.9.1.1 [0]!Qté))</f>
        <v>#REF!</v>
      </c>
      <c r="C749" s="172" t="e">
        <f>([0]!P_1_12.9.1.1 [0]!PU)</f>
        <v>#REF!</v>
      </c>
      <c r="D749" s="172" t="e">
        <f>IF(ISTEXT(([0]!P_1_12.9.1.1 [0]!MT)),0,([0]!P_1_12.9.1.1 [0]!MT))</f>
        <v>#REF!</v>
      </c>
    </row>
    <row r="750" spans="1:4" x14ac:dyDescent="0.25">
      <c r="A750" s="170" t="s">
        <v>752</v>
      </c>
      <c r="B750" s="171" t="e">
        <f>IF(ISTEXT(([0]!P_1_12.9.1.2 [0]!Qté)),0,([0]!P_1_12.9.1.2 [0]!Qté))</f>
        <v>#REF!</v>
      </c>
      <c r="C750" s="172" t="e">
        <f>([0]!P_1_12.9.1.2 [0]!PU)</f>
        <v>#REF!</v>
      </c>
      <c r="D750" s="172" t="e">
        <f>IF(ISTEXT(([0]!P_1_12.9.1.2 [0]!MT)),0,([0]!P_1_12.9.1.2 [0]!MT))</f>
        <v>#REF!</v>
      </c>
    </row>
    <row r="751" spans="1:4" x14ac:dyDescent="0.25">
      <c r="A751" s="170" t="s">
        <v>753</v>
      </c>
      <c r="B751" s="171" t="e">
        <f>IF(ISTEXT(([0]!P_1_12.9.1.3 [0]!Qté)),0,([0]!P_1_12.9.1.3 [0]!Qté))</f>
        <v>#REF!</v>
      </c>
      <c r="C751" s="172" t="e">
        <f>([0]!P_1_12.9.1.3 [0]!PU)</f>
        <v>#REF!</v>
      </c>
      <c r="D751" s="172" t="e">
        <f>IF(ISTEXT(([0]!P_1_12.9.1.3 [0]!MT)),0,([0]!P_1_12.9.1.3 [0]!MT))</f>
        <v>#REF!</v>
      </c>
    </row>
    <row r="752" spans="1:4" x14ac:dyDescent="0.25">
      <c r="A752" s="170" t="s">
        <v>754</v>
      </c>
      <c r="B752" s="171" t="e">
        <f>IF(ISTEXT(([0]!P_1_12.9.1.4 [0]!Qté)),0,([0]!P_1_12.9.1.4 [0]!Qté))</f>
        <v>#REF!</v>
      </c>
      <c r="C752" s="172" t="e">
        <f>([0]!P_1_12.9.1.4 [0]!PU)</f>
        <v>#REF!</v>
      </c>
      <c r="D752" s="172" t="e">
        <f>IF(ISTEXT(([0]!P_1_12.9.1.4 [0]!MT)),0,([0]!P_1_12.9.1.4 [0]!MT))</f>
        <v>#REF!</v>
      </c>
    </row>
    <row r="753" spans="1:4" x14ac:dyDescent="0.25">
      <c r="A753" s="170" t="s">
        <v>755</v>
      </c>
      <c r="B753" s="171" t="e">
        <f>IF(ISTEXT(([0]!P_1_12.9.1.5 [0]!Qté)),0,([0]!P_1_12.9.1.5 [0]!Qté))</f>
        <v>#REF!</v>
      </c>
      <c r="C753" s="172" t="e">
        <f>([0]!P_1_12.9.1.5 [0]!PU)</f>
        <v>#REF!</v>
      </c>
      <c r="D753" s="172" t="e">
        <f>IF(ISTEXT(([0]!P_1_12.9.1.5 [0]!MT)),0,([0]!P_1_12.9.1.5 [0]!MT))</f>
        <v>#REF!</v>
      </c>
    </row>
    <row r="754" spans="1:4" x14ac:dyDescent="0.25">
      <c r="A754" s="170" t="s">
        <v>756</v>
      </c>
      <c r="B754" s="171" t="e">
        <f>IF(ISTEXT(([0]!P_1_12.9.2.1 [0]!Qté)),0,([0]!P_1_12.9.2.1 [0]!Qté))</f>
        <v>#REF!</v>
      </c>
      <c r="C754" s="172" t="e">
        <f>([0]!P_1_12.9.2.1 [0]!PU)</f>
        <v>#REF!</v>
      </c>
      <c r="D754" s="172" t="e">
        <f>IF(ISTEXT(([0]!P_1_12.9.2.1 [0]!MT)),0,([0]!P_1_12.9.2.1 [0]!MT))</f>
        <v>#REF!</v>
      </c>
    </row>
    <row r="755" spans="1:4" x14ac:dyDescent="0.25">
      <c r="A755" s="170" t="s">
        <v>757</v>
      </c>
      <c r="B755" s="171" t="e">
        <f>IF(ISTEXT(([0]!P_1_12.9.2.2 [0]!Qté)),0,([0]!P_1_12.9.2.2 [0]!Qté))</f>
        <v>#REF!</v>
      </c>
      <c r="C755" s="172" t="e">
        <f>([0]!P_1_12.9.2.2 [0]!PU)</f>
        <v>#REF!</v>
      </c>
      <c r="D755" s="172" t="e">
        <f>IF(ISTEXT(([0]!P_1_12.9.2.2 [0]!MT)),0,([0]!P_1_12.9.2.2 [0]!MT))</f>
        <v>#REF!</v>
      </c>
    </row>
    <row r="756" spans="1:4" x14ac:dyDescent="0.25">
      <c r="A756" s="170" t="s">
        <v>758</v>
      </c>
      <c r="B756" s="171" t="e">
        <f>IF(ISTEXT(([0]!P_1_12.9.2.3 [0]!Qté)),0,([0]!P_1_12.9.2.3 [0]!Qté))</f>
        <v>#REF!</v>
      </c>
      <c r="C756" s="172" t="e">
        <f>([0]!P_1_12.9.2.3 [0]!PU)</f>
        <v>#REF!</v>
      </c>
      <c r="D756" s="172" t="e">
        <f>IF(ISTEXT(([0]!P_1_12.9.2.3 [0]!MT)),0,([0]!P_1_12.9.2.3 [0]!MT))</f>
        <v>#REF!</v>
      </c>
    </row>
    <row r="757" spans="1:4" x14ac:dyDescent="0.25">
      <c r="A757" s="170" t="s">
        <v>759</v>
      </c>
      <c r="B757" s="171" t="e">
        <f>IF(ISTEXT(([0]!P_1_12.9.2.4 [0]!Qté)),0,([0]!P_1_12.9.2.4 [0]!Qté))</f>
        <v>#REF!</v>
      </c>
      <c r="C757" s="172" t="e">
        <f>([0]!P_1_12.9.2.4 [0]!PU)</f>
        <v>#REF!</v>
      </c>
      <c r="D757" s="172" t="e">
        <f>IF(ISTEXT(([0]!P_1_12.9.2.4 [0]!MT)),0,([0]!P_1_12.9.2.4 [0]!MT))</f>
        <v>#REF!</v>
      </c>
    </row>
    <row r="758" spans="1:4" x14ac:dyDescent="0.25">
      <c r="A758" s="170" t="s">
        <v>760</v>
      </c>
      <c r="B758" s="171" t="e">
        <f>IF(ISTEXT(([0]!P_1_12.9.2.5 [0]!Qté)),0,([0]!P_1_12.9.2.5 [0]!Qté))</f>
        <v>#REF!</v>
      </c>
      <c r="C758" s="172" t="e">
        <f>([0]!P_1_12.9.2.5 [0]!PU)</f>
        <v>#REF!</v>
      </c>
      <c r="D758" s="172" t="e">
        <f>IF(ISTEXT(([0]!P_1_12.9.2.5 [0]!MT)),0,([0]!P_1_12.9.2.5 [0]!MT))</f>
        <v>#REF!</v>
      </c>
    </row>
    <row r="759" spans="1:4" x14ac:dyDescent="0.25">
      <c r="A759" s="170" t="s">
        <v>761</v>
      </c>
      <c r="B759" s="171" t="e">
        <f>IF(ISTEXT(([0]!P_1_12.9.2.6 [0]!Qté)),0,([0]!P_1_12.9.2.6 [0]!Qté))</f>
        <v>#REF!</v>
      </c>
      <c r="C759" s="172" t="e">
        <f>([0]!P_1_12.9.2.6 [0]!PU)</f>
        <v>#REF!</v>
      </c>
      <c r="D759" s="172" t="e">
        <f>IF(ISTEXT(([0]!P_1_12.9.2.6 [0]!MT)),0,([0]!P_1_12.9.2.6 [0]!MT))</f>
        <v>#REF!</v>
      </c>
    </row>
    <row r="760" spans="1:4" x14ac:dyDescent="0.25">
      <c r="A760" s="170" t="s">
        <v>762</v>
      </c>
      <c r="B760" s="171" t="e">
        <f>IF(ISTEXT(([0]!P_1_12.9.2.7 [0]!Qté)),0,([0]!P_1_12.9.2.7 [0]!Qté))</f>
        <v>#REF!</v>
      </c>
      <c r="C760" s="172" t="e">
        <f>([0]!P_1_12.9.2.7 [0]!PU)</f>
        <v>#REF!</v>
      </c>
      <c r="D760" s="172" t="e">
        <f>IF(ISTEXT(([0]!P_1_12.9.2.7 [0]!MT)),0,([0]!P_1_12.9.2.7 [0]!MT))</f>
        <v>#REF!</v>
      </c>
    </row>
    <row r="761" spans="1:4" x14ac:dyDescent="0.25">
      <c r="A761" s="170" t="s">
        <v>763</v>
      </c>
      <c r="B761" s="171" t="e">
        <f>IF(ISTEXT(([0]!P_1_12.9.2.8 [0]!Qté)),0,([0]!P_1_12.9.2.8 [0]!Qté))</f>
        <v>#REF!</v>
      </c>
      <c r="C761" s="172" t="e">
        <f>([0]!P_1_12.9.2.8 [0]!PU)</f>
        <v>#REF!</v>
      </c>
      <c r="D761" s="172" t="e">
        <f>IF(ISTEXT(([0]!P_1_12.9.2.8 [0]!MT)),0,([0]!P_1_12.9.2.8 [0]!MT))</f>
        <v>#REF!</v>
      </c>
    </row>
    <row r="762" spans="1:4" x14ac:dyDescent="0.25">
      <c r="A762" s="170" t="s">
        <v>764</v>
      </c>
      <c r="B762" s="171" t="e">
        <f>IF(ISTEXT(([0]!P_1_12.9.3.1 [0]!Qté)),0,([0]!P_1_12.9.3.1 [0]!Qté))</f>
        <v>#REF!</v>
      </c>
      <c r="C762" s="172" t="e">
        <f>([0]!P_1_12.9.3.1 [0]!PU)</f>
        <v>#REF!</v>
      </c>
      <c r="D762" s="172" t="e">
        <f>IF(ISTEXT(([0]!P_1_12.9.3.1 [0]!MT)),0,([0]!P_1_12.9.3.1 [0]!MT))</f>
        <v>#REF!</v>
      </c>
    </row>
    <row r="763" spans="1:4" x14ac:dyDescent="0.25">
      <c r="A763" s="170" t="s">
        <v>765</v>
      </c>
      <c r="B763" s="171" t="e">
        <f>IF(ISTEXT(([0]!P_1_12.9.3.2 [0]!Qté)),0,([0]!P_1_12.9.3.2 [0]!Qté))</f>
        <v>#REF!</v>
      </c>
      <c r="C763" s="172" t="e">
        <f>([0]!P_1_12.9.3.2 [0]!PU)</f>
        <v>#REF!</v>
      </c>
      <c r="D763" s="172" t="e">
        <f>IF(ISTEXT(([0]!P_1_12.9.3.2 [0]!MT)),0,([0]!P_1_12.9.3.2 [0]!MT))</f>
        <v>#REF!</v>
      </c>
    </row>
    <row r="764" spans="1:4" x14ac:dyDescent="0.25">
      <c r="A764" s="170" t="s">
        <v>766</v>
      </c>
      <c r="B764" s="171" t="e">
        <f>IF(ISTEXT(([0]!P_1_12.9.3.3 [0]!Qté)),0,([0]!P_1_12.9.3.3 [0]!Qté))</f>
        <v>#REF!</v>
      </c>
      <c r="C764" s="172" t="e">
        <f>([0]!P_1_12.9.3.3 [0]!PU)</f>
        <v>#REF!</v>
      </c>
      <c r="D764" s="172" t="e">
        <f>IF(ISTEXT(([0]!P_1_12.9.3.3 [0]!MT)),0,([0]!P_1_12.9.3.3 [0]!MT))</f>
        <v>#REF!</v>
      </c>
    </row>
    <row r="765" spans="1:4" x14ac:dyDescent="0.25">
      <c r="A765" s="170" t="s">
        <v>767</v>
      </c>
      <c r="B765" s="171" t="e">
        <f>IF(ISTEXT(([0]!P_1_12.9.4.1 [0]!Qté)),0,([0]!P_1_12.9.4.1 [0]!Qté))</f>
        <v>#REF!</v>
      </c>
      <c r="C765" s="172" t="e">
        <f>([0]!P_1_12.9.4.1 [0]!PU)</f>
        <v>#REF!</v>
      </c>
      <c r="D765" s="172" t="e">
        <f>IF(ISTEXT(([0]!P_1_12.9.4.1 [0]!MT)),0,([0]!P_1_12.9.4.1 [0]!MT))</f>
        <v>#REF!</v>
      </c>
    </row>
    <row r="766" spans="1:4" x14ac:dyDescent="0.25">
      <c r="A766" s="170" t="s">
        <v>768</v>
      </c>
      <c r="B766" s="171" t="e">
        <f>IF(ISTEXT(([0]!P_1_12.9.4.2 [0]!Qté)),0,([0]!P_1_12.9.4.2 [0]!Qté))</f>
        <v>#REF!</v>
      </c>
      <c r="C766" s="172" t="e">
        <f>([0]!P_1_12.9.4.2 [0]!PU)</f>
        <v>#REF!</v>
      </c>
      <c r="D766" s="172" t="e">
        <f>IF(ISTEXT(([0]!P_1_12.9.4.2 [0]!MT)),0,([0]!P_1_12.9.4.2 [0]!MT))</f>
        <v>#REF!</v>
      </c>
    </row>
    <row r="767" spans="1:4" x14ac:dyDescent="0.25">
      <c r="A767" s="170" t="s">
        <v>769</v>
      </c>
      <c r="B767" s="171" t="e">
        <f>IF(ISTEXT(([0]!P_1_12.9.4.3 [0]!Qté)),0,([0]!P_1_12.9.4.3 [0]!Qté))</f>
        <v>#REF!</v>
      </c>
      <c r="C767" s="172" t="e">
        <f>([0]!P_1_12.9.4.3 [0]!PU)</f>
        <v>#REF!</v>
      </c>
      <c r="D767" s="172" t="e">
        <f>IF(ISTEXT(([0]!P_1_12.9.4.3 [0]!MT)),0,([0]!P_1_12.9.4.3 [0]!MT))</f>
        <v>#REF!</v>
      </c>
    </row>
    <row r="768" spans="1:4" x14ac:dyDescent="0.25">
      <c r="A768" s="170" t="s">
        <v>770</v>
      </c>
      <c r="B768" s="171" t="e">
        <f>IF(ISTEXT(([0]!P_1_12.9.4.4 [0]!Qté)),0,([0]!P_1_12.9.4.4 [0]!Qté))</f>
        <v>#REF!</v>
      </c>
      <c r="C768" s="172" t="e">
        <f>([0]!P_1_12.9.4.4 [0]!PU)</f>
        <v>#REF!</v>
      </c>
      <c r="D768" s="172" t="e">
        <f>IF(ISTEXT(([0]!P_1_12.9.4.4 [0]!MT)),0,([0]!P_1_12.9.4.4 [0]!MT))</f>
        <v>#REF!</v>
      </c>
    </row>
    <row r="769" spans="1:4" x14ac:dyDescent="0.25">
      <c r="A769" s="170" t="s">
        <v>771</v>
      </c>
      <c r="B769" s="171" t="e">
        <f>IF(ISTEXT(([0]!P_1_12.9.4.5 [0]!Qté)),0,([0]!P_1_12.9.4.5 [0]!Qté))</f>
        <v>#REF!</v>
      </c>
      <c r="C769" s="172" t="e">
        <f>([0]!P_1_12.9.4.5 [0]!PU)</f>
        <v>#REF!</v>
      </c>
      <c r="D769" s="172" t="e">
        <f>IF(ISTEXT(([0]!P_1_12.9.4.5 [0]!MT)),0,([0]!P_1_12.9.4.5 [0]!MT))</f>
        <v>#REF!</v>
      </c>
    </row>
    <row r="770" spans="1:4" x14ac:dyDescent="0.25">
      <c r="A770" s="170" t="s">
        <v>772</v>
      </c>
      <c r="B770" s="171" t="e">
        <f>IF(ISTEXT(([0]!P_1_12.9.4.6 [0]!Qté)),0,([0]!P_1_12.9.4.6 [0]!Qté))</f>
        <v>#REF!</v>
      </c>
      <c r="C770" s="172" t="e">
        <f>([0]!P_1_12.9.4.6 [0]!PU)</f>
        <v>#REF!</v>
      </c>
      <c r="D770" s="172" t="e">
        <f>IF(ISTEXT(([0]!P_1_12.9.4.6 [0]!MT)),0,([0]!P_1_12.9.4.6 [0]!MT))</f>
        <v>#REF!</v>
      </c>
    </row>
    <row r="771" spans="1:4" x14ac:dyDescent="0.25">
      <c r="A771" s="170" t="s">
        <v>773</v>
      </c>
      <c r="B771" s="171" t="e">
        <f>IF(ISTEXT(([0]!P_1_12.9.4.7 [0]!Qté)),0,([0]!P_1_12.9.4.7 [0]!Qté))</f>
        <v>#REF!</v>
      </c>
      <c r="C771" s="172" t="e">
        <f>([0]!P_1_12.9.4.7 [0]!PU)</f>
        <v>#REF!</v>
      </c>
      <c r="D771" s="172" t="e">
        <f>IF(ISTEXT(([0]!P_1_12.9.4.7 [0]!MT)),0,([0]!P_1_12.9.4.7 [0]!MT))</f>
        <v>#REF!</v>
      </c>
    </row>
    <row r="772" spans="1:4" x14ac:dyDescent="0.25">
      <c r="A772" s="170" t="s">
        <v>774</v>
      </c>
      <c r="B772" s="171" t="e">
        <f>IF(ISTEXT(([0]!P_1_12.9.4.8 [0]!Qté)),0,([0]!P_1_12.9.4.8 [0]!Qté))</f>
        <v>#REF!</v>
      </c>
      <c r="C772" s="172" t="e">
        <f>([0]!P_1_12.9.4.8 [0]!PU)</f>
        <v>#REF!</v>
      </c>
      <c r="D772" s="172" t="e">
        <f>IF(ISTEXT(([0]!P_1_12.9.4.8 [0]!MT)),0,([0]!P_1_12.9.4.8 [0]!MT))</f>
        <v>#REF!</v>
      </c>
    </row>
    <row r="773" spans="1:4" x14ac:dyDescent="0.25">
      <c r="A773" s="170" t="s">
        <v>775</v>
      </c>
      <c r="B773" s="171" t="e">
        <f>IF(ISTEXT(([0]!P_1_12.9.4.9 [0]!Qté)),0,([0]!P_1_12.9.4.9 [0]!Qté))</f>
        <v>#REF!</v>
      </c>
      <c r="C773" s="172" t="e">
        <f>([0]!P_1_12.9.4.9 [0]!PU)</f>
        <v>#REF!</v>
      </c>
      <c r="D773" s="172" t="e">
        <f>IF(ISTEXT(([0]!P_1_12.9.4.9 [0]!MT)),0,([0]!P_1_12.9.4.9 [0]!MT))</f>
        <v>#REF!</v>
      </c>
    </row>
    <row r="774" spans="1:4" x14ac:dyDescent="0.25">
      <c r="A774" s="170" t="s">
        <v>776</v>
      </c>
      <c r="B774" s="171" t="e">
        <f>IF(ISTEXT(([0]!P_1_12.9.4.10 [0]!Qté)),0,([0]!P_1_12.9.4.10 [0]!Qté))</f>
        <v>#REF!</v>
      </c>
      <c r="C774" s="172" t="e">
        <f>([0]!P_1_12.9.4.10 [0]!PU)</f>
        <v>#REF!</v>
      </c>
      <c r="D774" s="172" t="e">
        <f>IF(ISTEXT(([0]!P_1_12.9.4.10 [0]!MT)),0,([0]!P_1_12.9.4.10 [0]!MT))</f>
        <v>#REF!</v>
      </c>
    </row>
    <row r="775" spans="1:4" x14ac:dyDescent="0.25">
      <c r="A775" s="170" t="s">
        <v>777</v>
      </c>
      <c r="B775" s="171" t="e">
        <f>IF(ISTEXT(([0]!P_1_12.9.4.11 [0]!Qté)),0,([0]!P_1_12.9.4.11 [0]!Qté))</f>
        <v>#REF!</v>
      </c>
      <c r="C775" s="172" t="e">
        <f>([0]!P_1_12.9.4.11 [0]!PU)</f>
        <v>#REF!</v>
      </c>
      <c r="D775" s="172" t="e">
        <f>IF(ISTEXT(([0]!P_1_12.9.4.11 [0]!MT)),0,([0]!P_1_12.9.4.11 [0]!MT))</f>
        <v>#REF!</v>
      </c>
    </row>
    <row r="776" spans="1:4" x14ac:dyDescent="0.25">
      <c r="A776" s="170" t="s">
        <v>778</v>
      </c>
      <c r="B776" s="171" t="e">
        <f>IF(ISTEXT(([0]!P_1_12.9.4.12 [0]!Qté)),0,([0]!P_1_12.9.4.12 [0]!Qté))</f>
        <v>#REF!</v>
      </c>
      <c r="C776" s="172" t="e">
        <f>([0]!P_1_12.9.4.12 [0]!PU)</f>
        <v>#REF!</v>
      </c>
      <c r="D776" s="172" t="e">
        <f>IF(ISTEXT(([0]!P_1_12.9.4.12 [0]!MT)),0,([0]!P_1_12.9.4.12 [0]!MT))</f>
        <v>#REF!</v>
      </c>
    </row>
    <row r="777" spans="1:4" x14ac:dyDescent="0.25">
      <c r="A777" s="170" t="s">
        <v>779</v>
      </c>
      <c r="B777" s="171" t="e">
        <f>IF(ISTEXT(([0]!P_1_12.9.4.13 [0]!Qté)),0,([0]!P_1_12.9.4.13 [0]!Qté))</f>
        <v>#REF!</v>
      </c>
      <c r="C777" s="172" t="e">
        <f>([0]!P_1_12.9.4.13 [0]!PU)</f>
        <v>#REF!</v>
      </c>
      <c r="D777" s="172" t="e">
        <f>IF(ISTEXT(([0]!P_1_12.9.4.13 [0]!MT)),0,([0]!P_1_12.9.4.13 [0]!MT))</f>
        <v>#REF!</v>
      </c>
    </row>
    <row r="778" spans="1:4" x14ac:dyDescent="0.25">
      <c r="A778" s="170" t="s">
        <v>780</v>
      </c>
      <c r="B778" s="171" t="e">
        <f>IF(ISTEXT(([0]!P_1_12.9.4.14 [0]!Qté)),0,([0]!P_1_12.9.4.14 [0]!Qté))</f>
        <v>#REF!</v>
      </c>
      <c r="C778" s="172" t="e">
        <f>([0]!P_1_12.9.4.14 [0]!PU)</f>
        <v>#REF!</v>
      </c>
      <c r="D778" s="172" t="e">
        <f>IF(ISTEXT(([0]!P_1_12.9.4.14 [0]!MT)),0,([0]!P_1_12.9.4.14 [0]!MT))</f>
        <v>#REF!</v>
      </c>
    </row>
    <row r="779" spans="1:4" x14ac:dyDescent="0.25">
      <c r="A779" s="170" t="s">
        <v>781</v>
      </c>
      <c r="B779" s="171" t="e">
        <f>IF(ISTEXT(([0]!P_1_12.9.4.15 [0]!Qté)),0,([0]!P_1_12.9.4.15 [0]!Qté))</f>
        <v>#REF!</v>
      </c>
      <c r="C779" s="172" t="e">
        <f>([0]!P_1_12.9.4.15 [0]!PU)</f>
        <v>#REF!</v>
      </c>
      <c r="D779" s="172" t="e">
        <f>IF(ISTEXT(([0]!P_1_12.9.4.15 [0]!MT)),0,([0]!P_1_12.9.4.15 [0]!MT))</f>
        <v>#REF!</v>
      </c>
    </row>
    <row r="780" spans="1:4" x14ac:dyDescent="0.25">
      <c r="A780" s="170" t="s">
        <v>782</v>
      </c>
      <c r="B780" s="171" t="e">
        <f>IF(ISTEXT(([0]!P_1_12.9.4.16 [0]!Qté)),0,([0]!P_1_12.9.4.16 [0]!Qté))</f>
        <v>#REF!</v>
      </c>
      <c r="C780" s="172" t="e">
        <f>([0]!P_1_12.9.4.16 [0]!PU)</f>
        <v>#REF!</v>
      </c>
      <c r="D780" s="172" t="e">
        <f>IF(ISTEXT(([0]!P_1_12.9.4.16 [0]!MT)),0,([0]!P_1_12.9.4.16 [0]!MT))</f>
        <v>#REF!</v>
      </c>
    </row>
    <row r="781" spans="1:4" x14ac:dyDescent="0.25">
      <c r="A781" s="170" t="s">
        <v>783</v>
      </c>
      <c r="B781" s="171" t="e">
        <f>IF(ISTEXT(([0]!P_1_12.9.4.17 [0]!Qté)),0,([0]!P_1_12.9.4.17 [0]!Qté))</f>
        <v>#REF!</v>
      </c>
      <c r="C781" s="172" t="e">
        <f>([0]!P_1_12.9.4.17 [0]!PU)</f>
        <v>#REF!</v>
      </c>
      <c r="D781" s="172" t="e">
        <f>IF(ISTEXT(([0]!P_1_12.9.4.17 [0]!MT)),0,([0]!P_1_12.9.4.17 [0]!MT))</f>
        <v>#REF!</v>
      </c>
    </row>
    <row r="782" spans="1:4" x14ac:dyDescent="0.25">
      <c r="A782" s="170" t="s">
        <v>784</v>
      </c>
      <c r="B782" s="171" t="e">
        <f>IF(ISTEXT(([0]!P_1_12.9.4.18 [0]!Qté)),0,([0]!P_1_12.9.4.18 [0]!Qté))</f>
        <v>#REF!</v>
      </c>
      <c r="C782" s="172" t="e">
        <f>([0]!P_1_12.9.4.18 [0]!PU)</f>
        <v>#REF!</v>
      </c>
      <c r="D782" s="172" t="e">
        <f>IF(ISTEXT(([0]!P_1_12.9.4.18 [0]!MT)),0,([0]!P_1_12.9.4.18 [0]!MT))</f>
        <v>#REF!</v>
      </c>
    </row>
    <row r="783" spans="1:4" x14ac:dyDescent="0.25">
      <c r="A783" s="170" t="s">
        <v>785</v>
      </c>
      <c r="B783" s="171" t="e">
        <f>IF(ISTEXT(([0]!P_1_12.9.4.19 [0]!Qté)),0,([0]!P_1_12.9.4.19 [0]!Qté))</f>
        <v>#REF!</v>
      </c>
      <c r="C783" s="172" t="e">
        <f>([0]!P_1_12.9.4.19 [0]!PU)</f>
        <v>#REF!</v>
      </c>
      <c r="D783" s="172" t="e">
        <f>IF(ISTEXT(([0]!P_1_12.9.4.19 [0]!MT)),0,([0]!P_1_12.9.4.19 [0]!MT))</f>
        <v>#REF!</v>
      </c>
    </row>
    <row r="784" spans="1:4" x14ac:dyDescent="0.25">
      <c r="A784" s="170" t="s">
        <v>786</v>
      </c>
      <c r="B784" s="171" t="e">
        <f>IF(ISTEXT(([0]!P_1_12.9.4.20 [0]!Qté)),0,([0]!P_1_12.9.4.20 [0]!Qté))</f>
        <v>#REF!</v>
      </c>
      <c r="C784" s="172" t="e">
        <f>([0]!P_1_12.9.4.20 [0]!PU)</f>
        <v>#REF!</v>
      </c>
      <c r="D784" s="172" t="e">
        <f>IF(ISTEXT(([0]!P_1_12.9.4.20 [0]!MT)),0,([0]!P_1_12.9.4.20 [0]!MT))</f>
        <v>#REF!</v>
      </c>
    </row>
    <row r="785" spans="1:4" x14ac:dyDescent="0.25">
      <c r="A785" s="170" t="s">
        <v>787</v>
      </c>
      <c r="B785" s="171" t="e">
        <f>IF(ISTEXT(([0]!P_1_12.9.4.21 [0]!Qté)),0,([0]!P_1_12.9.4.21 [0]!Qté))</f>
        <v>#REF!</v>
      </c>
      <c r="C785" s="172" t="e">
        <f>([0]!P_1_12.9.4.21 [0]!PU)</f>
        <v>#REF!</v>
      </c>
      <c r="D785" s="172" t="e">
        <f>IF(ISTEXT(([0]!P_1_12.9.4.21 [0]!MT)),0,([0]!P_1_12.9.4.21 [0]!MT))</f>
        <v>#REF!</v>
      </c>
    </row>
    <row r="786" spans="1:4" x14ac:dyDescent="0.25">
      <c r="A786" s="170" t="s">
        <v>788</v>
      </c>
      <c r="B786" s="171" t="e">
        <f>IF(ISTEXT(([0]!P_1_12.9.4.22 [0]!Qté)),0,([0]!P_1_12.9.4.22 [0]!Qté))</f>
        <v>#REF!</v>
      </c>
      <c r="C786" s="172" t="e">
        <f>([0]!P_1_12.9.4.22 [0]!PU)</f>
        <v>#REF!</v>
      </c>
      <c r="D786" s="172" t="e">
        <f>IF(ISTEXT(([0]!P_1_12.9.4.22 [0]!MT)),0,([0]!P_1_12.9.4.22 [0]!MT))</f>
        <v>#REF!</v>
      </c>
    </row>
    <row r="787" spans="1:4" x14ac:dyDescent="0.25">
      <c r="A787" s="170" t="s">
        <v>789</v>
      </c>
      <c r="B787" s="171" t="e">
        <f>IF(ISTEXT(([0]!P_1_12.9.4.23 [0]!Qté)),0,([0]!P_1_12.9.4.23 [0]!Qté))</f>
        <v>#REF!</v>
      </c>
      <c r="C787" s="172" t="e">
        <f>([0]!P_1_12.9.4.23 [0]!PU)</f>
        <v>#REF!</v>
      </c>
      <c r="D787" s="172" t="e">
        <f>IF(ISTEXT(([0]!P_1_12.9.4.23 [0]!MT)),0,([0]!P_1_12.9.4.23 [0]!MT))</f>
        <v>#REF!</v>
      </c>
    </row>
    <row r="788" spans="1:4" x14ac:dyDescent="0.25">
      <c r="A788" s="170" t="s">
        <v>790</v>
      </c>
      <c r="B788" s="171" t="e">
        <f>IF(ISTEXT(([0]!P_1_12.9.4.24 [0]!Qté)),0,([0]!P_1_12.9.4.24 [0]!Qté))</f>
        <v>#REF!</v>
      </c>
      <c r="C788" s="172" t="e">
        <f>([0]!P_1_12.9.4.24 [0]!PU)</f>
        <v>#REF!</v>
      </c>
      <c r="D788" s="172" t="e">
        <f>IF(ISTEXT(([0]!P_1_12.9.4.24 [0]!MT)),0,([0]!P_1_12.9.4.24 [0]!MT))</f>
        <v>#REF!</v>
      </c>
    </row>
    <row r="789" spans="1:4" x14ac:dyDescent="0.25">
      <c r="A789" s="170" t="s">
        <v>791</v>
      </c>
      <c r="B789" s="171" t="e">
        <f>IF(ISTEXT(([0]!P_1_12.9.4.25 [0]!Qté)),0,([0]!P_1_12.9.4.25 [0]!Qté))</f>
        <v>#REF!</v>
      </c>
      <c r="C789" s="172" t="e">
        <f>([0]!P_1_12.9.4.25 [0]!PU)</f>
        <v>#REF!</v>
      </c>
      <c r="D789" s="172" t="e">
        <f>IF(ISTEXT(([0]!P_1_12.9.4.25 [0]!MT)),0,([0]!P_1_12.9.4.25 [0]!MT))</f>
        <v>#REF!</v>
      </c>
    </row>
    <row r="790" spans="1:4" x14ac:dyDescent="0.25">
      <c r="A790" s="170" t="s">
        <v>792</v>
      </c>
      <c r="B790" s="171" t="e">
        <f>IF(ISTEXT(([0]!P_1_12.9.4.26 [0]!Qté)),0,([0]!P_1_12.9.4.26 [0]!Qté))</f>
        <v>#REF!</v>
      </c>
      <c r="C790" s="172" t="e">
        <f>([0]!P_1_12.9.4.26 [0]!PU)</f>
        <v>#REF!</v>
      </c>
      <c r="D790" s="172" t="e">
        <f>IF(ISTEXT(([0]!P_1_12.9.4.26 [0]!MT)),0,([0]!P_1_12.9.4.26 [0]!MT))</f>
        <v>#REF!</v>
      </c>
    </row>
    <row r="791" spans="1:4" x14ac:dyDescent="0.25">
      <c r="A791" s="170" t="s">
        <v>793</v>
      </c>
      <c r="B791" s="171" t="e">
        <f>IF(ISTEXT(([0]!P_1_12.9.4.27 [0]!Qté)),0,([0]!P_1_12.9.4.27 [0]!Qté))</f>
        <v>#REF!</v>
      </c>
      <c r="C791" s="172" t="e">
        <f>([0]!P_1_12.9.4.27 [0]!PU)</f>
        <v>#REF!</v>
      </c>
      <c r="D791" s="172" t="e">
        <f>IF(ISTEXT(([0]!P_1_12.9.4.27 [0]!MT)),0,([0]!P_1_12.9.4.27 [0]!MT))</f>
        <v>#REF!</v>
      </c>
    </row>
    <row r="792" spans="1:4" x14ac:dyDescent="0.25">
      <c r="A792" s="170" t="s">
        <v>794</v>
      </c>
      <c r="B792" s="171" t="e">
        <f>IF(ISTEXT(([0]!P_1_12.9.4.28 [0]!Qté)),0,([0]!P_1_12.9.4.28 [0]!Qté))</f>
        <v>#REF!</v>
      </c>
      <c r="C792" s="172" t="e">
        <f>([0]!P_1_12.9.4.28 [0]!PU)</f>
        <v>#REF!</v>
      </c>
      <c r="D792" s="172" t="e">
        <f>IF(ISTEXT(([0]!P_1_12.9.4.28 [0]!MT)),0,([0]!P_1_12.9.4.28 [0]!MT))</f>
        <v>#REF!</v>
      </c>
    </row>
    <row r="793" spans="1:4" x14ac:dyDescent="0.25">
      <c r="A793" s="170" t="s">
        <v>795</v>
      </c>
      <c r="B793" s="171" t="e">
        <f>IF(ISTEXT(([0]!P_1_12.9.4.29.1 [0]!Qté)),0,([0]!P_1_12.9.4.29.1 [0]!Qté))</f>
        <v>#REF!</v>
      </c>
      <c r="C793" s="172" t="e">
        <f>([0]!P_1_12.9.4.29.1 [0]!PU)</f>
        <v>#REF!</v>
      </c>
      <c r="D793" s="172" t="e">
        <f>IF(ISTEXT(([0]!P_1_12.9.4.29.1 [0]!MT)),0,([0]!P_1_12.9.4.29.1 [0]!MT))</f>
        <v>#REF!</v>
      </c>
    </row>
    <row r="794" spans="1:4" x14ac:dyDescent="0.25">
      <c r="A794" s="170" t="s">
        <v>796</v>
      </c>
      <c r="B794" s="171" t="e">
        <f>IF(ISTEXT(([0]!P_1_12.9.4.29.2 [0]!Qté)),0,([0]!P_1_12.9.4.29.2 [0]!Qté))</f>
        <v>#REF!</v>
      </c>
      <c r="C794" s="172" t="e">
        <f>([0]!P_1_12.9.4.29.2 [0]!PU)</f>
        <v>#REF!</v>
      </c>
      <c r="D794" s="172" t="e">
        <f>IF(ISTEXT(([0]!P_1_12.9.4.29.2 [0]!MT)),0,([0]!P_1_12.9.4.29.2 [0]!MT))</f>
        <v>#REF!</v>
      </c>
    </row>
    <row r="795" spans="1:4" x14ac:dyDescent="0.25">
      <c r="A795" s="170" t="s">
        <v>797</v>
      </c>
      <c r="B795" s="171" t="e">
        <f>IF(ISTEXT(([0]!P_1_12.9.4.29.3 [0]!Qté)),0,([0]!P_1_12.9.4.29.3 [0]!Qté))</f>
        <v>#REF!</v>
      </c>
      <c r="C795" s="172" t="e">
        <f>([0]!P_1_12.9.4.29.3 [0]!PU)</f>
        <v>#REF!</v>
      </c>
      <c r="D795" s="172" t="e">
        <f>IF(ISTEXT(([0]!P_1_12.9.4.29.3 [0]!MT)),0,([0]!P_1_12.9.4.29.3 [0]!MT))</f>
        <v>#REF!</v>
      </c>
    </row>
    <row r="796" spans="1:4" x14ac:dyDescent="0.25">
      <c r="A796" s="170" t="s">
        <v>798</v>
      </c>
      <c r="B796" s="171" t="e">
        <f>IF(ISTEXT(([0]!P_1_12.9.4.29.4 [0]!Qté)),0,([0]!P_1_12.9.4.29.4 [0]!Qté))</f>
        <v>#REF!</v>
      </c>
      <c r="C796" s="172" t="e">
        <f>([0]!P_1_12.9.4.29.4 [0]!PU)</f>
        <v>#REF!</v>
      </c>
      <c r="D796" s="172" t="e">
        <f>IF(ISTEXT(([0]!P_1_12.9.4.29.4 [0]!MT)),0,([0]!P_1_12.9.4.29.4 [0]!MT))</f>
        <v>#REF!</v>
      </c>
    </row>
    <row r="797" spans="1:4" x14ac:dyDescent="0.25">
      <c r="A797" s="170" t="s">
        <v>799</v>
      </c>
      <c r="B797" s="171" t="e">
        <f>IF(ISTEXT(([0]!P_1_12.9.4.30.1 [0]!Qté)),0,([0]!P_1_12.9.4.30.1 [0]!Qté))</f>
        <v>#REF!</v>
      </c>
      <c r="C797" s="172" t="e">
        <f>([0]!P_1_12.9.4.30.1 [0]!PU)</f>
        <v>#REF!</v>
      </c>
      <c r="D797" s="172" t="e">
        <f>IF(ISTEXT(([0]!P_1_12.9.4.30.1 [0]!MT)),0,([0]!P_1_12.9.4.30.1 [0]!MT))</f>
        <v>#REF!</v>
      </c>
    </row>
    <row r="798" spans="1:4" x14ac:dyDescent="0.25">
      <c r="A798" s="170" t="s">
        <v>800</v>
      </c>
      <c r="B798" s="171" t="e">
        <f>IF(ISTEXT(([0]!P_1_12.9.4.30.2 [0]!Qté)),0,([0]!P_1_12.9.4.30.2 [0]!Qté))</f>
        <v>#REF!</v>
      </c>
      <c r="C798" s="172" t="e">
        <f>([0]!P_1_12.9.4.30.2 [0]!PU)</f>
        <v>#REF!</v>
      </c>
      <c r="D798" s="172" t="e">
        <f>IF(ISTEXT(([0]!P_1_12.9.4.30.2 [0]!MT)),0,([0]!P_1_12.9.4.30.2 [0]!MT))</f>
        <v>#REF!</v>
      </c>
    </row>
    <row r="799" spans="1:4" x14ac:dyDescent="0.25">
      <c r="A799" s="170" t="s">
        <v>801</v>
      </c>
      <c r="B799" s="171" t="e">
        <f>IF(ISTEXT(([0]!P_1_12.9.4.30.3 [0]!Qté)),0,([0]!P_1_12.9.4.30.3 [0]!Qté))</f>
        <v>#REF!</v>
      </c>
      <c r="C799" s="172" t="e">
        <f>([0]!P_1_12.9.4.30.3 [0]!PU)</f>
        <v>#REF!</v>
      </c>
      <c r="D799" s="172" t="e">
        <f>IF(ISTEXT(([0]!P_1_12.9.4.30.3 [0]!MT)),0,([0]!P_1_12.9.4.30.3 [0]!MT))</f>
        <v>#REF!</v>
      </c>
    </row>
    <row r="800" spans="1:4" x14ac:dyDescent="0.25">
      <c r="A800" s="170" t="s">
        <v>802</v>
      </c>
      <c r="B800" s="171" t="e">
        <f>IF(ISTEXT(([0]!P_1_12.9.4.30.4 [0]!Qté)),0,([0]!P_1_12.9.4.30.4 [0]!Qté))</f>
        <v>#REF!</v>
      </c>
      <c r="C800" s="172" t="e">
        <f>([0]!P_1_12.9.4.30.4 [0]!PU)</f>
        <v>#REF!</v>
      </c>
      <c r="D800" s="172" t="e">
        <f>IF(ISTEXT(([0]!P_1_12.9.4.30.4 [0]!MT)),0,([0]!P_1_12.9.4.30.4 [0]!MT))</f>
        <v>#REF!</v>
      </c>
    </row>
    <row r="801" spans="1:4" x14ac:dyDescent="0.25">
      <c r="A801" s="170" t="s">
        <v>803</v>
      </c>
      <c r="B801" s="171" t="e">
        <f>IF(ISTEXT(([0]!P_1_12.9.4.30.5 [0]!Qté)),0,([0]!P_1_12.9.4.30.5 [0]!Qté))</f>
        <v>#REF!</v>
      </c>
      <c r="C801" s="172" t="e">
        <f>([0]!P_1_12.9.4.30.5 [0]!PU)</f>
        <v>#REF!</v>
      </c>
      <c r="D801" s="172" t="e">
        <f>IF(ISTEXT(([0]!P_1_12.9.4.30.5 [0]!MT)),0,([0]!P_1_12.9.4.30.5 [0]!MT))</f>
        <v>#REF!</v>
      </c>
    </row>
    <row r="802" spans="1:4" x14ac:dyDescent="0.25">
      <c r="A802" s="170" t="s">
        <v>804</v>
      </c>
      <c r="B802" s="171" t="e">
        <f>IF(ISTEXT(([0]!P_1_12.9.4.30.6 [0]!Qté)),0,([0]!P_1_12.9.4.30.6 [0]!Qté))</f>
        <v>#REF!</v>
      </c>
      <c r="C802" s="172" t="e">
        <f>([0]!P_1_12.9.4.30.6 [0]!PU)</f>
        <v>#REF!</v>
      </c>
      <c r="D802" s="172" t="e">
        <f>IF(ISTEXT(([0]!P_1_12.9.4.30.6 [0]!MT)),0,([0]!P_1_12.9.4.30.6 [0]!MT))</f>
        <v>#REF!</v>
      </c>
    </row>
    <row r="803" spans="1:4" x14ac:dyDescent="0.25">
      <c r="A803" s="170" t="s">
        <v>805</v>
      </c>
      <c r="B803" s="171" t="e">
        <f>IF(ISTEXT(([0]!P_1_12.9.4.30.7 [0]!Qté)),0,([0]!P_1_12.9.4.30.7 [0]!Qté))</f>
        <v>#REF!</v>
      </c>
      <c r="C803" s="172" t="e">
        <f>([0]!P_1_12.9.4.30.7 [0]!PU)</f>
        <v>#REF!</v>
      </c>
      <c r="D803" s="172" t="e">
        <f>IF(ISTEXT(([0]!P_1_12.9.4.30.7 [0]!MT)),0,([0]!P_1_12.9.4.30.7 [0]!MT))</f>
        <v>#REF!</v>
      </c>
    </row>
    <row r="804" spans="1:4" x14ac:dyDescent="0.25">
      <c r="A804" s="170" t="s">
        <v>806</v>
      </c>
      <c r="B804" s="171" t="e">
        <f>IF(ISTEXT(([0]!P_1_12.9.4.30.8 [0]!Qté)),0,([0]!P_1_12.9.4.30.8 [0]!Qté))</f>
        <v>#REF!</v>
      </c>
      <c r="C804" s="172" t="e">
        <f>([0]!P_1_12.9.4.30.8 [0]!PU)</f>
        <v>#REF!</v>
      </c>
      <c r="D804" s="172" t="e">
        <f>IF(ISTEXT(([0]!P_1_12.9.4.30.8 [0]!MT)),0,([0]!P_1_12.9.4.30.8 [0]!MT))</f>
        <v>#REF!</v>
      </c>
    </row>
    <row r="805" spans="1:4" x14ac:dyDescent="0.25">
      <c r="A805" s="170" t="s">
        <v>807</v>
      </c>
      <c r="B805" s="171" t="e">
        <f>IF(ISTEXT(([0]!P_1_12.9.4.30.9 [0]!Qté)),0,([0]!P_1_12.9.4.30.9 [0]!Qté))</f>
        <v>#REF!</v>
      </c>
      <c r="C805" s="172" t="e">
        <f>([0]!P_1_12.9.4.30.9 [0]!PU)</f>
        <v>#REF!</v>
      </c>
      <c r="D805" s="172" t="e">
        <f>IF(ISTEXT(([0]!P_1_12.9.4.30.9 [0]!MT)),0,([0]!P_1_12.9.4.30.9 [0]!MT))</f>
        <v>#REF!</v>
      </c>
    </row>
    <row r="806" spans="1:4" x14ac:dyDescent="0.25">
      <c r="A806" s="170" t="s">
        <v>808</v>
      </c>
      <c r="B806" s="171" t="e">
        <f>IF(ISTEXT(([0]!P_1_12.9.4.30.10 [0]!Qté)),0,([0]!P_1_12.9.4.30.10 [0]!Qté))</f>
        <v>#REF!</v>
      </c>
      <c r="C806" s="172" t="e">
        <f>([0]!P_1_12.9.4.30.10 [0]!PU)</f>
        <v>#REF!</v>
      </c>
      <c r="D806" s="172" t="e">
        <f>IF(ISTEXT(([0]!P_1_12.9.4.30.10 [0]!MT)),0,([0]!P_1_12.9.4.30.10 [0]!MT))</f>
        <v>#REF!</v>
      </c>
    </row>
    <row r="807" spans="1:4" x14ac:dyDescent="0.25">
      <c r="A807" s="170" t="s">
        <v>809</v>
      </c>
      <c r="B807" s="171" t="e">
        <f>IF(ISTEXT(([0]!P_1_12.9.5.1.1 [0]!Qté)),0,([0]!P_1_12.9.5.1.1 [0]!Qté))</f>
        <v>#REF!</v>
      </c>
      <c r="C807" s="172" t="e">
        <f>([0]!P_1_12.9.5.1.1 [0]!PU)</f>
        <v>#REF!</v>
      </c>
      <c r="D807" s="172" t="e">
        <f>IF(ISTEXT(([0]!P_1_12.9.5.1.1 [0]!MT)),0,([0]!P_1_12.9.5.1.1 [0]!MT))</f>
        <v>#REF!</v>
      </c>
    </row>
    <row r="808" spans="1:4" x14ac:dyDescent="0.25">
      <c r="A808" s="170" t="s">
        <v>810</v>
      </c>
      <c r="B808" s="171" t="e">
        <f>IF(ISTEXT(([0]!P_1_12.9.5.1.2 [0]!Qté)),0,([0]!P_1_12.9.5.1.2 [0]!Qté))</f>
        <v>#REF!</v>
      </c>
      <c r="C808" s="172" t="e">
        <f>([0]!P_1_12.9.5.1.2 [0]!PU)</f>
        <v>#REF!</v>
      </c>
      <c r="D808" s="172" t="e">
        <f>IF(ISTEXT(([0]!P_1_12.9.5.1.2 [0]!MT)),0,([0]!P_1_12.9.5.1.2 [0]!MT))</f>
        <v>#REF!</v>
      </c>
    </row>
    <row r="809" spans="1:4" x14ac:dyDescent="0.25">
      <c r="A809" s="170" t="s">
        <v>811</v>
      </c>
      <c r="B809" s="171" t="e">
        <f>IF(ISTEXT(([0]!P_1_12.9.5.1.3 [0]!Qté)),0,([0]!P_1_12.9.5.1.3 [0]!Qté))</f>
        <v>#REF!</v>
      </c>
      <c r="C809" s="172" t="e">
        <f>([0]!P_1_12.9.5.1.3 [0]!PU)</f>
        <v>#REF!</v>
      </c>
      <c r="D809" s="172" t="e">
        <f>IF(ISTEXT(([0]!P_1_12.9.5.1.3 [0]!MT)),0,([0]!P_1_12.9.5.1.3 [0]!MT))</f>
        <v>#REF!</v>
      </c>
    </row>
    <row r="810" spans="1:4" x14ac:dyDescent="0.25">
      <c r="A810" s="170" t="s">
        <v>812</v>
      </c>
      <c r="B810" s="171" t="e">
        <f>IF(ISTEXT(([0]!P_1_12.9.5.1.4 [0]!Qté)),0,([0]!P_1_12.9.5.1.4 [0]!Qté))</f>
        <v>#REF!</v>
      </c>
      <c r="C810" s="172" t="e">
        <f>([0]!P_1_12.9.5.1.4 [0]!PU)</f>
        <v>#REF!</v>
      </c>
      <c r="D810" s="172" t="e">
        <f>IF(ISTEXT(([0]!P_1_12.9.5.1.4 [0]!MT)),0,([0]!P_1_12.9.5.1.4 [0]!MT))</f>
        <v>#REF!</v>
      </c>
    </row>
    <row r="811" spans="1:4" x14ac:dyDescent="0.25">
      <c r="A811" s="170" t="s">
        <v>813</v>
      </c>
      <c r="B811" s="171" t="e">
        <f>IF(ISTEXT(([0]!P_1_12.9.5.1.5 [0]!Qté)),0,([0]!P_1_12.9.5.1.5 [0]!Qté))</f>
        <v>#REF!</v>
      </c>
      <c r="C811" s="172" t="e">
        <f>([0]!P_1_12.9.5.1.5 [0]!PU)</f>
        <v>#REF!</v>
      </c>
      <c r="D811" s="172" t="e">
        <f>IF(ISTEXT(([0]!P_1_12.9.5.1.5 [0]!MT)),0,([0]!P_1_12.9.5.1.5 [0]!MT))</f>
        <v>#REF!</v>
      </c>
    </row>
    <row r="812" spans="1:4" x14ac:dyDescent="0.25">
      <c r="A812" s="170" t="s">
        <v>814</v>
      </c>
      <c r="B812" s="171" t="e">
        <f>IF(ISTEXT(([0]!P_1_12.9.5.1.6 [0]!Qté)),0,([0]!P_1_12.9.5.1.6 [0]!Qté))</f>
        <v>#REF!</v>
      </c>
      <c r="C812" s="172" t="e">
        <f>([0]!P_1_12.9.5.1.6 [0]!PU)</f>
        <v>#REF!</v>
      </c>
      <c r="D812" s="172" t="e">
        <f>IF(ISTEXT(([0]!P_1_12.9.5.1.6 [0]!MT)),0,([0]!P_1_12.9.5.1.6 [0]!MT))</f>
        <v>#REF!</v>
      </c>
    </row>
    <row r="813" spans="1:4" x14ac:dyDescent="0.25">
      <c r="A813" s="170" t="s">
        <v>815</v>
      </c>
      <c r="B813" s="171" t="e">
        <f>IF(ISTEXT(([0]!P_1_12.9.5.1.7 [0]!Qté)),0,([0]!P_1_12.9.5.1.7 [0]!Qté))</f>
        <v>#REF!</v>
      </c>
      <c r="C813" s="172" t="e">
        <f>([0]!P_1_12.9.5.1.7 [0]!PU)</f>
        <v>#REF!</v>
      </c>
      <c r="D813" s="172" t="e">
        <f>IF(ISTEXT(([0]!P_1_12.9.5.1.7 [0]!MT)),0,([0]!P_1_12.9.5.1.7 [0]!MT))</f>
        <v>#REF!</v>
      </c>
    </row>
    <row r="814" spans="1:4" x14ac:dyDescent="0.25">
      <c r="A814" s="170" t="s">
        <v>816</v>
      </c>
      <c r="B814" s="171" t="e">
        <f>IF(ISTEXT(([0]!P_1_12.9.5.2.1 [0]!Qté)),0,([0]!P_1_12.9.5.2.1 [0]!Qté))</f>
        <v>#REF!</v>
      </c>
      <c r="C814" s="172" t="e">
        <f>([0]!P_1_12.9.5.2.1 [0]!PU)</f>
        <v>#REF!</v>
      </c>
      <c r="D814" s="172" t="e">
        <f>IF(ISTEXT(([0]!P_1_12.9.5.2.1 [0]!MT)),0,([0]!P_1_12.9.5.2.1 [0]!MT))</f>
        <v>#REF!</v>
      </c>
    </row>
    <row r="815" spans="1:4" x14ac:dyDescent="0.25">
      <c r="A815" s="170" t="s">
        <v>817</v>
      </c>
      <c r="B815" s="171" t="e">
        <f>IF(ISTEXT(([0]!P_1_12.9.5.2.2 [0]!Qté)),0,([0]!P_1_12.9.5.2.2 [0]!Qté))</f>
        <v>#REF!</v>
      </c>
      <c r="C815" s="172" t="e">
        <f>([0]!P_1_12.9.5.2.2 [0]!PU)</f>
        <v>#REF!</v>
      </c>
      <c r="D815" s="172" t="e">
        <f>IF(ISTEXT(([0]!P_1_12.9.5.2.2 [0]!MT)),0,([0]!P_1_12.9.5.2.2 [0]!MT))</f>
        <v>#REF!</v>
      </c>
    </row>
    <row r="816" spans="1:4" x14ac:dyDescent="0.25">
      <c r="A816" s="170" t="s">
        <v>818</v>
      </c>
      <c r="B816" s="171" t="e">
        <f>IF(ISTEXT(([0]!P_1_12.9.5.2.3 [0]!Qté)),0,([0]!P_1_12.9.5.2.3 [0]!Qté))</f>
        <v>#REF!</v>
      </c>
      <c r="C816" s="172" t="e">
        <f>([0]!P_1_12.9.5.2.3 [0]!PU)</f>
        <v>#REF!</v>
      </c>
      <c r="D816" s="172" t="e">
        <f>IF(ISTEXT(([0]!P_1_12.9.5.2.3 [0]!MT)),0,([0]!P_1_12.9.5.2.3 [0]!MT))</f>
        <v>#REF!</v>
      </c>
    </row>
    <row r="817" spans="1:4" x14ac:dyDescent="0.25">
      <c r="A817" s="170" t="s">
        <v>819</v>
      </c>
      <c r="B817" s="171" t="e">
        <f>IF(ISTEXT(([0]!P_1_12.9.5.2.4 [0]!Qté)),0,([0]!P_1_12.9.5.2.4 [0]!Qté))</f>
        <v>#REF!</v>
      </c>
      <c r="C817" s="172" t="e">
        <f>([0]!P_1_12.9.5.2.4 [0]!PU)</f>
        <v>#REF!</v>
      </c>
      <c r="D817" s="172" t="e">
        <f>IF(ISTEXT(([0]!P_1_12.9.5.2.4 [0]!MT)),0,([0]!P_1_12.9.5.2.4 [0]!MT))</f>
        <v>#REF!</v>
      </c>
    </row>
    <row r="818" spans="1:4" x14ac:dyDescent="0.25">
      <c r="A818" s="170" t="s">
        <v>820</v>
      </c>
      <c r="B818" s="171" t="e">
        <f>IF(ISTEXT(([0]!P_1_12.9.5.2.5 [0]!Qté)),0,([0]!P_1_12.9.5.2.5 [0]!Qté))</f>
        <v>#REF!</v>
      </c>
      <c r="C818" s="172" t="e">
        <f>([0]!P_1_12.9.5.2.5 [0]!PU)</f>
        <v>#REF!</v>
      </c>
      <c r="D818" s="172" t="e">
        <f>IF(ISTEXT(([0]!P_1_12.9.5.2.5 [0]!MT)),0,([0]!P_1_12.9.5.2.5 [0]!MT))</f>
        <v>#REF!</v>
      </c>
    </row>
    <row r="819" spans="1:4" x14ac:dyDescent="0.25">
      <c r="A819" s="170" t="s">
        <v>821</v>
      </c>
      <c r="B819" s="171" t="e">
        <f>IF(ISTEXT(([0]!P_1_12.9.5.2.6 [0]!Qté)),0,([0]!P_1_12.9.5.2.6 [0]!Qté))</f>
        <v>#REF!</v>
      </c>
      <c r="C819" s="172" t="e">
        <f>([0]!P_1_12.9.5.2.6 [0]!PU)</f>
        <v>#REF!</v>
      </c>
      <c r="D819" s="172" t="e">
        <f>IF(ISTEXT(([0]!P_1_12.9.5.2.6 [0]!MT)),0,([0]!P_1_12.9.5.2.6 [0]!MT))</f>
        <v>#REF!</v>
      </c>
    </row>
    <row r="820" spans="1:4" x14ac:dyDescent="0.25">
      <c r="A820" s="170" t="s">
        <v>822</v>
      </c>
      <c r="B820" s="171" t="e">
        <f>IF(ISTEXT(([0]!P_1_12.9.5.3.1 [0]!Qté)),0,([0]!P_1_12.9.5.3.1 [0]!Qté))</f>
        <v>#REF!</v>
      </c>
      <c r="C820" s="172" t="e">
        <f>([0]!P_1_12.9.5.3.1 [0]!PU)</f>
        <v>#REF!</v>
      </c>
      <c r="D820" s="172" t="e">
        <f>IF(ISTEXT(([0]!P_1_12.9.5.3.1 [0]!MT)),0,([0]!P_1_12.9.5.3.1 [0]!MT))</f>
        <v>#REF!</v>
      </c>
    </row>
    <row r="821" spans="1:4" x14ac:dyDescent="0.25">
      <c r="A821" s="170" t="s">
        <v>823</v>
      </c>
      <c r="B821" s="171" t="e">
        <f>IF(ISTEXT(([0]!P_1_12.9.5.3.2 [0]!Qté)),0,([0]!P_1_12.9.5.3.2 [0]!Qté))</f>
        <v>#REF!</v>
      </c>
      <c r="C821" s="172" t="e">
        <f>([0]!P_1_12.9.5.3.2 [0]!PU)</f>
        <v>#REF!</v>
      </c>
      <c r="D821" s="172" t="e">
        <f>IF(ISTEXT(([0]!P_1_12.9.5.3.2 [0]!MT)),0,([0]!P_1_12.9.5.3.2 [0]!MT))</f>
        <v>#REF!</v>
      </c>
    </row>
    <row r="822" spans="1:4" x14ac:dyDescent="0.25">
      <c r="A822" s="170" t="s">
        <v>824</v>
      </c>
      <c r="B822" s="171" t="e">
        <f>IF(ISTEXT(([0]!P_1_12.9.5.3.3 [0]!Qté)),0,([0]!P_1_12.9.5.3.3 [0]!Qté))</f>
        <v>#REF!</v>
      </c>
      <c r="C822" s="172" t="e">
        <f>([0]!P_1_12.9.5.3.3 [0]!PU)</f>
        <v>#REF!</v>
      </c>
      <c r="D822" s="172" t="e">
        <f>IF(ISTEXT(([0]!P_1_12.9.5.3.3 [0]!MT)),0,([0]!P_1_12.9.5.3.3 [0]!MT))</f>
        <v>#REF!</v>
      </c>
    </row>
    <row r="823" spans="1:4" x14ac:dyDescent="0.25">
      <c r="A823" s="170" t="s">
        <v>825</v>
      </c>
      <c r="B823" s="171" t="e">
        <f>IF(ISTEXT(([0]!P_1_12.9.6.1 [0]!Qté)),0,([0]!P_1_12.9.6.1 [0]!Qté))</f>
        <v>#REF!</v>
      </c>
      <c r="C823" s="172" t="e">
        <f>([0]!P_1_12.9.6.1 [0]!PU)</f>
        <v>#REF!</v>
      </c>
      <c r="D823" s="172" t="e">
        <f>IF(ISTEXT(([0]!P_1_12.9.6.1 [0]!MT)),0,([0]!P_1_12.9.6.1 [0]!MT))</f>
        <v>#REF!</v>
      </c>
    </row>
    <row r="824" spans="1:4" x14ac:dyDescent="0.25">
      <c r="A824" s="170" t="s">
        <v>826</v>
      </c>
      <c r="B824" s="171" t="e">
        <f>IF(ISTEXT(([0]!P_1_12.9.6.2 [0]!Qté)),0,([0]!P_1_12.9.6.2 [0]!Qté))</f>
        <v>#REF!</v>
      </c>
      <c r="C824" s="172" t="e">
        <f>([0]!P_1_12.9.6.2 [0]!PU)</f>
        <v>#REF!</v>
      </c>
      <c r="D824" s="172" t="e">
        <f>IF(ISTEXT(([0]!P_1_12.9.6.2 [0]!MT)),0,([0]!P_1_12.9.6.2 [0]!MT))</f>
        <v>#REF!</v>
      </c>
    </row>
    <row r="825" spans="1:4" x14ac:dyDescent="0.25">
      <c r="A825" s="170" t="s">
        <v>827</v>
      </c>
      <c r="B825" s="171" t="e">
        <f>IF(ISTEXT(([0]!P_1_12.9.6.3 [0]!Qté)),0,([0]!P_1_12.9.6.3 [0]!Qté))</f>
        <v>#REF!</v>
      </c>
      <c r="C825" s="172" t="e">
        <f>([0]!P_1_12.9.6.3 [0]!PU)</f>
        <v>#REF!</v>
      </c>
      <c r="D825" s="172" t="e">
        <f>IF(ISTEXT(([0]!P_1_12.9.6.3 [0]!MT)),0,([0]!P_1_12.9.6.3 [0]!MT))</f>
        <v>#REF!</v>
      </c>
    </row>
    <row r="826" spans="1:4" x14ac:dyDescent="0.25">
      <c r="A826" s="170" t="s">
        <v>828</v>
      </c>
      <c r="B826" s="171" t="e">
        <f>IF(ISTEXT(([0]!P_1_12.9.6.4 [0]!Qté)),0,([0]!P_1_12.9.6.4 [0]!Qté))</f>
        <v>#REF!</v>
      </c>
      <c r="C826" s="172" t="e">
        <f>([0]!P_1_12.9.6.4 [0]!PU)</f>
        <v>#REF!</v>
      </c>
      <c r="D826" s="172" t="e">
        <f>IF(ISTEXT(([0]!P_1_12.9.6.4 [0]!MT)),0,([0]!P_1_12.9.6.4 [0]!MT))</f>
        <v>#REF!</v>
      </c>
    </row>
    <row r="827" spans="1:4" x14ac:dyDescent="0.25">
      <c r="A827" s="170" t="s">
        <v>829</v>
      </c>
      <c r="B827" s="171" t="e">
        <f>IF(ISTEXT(([0]!P_1_12.9.7.1 [0]!Qté)),0,([0]!P_1_12.9.7.1 [0]!Qté))</f>
        <v>#REF!</v>
      </c>
      <c r="C827" s="172" t="e">
        <f>([0]!P_1_12.9.7.1 [0]!PU)</f>
        <v>#REF!</v>
      </c>
      <c r="D827" s="172" t="e">
        <f>IF(ISTEXT(([0]!P_1_12.9.7.1 [0]!MT)),0,([0]!P_1_12.9.7.1 [0]!MT))</f>
        <v>#REF!</v>
      </c>
    </row>
    <row r="828" spans="1:4" x14ac:dyDescent="0.25">
      <c r="A828" s="170" t="s">
        <v>830</v>
      </c>
      <c r="B828" s="171" t="e">
        <f>IF(ISTEXT(([0]!P_1_12.9.7.2 [0]!Qté)),0,([0]!P_1_12.9.7.2 [0]!Qté))</f>
        <v>#REF!</v>
      </c>
      <c r="C828" s="172" t="e">
        <f>([0]!P_1_12.9.7.2 [0]!PU)</f>
        <v>#REF!</v>
      </c>
      <c r="D828" s="172" t="e">
        <f>IF(ISTEXT(([0]!P_1_12.9.7.2 [0]!MT)),0,([0]!P_1_12.9.7.2 [0]!MT))</f>
        <v>#REF!</v>
      </c>
    </row>
    <row r="829" spans="1:4" x14ac:dyDescent="0.25">
      <c r="A829" s="170" t="s">
        <v>831</v>
      </c>
      <c r="B829" s="171" t="e">
        <f>IF(ISTEXT(([0]!P_1_12.9.7.3 [0]!Qté)),0,([0]!P_1_12.9.7.3 [0]!Qté))</f>
        <v>#REF!</v>
      </c>
      <c r="C829" s="172" t="e">
        <f>([0]!P_1_12.9.7.3 [0]!PU)</f>
        <v>#REF!</v>
      </c>
      <c r="D829" s="172" t="e">
        <f>IF(ISTEXT(([0]!P_1_12.9.7.3 [0]!MT)),0,([0]!P_1_12.9.7.3 [0]!MT))</f>
        <v>#REF!</v>
      </c>
    </row>
    <row r="830" spans="1:4" x14ac:dyDescent="0.25">
      <c r="A830" s="170" t="s">
        <v>832</v>
      </c>
      <c r="B830" s="171" t="e">
        <f>IF(ISTEXT(([0]!P_1_12.9.7.4 [0]!Qté)),0,([0]!P_1_12.9.7.4 [0]!Qté))</f>
        <v>#REF!</v>
      </c>
      <c r="C830" s="172" t="e">
        <f>([0]!P_1_12.9.7.4 [0]!PU)</f>
        <v>#REF!</v>
      </c>
      <c r="D830" s="172" t="e">
        <f>IF(ISTEXT(([0]!P_1_12.9.7.4 [0]!MT)),0,([0]!P_1_12.9.7.4 [0]!MT))</f>
        <v>#REF!</v>
      </c>
    </row>
    <row r="831" spans="1:4" x14ac:dyDescent="0.25">
      <c r="A831" s="170" t="s">
        <v>833</v>
      </c>
      <c r="B831" s="171" t="e">
        <f>IF(ISTEXT(([0]!P_1_12.10.1 [0]!Qté)),0,([0]!P_1_12.10.1 [0]!Qté))</f>
        <v>#REF!</v>
      </c>
      <c r="C831" s="172" t="e">
        <f>([0]!P_1_12.10.1 [0]!PU)</f>
        <v>#REF!</v>
      </c>
      <c r="D831" s="172" t="e">
        <f>IF(ISTEXT(([0]!P_1_12.10.1 [0]!MT)),0,([0]!P_1_12.10.1 [0]!MT))</f>
        <v>#REF!</v>
      </c>
    </row>
    <row r="832" spans="1:4" x14ac:dyDescent="0.25">
      <c r="A832" s="170" t="s">
        <v>834</v>
      </c>
      <c r="B832" s="171" t="e">
        <f>IF(ISTEXT(([0]!P_1_12.10.2 [0]!Qté)),0,([0]!P_1_12.10.2 [0]!Qté))</f>
        <v>#REF!</v>
      </c>
      <c r="C832" s="172" t="e">
        <f>([0]!P_1_12.10.2 [0]!PU)</f>
        <v>#REF!</v>
      </c>
      <c r="D832" s="172" t="e">
        <f>IF(ISTEXT(([0]!P_1_12.10.2 [0]!MT)),0,([0]!P_1_12.10.2 [0]!MT))</f>
        <v>#REF!</v>
      </c>
    </row>
    <row r="833" spans="1:4" x14ac:dyDescent="0.25">
      <c r="A833" s="170" t="s">
        <v>835</v>
      </c>
      <c r="B833" s="171" t="e">
        <f>IF(ISTEXT(([0]!P_1_12.10.3 [0]!Qté)),0,([0]!P_1_12.10.3 [0]!Qté))</f>
        <v>#REF!</v>
      </c>
      <c r="C833" s="172" t="e">
        <f>([0]!P_1_12.10.3 [0]!PU)</f>
        <v>#REF!</v>
      </c>
      <c r="D833" s="172" t="e">
        <f>IF(ISTEXT(([0]!P_1_12.10.3 [0]!MT)),0,([0]!P_1_12.10.3 [0]!MT))</f>
        <v>#REF!</v>
      </c>
    </row>
    <row r="834" spans="1:4" x14ac:dyDescent="0.25">
      <c r="A834" s="170" t="s">
        <v>836</v>
      </c>
      <c r="B834" s="171" t="e">
        <f>IF(ISTEXT(([0]!P_1_12.10.4 [0]!Qté)),0,([0]!P_1_12.10.4 [0]!Qté))</f>
        <v>#REF!</v>
      </c>
      <c r="C834" s="172" t="e">
        <f>([0]!P_1_12.10.4 [0]!PU)</f>
        <v>#REF!</v>
      </c>
      <c r="D834" s="172" t="e">
        <f>IF(ISTEXT(([0]!P_1_12.10.4 [0]!MT)),0,([0]!P_1_12.10.4 [0]!MT))</f>
        <v>#REF!</v>
      </c>
    </row>
    <row r="835" spans="1:4" x14ac:dyDescent="0.25">
      <c r="A835" s="170" t="s">
        <v>837</v>
      </c>
      <c r="B835" s="171" t="e">
        <f>IF(ISTEXT(([0]!P_1_12.10.5 [0]!Qté)),0,([0]!P_1_12.10.5 [0]!Qté))</f>
        <v>#REF!</v>
      </c>
      <c r="C835" s="172" t="e">
        <f>([0]!P_1_12.10.5 [0]!PU)</f>
        <v>#REF!</v>
      </c>
      <c r="D835" s="172" t="e">
        <f>IF(ISTEXT(([0]!P_1_12.10.5 [0]!MT)),0,([0]!P_1_12.10.5 [0]!MT))</f>
        <v>#REF!</v>
      </c>
    </row>
    <row r="836" spans="1:4" x14ac:dyDescent="0.25">
      <c r="A836" s="170" t="s">
        <v>838</v>
      </c>
      <c r="B836" s="171" t="e">
        <f>IF(ISTEXT(([0]!P_1_12.11.1 [0]!Qté)),0,([0]!P_1_12.11.1 [0]!Qté))</f>
        <v>#REF!</v>
      </c>
      <c r="C836" s="172" t="e">
        <f>([0]!P_1_12.11.1 [0]!PU)</f>
        <v>#REF!</v>
      </c>
      <c r="D836" s="172" t="e">
        <f>IF(ISTEXT(([0]!P_1_12.11.1 [0]!MT)),0,([0]!P_1_12.11.1 [0]!MT))</f>
        <v>#REF!</v>
      </c>
    </row>
    <row r="837" spans="1:4" x14ac:dyDescent="0.25">
      <c r="A837" s="170" t="s">
        <v>839</v>
      </c>
      <c r="B837" s="171" t="e">
        <f>IF(ISTEXT(([0]!P_1_12.11.2 [0]!Qté)),0,([0]!P_1_12.11.2 [0]!Qté))</f>
        <v>#REF!</v>
      </c>
      <c r="C837" s="172" t="e">
        <f>([0]!P_1_12.11.2 [0]!PU)</f>
        <v>#REF!</v>
      </c>
      <c r="D837" s="172" t="e">
        <f>IF(ISTEXT(([0]!P_1_12.11.2 [0]!MT)),0,([0]!P_1_12.11.2 [0]!MT))</f>
        <v>#REF!</v>
      </c>
    </row>
    <row r="838" spans="1:4" x14ac:dyDescent="0.25">
      <c r="A838" s="170" t="s">
        <v>840</v>
      </c>
      <c r="B838" s="171" t="e">
        <f>IF(ISTEXT(([0]!P_1_12.11.3 [0]!Qté)),0,([0]!P_1_12.11.3 [0]!Qté))</f>
        <v>#REF!</v>
      </c>
      <c r="C838" s="172" t="e">
        <f>([0]!P_1_12.11.3 [0]!PU)</f>
        <v>#REF!</v>
      </c>
      <c r="D838" s="172" t="e">
        <f>IF(ISTEXT(([0]!P_1_12.11.3 [0]!MT)),0,([0]!P_1_12.11.3 [0]!MT))</f>
        <v>#REF!</v>
      </c>
    </row>
    <row r="839" spans="1:4" x14ac:dyDescent="0.25">
      <c r="A839" s="170" t="s">
        <v>841</v>
      </c>
      <c r="B839" s="171" t="e">
        <f>IF(ISTEXT(([0]!P_1_12.11.4 [0]!Qté)),0,([0]!P_1_12.11.4 [0]!Qté))</f>
        <v>#REF!</v>
      </c>
      <c r="C839" s="172" t="e">
        <f>([0]!P_1_12.11.4 [0]!PU)</f>
        <v>#REF!</v>
      </c>
      <c r="D839" s="172" t="e">
        <f>IF(ISTEXT(([0]!P_1_12.11.4 [0]!MT)),0,([0]!P_1_12.11.4 [0]!MT))</f>
        <v>#REF!</v>
      </c>
    </row>
    <row r="840" spans="1:4" x14ac:dyDescent="0.25">
      <c r="A840" s="170" t="s">
        <v>842</v>
      </c>
      <c r="B840" s="171" t="e">
        <f>IF(ISTEXT(([0]!P_1_13.1.1 [0]!Qté)),0,([0]!P_1_13.1.1 [0]!Qté))</f>
        <v>#REF!</v>
      </c>
      <c r="C840" s="172" t="e">
        <f>([0]!P_1_13.1.1 [0]!PU)</f>
        <v>#REF!</v>
      </c>
      <c r="D840" s="172" t="e">
        <f>IF(ISTEXT(([0]!P_1_13.1.1 [0]!MT)),0,([0]!P_1_13.1.1 [0]!MT))</f>
        <v>#REF!</v>
      </c>
    </row>
    <row r="841" spans="1:4" x14ac:dyDescent="0.25">
      <c r="A841" s="170" t="s">
        <v>843</v>
      </c>
      <c r="B841" s="171" t="e">
        <f>IF(ISTEXT(([0]!P_1_13.1.2 [0]!Qté)),0,([0]!P_1_13.1.2 [0]!Qté))</f>
        <v>#REF!</v>
      </c>
      <c r="C841" s="172" t="e">
        <f>([0]!P_1_13.1.2 [0]!PU)</f>
        <v>#REF!</v>
      </c>
      <c r="D841" s="172" t="e">
        <f>IF(ISTEXT(([0]!P_1_13.1.2 [0]!MT)),0,([0]!P_1_13.1.2 [0]!MT))</f>
        <v>#REF!</v>
      </c>
    </row>
    <row r="842" spans="1:4" x14ac:dyDescent="0.25">
      <c r="A842" s="170" t="s">
        <v>844</v>
      </c>
      <c r="B842" s="171" t="e">
        <f>IF(ISTEXT(([0]!P_1_13.1.3 [0]!Qté)),0,([0]!P_1_13.1.3 [0]!Qté))</f>
        <v>#REF!</v>
      </c>
      <c r="C842" s="172" t="e">
        <f>([0]!P_1_13.1.3 [0]!PU)</f>
        <v>#REF!</v>
      </c>
      <c r="D842" s="172" t="e">
        <f>IF(ISTEXT(([0]!P_1_13.1.3 [0]!MT)),0,([0]!P_1_13.1.3 [0]!MT))</f>
        <v>#REF!</v>
      </c>
    </row>
    <row r="843" spans="1:4" x14ac:dyDescent="0.25">
      <c r="A843" s="170" t="s">
        <v>845</v>
      </c>
      <c r="B843" s="171" t="e">
        <f>IF(ISTEXT(([0]!P_1_13.1.4 [0]!Qté)),0,([0]!P_1_13.1.4 [0]!Qté))</f>
        <v>#REF!</v>
      </c>
      <c r="C843" s="172" t="e">
        <f>([0]!P_1_13.1.4 [0]!PU)</f>
        <v>#REF!</v>
      </c>
      <c r="D843" s="172" t="e">
        <f>IF(ISTEXT(([0]!P_1_13.1.4 [0]!MT)),0,([0]!P_1_13.1.4 [0]!MT))</f>
        <v>#REF!</v>
      </c>
    </row>
    <row r="844" spans="1:4" x14ac:dyDescent="0.25">
      <c r="A844" s="170" t="s">
        <v>846</v>
      </c>
      <c r="B844" s="171" t="e">
        <f>IF(ISTEXT(([0]!P_1_13.1.5 [0]!Qté)),0,([0]!P_1_13.1.5 [0]!Qté))</f>
        <v>#REF!</v>
      </c>
      <c r="C844" s="172" t="e">
        <f>([0]!P_1_13.1.5 [0]!PU)</f>
        <v>#REF!</v>
      </c>
      <c r="D844" s="172" t="e">
        <f>IF(ISTEXT(([0]!P_1_13.1.5 [0]!MT)),0,([0]!P_1_13.1.5 [0]!MT))</f>
        <v>#REF!</v>
      </c>
    </row>
    <row r="845" spans="1:4" x14ac:dyDescent="0.25">
      <c r="A845" s="170" t="s">
        <v>847</v>
      </c>
      <c r="B845" s="171" t="e">
        <f>IF(ISTEXT(([0]!P_1_13.1.6 [0]!Qté)),0,([0]!P_1_13.1.6 [0]!Qté))</f>
        <v>#REF!</v>
      </c>
      <c r="C845" s="172" t="e">
        <f>([0]!P_1_13.1.6 [0]!PU)</f>
        <v>#REF!</v>
      </c>
      <c r="D845" s="172" t="e">
        <f>IF(ISTEXT(([0]!P_1_13.1.6 [0]!MT)),0,([0]!P_1_13.1.6 [0]!MT))</f>
        <v>#REF!</v>
      </c>
    </row>
    <row r="846" spans="1:4" x14ac:dyDescent="0.25">
      <c r="A846" s="170" t="s">
        <v>848</v>
      </c>
      <c r="B846" s="171" t="e">
        <f>IF(ISTEXT(([0]!P_1_13.1.7 [0]!Qté)),0,([0]!P_1_13.1.7 [0]!Qté))</f>
        <v>#REF!</v>
      </c>
      <c r="C846" s="172" t="e">
        <f>([0]!P_1_13.1.7 [0]!PU)</f>
        <v>#REF!</v>
      </c>
      <c r="D846" s="172" t="e">
        <f>IF(ISTEXT(([0]!P_1_13.1.7 [0]!MT)),0,([0]!P_1_13.1.7 [0]!MT))</f>
        <v>#REF!</v>
      </c>
    </row>
    <row r="847" spans="1:4" x14ac:dyDescent="0.25">
      <c r="A847" s="170" t="s">
        <v>849</v>
      </c>
      <c r="B847" s="171" t="e">
        <f>IF(ISTEXT(([0]!P_1_13.1.8 [0]!Qté)),0,([0]!P_1_13.1.8 [0]!Qté))</f>
        <v>#REF!</v>
      </c>
      <c r="C847" s="172" t="e">
        <f>([0]!P_1_13.1.8 [0]!PU)</f>
        <v>#REF!</v>
      </c>
      <c r="D847" s="172" t="e">
        <f>IF(ISTEXT(([0]!P_1_13.1.8 [0]!MT)),0,([0]!P_1_13.1.8 [0]!MT))</f>
        <v>#REF!</v>
      </c>
    </row>
    <row r="848" spans="1:4" x14ac:dyDescent="0.25">
      <c r="A848" s="170" t="s">
        <v>850</v>
      </c>
      <c r="B848" s="171" t="e">
        <f>IF(ISTEXT(([0]!P_1_13.1.9 [0]!Qté)),0,([0]!P_1_13.1.9 [0]!Qté))</f>
        <v>#REF!</v>
      </c>
      <c r="C848" s="172" t="e">
        <f>([0]!P_1_13.1.9 [0]!PU)</f>
        <v>#REF!</v>
      </c>
      <c r="D848" s="172" t="e">
        <f>IF(ISTEXT(([0]!P_1_13.1.9 [0]!MT)),0,([0]!P_1_13.1.9 [0]!MT))</f>
        <v>#REF!</v>
      </c>
    </row>
    <row r="849" spans="1:4" x14ac:dyDescent="0.25">
      <c r="A849" s="170" t="s">
        <v>851</v>
      </c>
      <c r="B849" s="171" t="e">
        <f>IF(ISTEXT(([0]!P_1_13.1.10 [0]!Qté)),0,([0]!P_1_13.1.10 [0]!Qté))</f>
        <v>#REF!</v>
      </c>
      <c r="C849" s="172" t="e">
        <f>([0]!P_1_13.1.10 [0]!PU)</f>
        <v>#REF!</v>
      </c>
      <c r="D849" s="172" t="e">
        <f>IF(ISTEXT(([0]!P_1_13.1.10 [0]!MT)),0,([0]!P_1_13.1.10 [0]!MT))</f>
        <v>#REF!</v>
      </c>
    </row>
    <row r="850" spans="1:4" x14ac:dyDescent="0.25">
      <c r="A850" s="170" t="s">
        <v>852</v>
      </c>
      <c r="B850" s="171" t="e">
        <f>IF(ISTEXT(([0]!P_1_13.1.11 [0]!Qté)),0,([0]!P_1_13.1.11 [0]!Qté))</f>
        <v>#REF!</v>
      </c>
      <c r="C850" s="172" t="e">
        <f>([0]!P_1_13.1.11 [0]!PU)</f>
        <v>#REF!</v>
      </c>
      <c r="D850" s="172" t="e">
        <f>IF(ISTEXT(([0]!P_1_13.1.11 [0]!MT)),0,([0]!P_1_13.1.11 [0]!MT))</f>
        <v>#REF!</v>
      </c>
    </row>
    <row r="851" spans="1:4" x14ac:dyDescent="0.25">
      <c r="A851" s="170" t="s">
        <v>853</v>
      </c>
      <c r="B851" s="171" t="e">
        <f>IF(ISTEXT(([0]!P_1_13.1.12 [0]!Qté)),0,([0]!P_1_13.1.12 [0]!Qté))</f>
        <v>#REF!</v>
      </c>
      <c r="C851" s="172" t="e">
        <f>([0]!P_1_13.1.12 [0]!PU)</f>
        <v>#REF!</v>
      </c>
      <c r="D851" s="172" t="e">
        <f>IF(ISTEXT(([0]!P_1_13.1.12 [0]!MT)),0,([0]!P_1_13.1.12 [0]!MT))</f>
        <v>#REF!</v>
      </c>
    </row>
    <row r="852" spans="1:4" x14ac:dyDescent="0.25">
      <c r="A852" s="170" t="s">
        <v>854</v>
      </c>
      <c r="B852" s="171" t="e">
        <f>IF(ISTEXT(([0]!P_1_13.1.13 [0]!Qté)),0,([0]!P_1_13.1.13 [0]!Qté))</f>
        <v>#REF!</v>
      </c>
      <c r="C852" s="172" t="e">
        <f>([0]!P_1_13.1.13 [0]!PU)</f>
        <v>#REF!</v>
      </c>
      <c r="D852" s="172" t="e">
        <f>IF(ISTEXT(([0]!P_1_13.1.13 [0]!MT)),0,([0]!P_1_13.1.13 [0]!MT))</f>
        <v>#REF!</v>
      </c>
    </row>
    <row r="853" spans="1:4" x14ac:dyDescent="0.25">
      <c r="A853" s="170" t="s">
        <v>855</v>
      </c>
      <c r="B853" s="171" t="e">
        <f>IF(ISTEXT(([0]!P_1_13.2.1 [0]!Qté)),0,([0]!P_1_13.2.1 [0]!Qté))</f>
        <v>#REF!</v>
      </c>
      <c r="C853" s="172" t="e">
        <f>([0]!P_1_13.2.1 [0]!PU)</f>
        <v>#REF!</v>
      </c>
      <c r="D853" s="172" t="e">
        <f>IF(ISTEXT(([0]!P_1_13.2.1 [0]!MT)),0,([0]!P_1_13.2.1 [0]!MT))</f>
        <v>#REF!</v>
      </c>
    </row>
    <row r="854" spans="1:4" x14ac:dyDescent="0.25">
      <c r="A854" s="170" t="s">
        <v>856</v>
      </c>
      <c r="B854" s="171" t="e">
        <f>IF(ISTEXT(([0]!P_1_13.2.2 [0]!Qté)),0,([0]!P_1_13.2.2 [0]!Qté))</f>
        <v>#REF!</v>
      </c>
      <c r="C854" s="172" t="e">
        <f>([0]!P_1_13.2.2 [0]!PU)</f>
        <v>#REF!</v>
      </c>
      <c r="D854" s="172" t="e">
        <f>IF(ISTEXT(([0]!P_1_13.2.2 [0]!MT)),0,([0]!P_1_13.2.2 [0]!MT))</f>
        <v>#REF!</v>
      </c>
    </row>
    <row r="855" spans="1:4" x14ac:dyDescent="0.25">
      <c r="A855" s="170" t="s">
        <v>857</v>
      </c>
      <c r="B855" s="171" t="e">
        <f>IF(ISTEXT(([0]!P_1_13.2.3 [0]!Qté)),0,([0]!P_1_13.2.3 [0]!Qté))</f>
        <v>#REF!</v>
      </c>
      <c r="C855" s="172" t="e">
        <f>([0]!P_1_13.2.3 [0]!PU)</f>
        <v>#REF!</v>
      </c>
      <c r="D855" s="172" t="e">
        <f>IF(ISTEXT(([0]!P_1_13.2.3 [0]!MT)),0,([0]!P_1_13.2.3 [0]!MT))</f>
        <v>#REF!</v>
      </c>
    </row>
    <row r="856" spans="1:4" x14ac:dyDescent="0.25">
      <c r="A856" s="170" t="s">
        <v>858</v>
      </c>
      <c r="B856" s="171" t="e">
        <f>IF(ISTEXT(([0]!P_1_13.2.4 [0]!Qté)),0,([0]!P_1_13.2.4 [0]!Qté))</f>
        <v>#REF!</v>
      </c>
      <c r="C856" s="172" t="e">
        <f>([0]!P_1_13.2.4 [0]!PU)</f>
        <v>#REF!</v>
      </c>
      <c r="D856" s="172" t="e">
        <f>IF(ISTEXT(([0]!P_1_13.2.4 [0]!MT)),0,([0]!P_1_13.2.4 [0]!MT))</f>
        <v>#REF!</v>
      </c>
    </row>
    <row r="857" spans="1:4" x14ac:dyDescent="0.25">
      <c r="A857" s="170" t="s">
        <v>859</v>
      </c>
      <c r="B857" s="171" t="e">
        <f>IF(ISTEXT(([0]!P_1_13.2.5 [0]!Qté)),0,([0]!P_1_13.2.5 [0]!Qté))</f>
        <v>#REF!</v>
      </c>
      <c r="C857" s="172" t="e">
        <f>([0]!P_1_13.2.5 [0]!PU)</f>
        <v>#REF!</v>
      </c>
      <c r="D857" s="172" t="e">
        <f>IF(ISTEXT(([0]!P_1_13.2.5 [0]!MT)),0,([0]!P_1_13.2.5 [0]!MT))</f>
        <v>#REF!</v>
      </c>
    </row>
    <row r="858" spans="1:4" x14ac:dyDescent="0.25">
      <c r="A858" s="170" t="s">
        <v>860</v>
      </c>
      <c r="B858" s="171" t="e">
        <f>IF(ISTEXT(([0]!P_1_13.2.6 [0]!Qté)),0,([0]!P_1_13.2.6 [0]!Qté))</f>
        <v>#REF!</v>
      </c>
      <c r="C858" s="172" t="e">
        <f>([0]!P_1_13.2.6 [0]!PU)</f>
        <v>#REF!</v>
      </c>
      <c r="D858" s="172" t="e">
        <f>IF(ISTEXT(([0]!P_1_13.2.6 [0]!MT)),0,([0]!P_1_13.2.6 [0]!MT))</f>
        <v>#REF!</v>
      </c>
    </row>
    <row r="859" spans="1:4" x14ac:dyDescent="0.25">
      <c r="A859" s="170" t="s">
        <v>861</v>
      </c>
      <c r="B859" s="171" t="e">
        <f>IF(ISTEXT(([0]!P_1_13.2.7 [0]!Qté)),0,([0]!P_1_13.2.7 [0]!Qté))</f>
        <v>#REF!</v>
      </c>
      <c r="C859" s="172" t="e">
        <f>([0]!P_1_13.2.7 [0]!PU)</f>
        <v>#REF!</v>
      </c>
      <c r="D859" s="172" t="e">
        <f>IF(ISTEXT(([0]!P_1_13.2.7 [0]!MT)),0,([0]!P_1_13.2.7 [0]!MT))</f>
        <v>#REF!</v>
      </c>
    </row>
    <row r="860" spans="1:4" x14ac:dyDescent="0.25">
      <c r="A860" s="170" t="s">
        <v>862</v>
      </c>
      <c r="B860" s="171" t="e">
        <f>IF(ISTEXT(([0]!P_1_13.2.8 [0]!Qté)),0,([0]!P_1_13.2.8 [0]!Qté))</f>
        <v>#REF!</v>
      </c>
      <c r="C860" s="172" t="e">
        <f>([0]!P_1_13.2.8 [0]!PU)</f>
        <v>#REF!</v>
      </c>
      <c r="D860" s="172" t="e">
        <f>IF(ISTEXT(([0]!P_1_13.2.8 [0]!MT)),0,([0]!P_1_13.2.8 [0]!MT))</f>
        <v>#REF!</v>
      </c>
    </row>
    <row r="861" spans="1:4" x14ac:dyDescent="0.25">
      <c r="A861" s="170" t="s">
        <v>863</v>
      </c>
      <c r="B861" s="171" t="e">
        <f>IF(ISTEXT(([0]!P_1_13.2.9 [0]!Qté)),0,([0]!P_1_13.2.9 [0]!Qté))</f>
        <v>#REF!</v>
      </c>
      <c r="C861" s="172" t="e">
        <f>([0]!P_1_13.2.9 [0]!PU)</f>
        <v>#REF!</v>
      </c>
      <c r="D861" s="172" t="e">
        <f>IF(ISTEXT(([0]!P_1_13.2.9 [0]!MT)),0,([0]!P_1_13.2.9 [0]!MT))</f>
        <v>#REF!</v>
      </c>
    </row>
    <row r="862" spans="1:4" x14ac:dyDescent="0.25">
      <c r="A862" s="170" t="s">
        <v>864</v>
      </c>
      <c r="B862" s="171" t="e">
        <f>IF(ISTEXT(([0]!P_1_13.2.10 [0]!Qté)),0,([0]!P_1_13.2.10 [0]!Qté))</f>
        <v>#REF!</v>
      </c>
      <c r="C862" s="172" t="e">
        <f>([0]!P_1_13.2.10 [0]!PU)</f>
        <v>#REF!</v>
      </c>
      <c r="D862" s="172" t="e">
        <f>IF(ISTEXT(([0]!P_1_13.2.10 [0]!MT)),0,([0]!P_1_13.2.10 [0]!MT))</f>
        <v>#REF!</v>
      </c>
    </row>
    <row r="863" spans="1:4" x14ac:dyDescent="0.25">
      <c r="A863" s="170" t="s">
        <v>865</v>
      </c>
      <c r="B863" s="171" t="e">
        <f>IF(ISTEXT(([0]!P_1_13.3.1 [0]!Qté)),0,([0]!P_1_13.3.1 [0]!Qté))</f>
        <v>#REF!</v>
      </c>
      <c r="C863" s="172" t="e">
        <f>([0]!P_1_13.3.1 [0]!PU)</f>
        <v>#REF!</v>
      </c>
      <c r="D863" s="172" t="e">
        <f>IF(ISTEXT(([0]!P_1_13.3.1 [0]!MT)),0,([0]!P_1_13.3.1 [0]!MT))</f>
        <v>#REF!</v>
      </c>
    </row>
    <row r="864" spans="1:4" x14ac:dyDescent="0.25">
      <c r="A864" s="170" t="s">
        <v>866</v>
      </c>
      <c r="B864" s="171" t="e">
        <f>IF(ISTEXT(([0]!P_1_13.3.2 [0]!Qté)),0,([0]!P_1_13.3.2 [0]!Qté))</f>
        <v>#REF!</v>
      </c>
      <c r="C864" s="172" t="e">
        <f>([0]!P_1_13.3.2 [0]!PU)</f>
        <v>#REF!</v>
      </c>
      <c r="D864" s="172" t="e">
        <f>IF(ISTEXT(([0]!P_1_13.3.2 [0]!MT)),0,([0]!P_1_13.3.2 [0]!MT))</f>
        <v>#REF!</v>
      </c>
    </row>
    <row r="865" spans="1:4" x14ac:dyDescent="0.25">
      <c r="A865" s="170" t="s">
        <v>867</v>
      </c>
      <c r="B865" s="171" t="e">
        <f>IF(ISTEXT(([0]!P_1_13.3.3 [0]!Qté)),0,([0]!P_1_13.3.3 [0]!Qté))</f>
        <v>#REF!</v>
      </c>
      <c r="C865" s="172" t="e">
        <f>([0]!P_1_13.3.3 [0]!PU)</f>
        <v>#REF!</v>
      </c>
      <c r="D865" s="172" t="e">
        <f>IF(ISTEXT(([0]!P_1_13.3.3 [0]!MT)),0,([0]!P_1_13.3.3 [0]!MT))</f>
        <v>#REF!</v>
      </c>
    </row>
    <row r="866" spans="1:4" x14ac:dyDescent="0.25">
      <c r="A866" s="170" t="s">
        <v>868</v>
      </c>
      <c r="B866" s="171" t="e">
        <f>IF(ISTEXT(([0]!P_1_13.3.4 [0]!Qté)),0,([0]!P_1_13.3.4 [0]!Qté))</f>
        <v>#REF!</v>
      </c>
      <c r="C866" s="172" t="e">
        <f>([0]!P_1_13.3.4 [0]!PU)</f>
        <v>#REF!</v>
      </c>
      <c r="D866" s="172" t="e">
        <f>IF(ISTEXT(([0]!P_1_13.3.4 [0]!MT)),0,([0]!P_1_13.3.4 [0]!MT))</f>
        <v>#REF!</v>
      </c>
    </row>
    <row r="867" spans="1:4" x14ac:dyDescent="0.25">
      <c r="A867" s="170" t="s">
        <v>869</v>
      </c>
      <c r="B867" s="171" t="e">
        <f>IF(ISTEXT(([0]!P_1_13.3.5 [0]!Qté)),0,([0]!P_1_13.3.5 [0]!Qté))</f>
        <v>#REF!</v>
      </c>
      <c r="C867" s="172" t="e">
        <f>([0]!P_1_13.3.5 [0]!PU)</f>
        <v>#REF!</v>
      </c>
      <c r="D867" s="172" t="e">
        <f>IF(ISTEXT(([0]!P_1_13.3.5 [0]!MT)),0,([0]!P_1_13.3.5 [0]!MT))</f>
        <v>#REF!</v>
      </c>
    </row>
    <row r="868" spans="1:4" x14ac:dyDescent="0.25">
      <c r="A868" s="170" t="s">
        <v>870</v>
      </c>
      <c r="B868" s="171" t="e">
        <f>IF(ISTEXT(([0]!P_1_13.3.6 [0]!Qté)),0,([0]!P_1_13.3.6 [0]!Qté))</f>
        <v>#REF!</v>
      </c>
      <c r="C868" s="172" t="e">
        <f>([0]!P_1_13.3.6 [0]!PU)</f>
        <v>#REF!</v>
      </c>
      <c r="D868" s="172" t="e">
        <f>IF(ISTEXT(([0]!P_1_13.3.6 [0]!MT)),0,([0]!P_1_13.3.6 [0]!MT))</f>
        <v>#REF!</v>
      </c>
    </row>
    <row r="869" spans="1:4" x14ac:dyDescent="0.25">
      <c r="A869" s="170" t="s">
        <v>871</v>
      </c>
      <c r="B869" s="171" t="e">
        <f>IF(ISTEXT(([0]!P_1_13.3.7 [0]!Qté)),0,([0]!P_1_13.3.7 [0]!Qté))</f>
        <v>#REF!</v>
      </c>
      <c r="C869" s="172" t="e">
        <f>([0]!P_1_13.3.7 [0]!PU)</f>
        <v>#REF!</v>
      </c>
      <c r="D869" s="172" t="e">
        <f>IF(ISTEXT(([0]!P_1_13.3.7 [0]!MT)),0,([0]!P_1_13.3.7 [0]!MT))</f>
        <v>#REF!</v>
      </c>
    </row>
    <row r="870" spans="1:4" x14ac:dyDescent="0.25">
      <c r="A870" s="170" t="s">
        <v>872</v>
      </c>
      <c r="B870" s="171" t="e">
        <f>IF(ISTEXT(([0]!P_1_13.3.8 [0]!Qté)),0,([0]!P_1_13.3.8 [0]!Qté))</f>
        <v>#REF!</v>
      </c>
      <c r="C870" s="172" t="e">
        <f>([0]!P_1_13.3.8 [0]!PU)</f>
        <v>#REF!</v>
      </c>
      <c r="D870" s="172" t="e">
        <f>IF(ISTEXT(([0]!P_1_13.3.8 [0]!MT)),0,([0]!P_1_13.3.8 [0]!MT))</f>
        <v>#REF!</v>
      </c>
    </row>
    <row r="871" spans="1:4" x14ac:dyDescent="0.25">
      <c r="A871" s="170" t="s">
        <v>873</v>
      </c>
      <c r="B871" s="171" t="e">
        <f>IF(ISTEXT(([0]!P_1_13.3.9 [0]!Qté)),0,([0]!P_1_13.3.9 [0]!Qté))</f>
        <v>#REF!</v>
      </c>
      <c r="C871" s="172" t="e">
        <f>([0]!P_1_13.3.9 [0]!PU)</f>
        <v>#REF!</v>
      </c>
      <c r="D871" s="172" t="e">
        <f>IF(ISTEXT(([0]!P_1_13.3.9 [0]!MT)),0,([0]!P_1_13.3.9 [0]!MT))</f>
        <v>#REF!</v>
      </c>
    </row>
    <row r="872" spans="1:4" x14ac:dyDescent="0.25">
      <c r="A872" s="170" t="s">
        <v>874</v>
      </c>
      <c r="B872" s="171" t="e">
        <f>IF(ISTEXT(([0]!P_1_13.3.10 [0]!Qté)),0,([0]!P_1_13.3.10 [0]!Qté))</f>
        <v>#REF!</v>
      </c>
      <c r="C872" s="172" t="e">
        <f>([0]!P_1_13.3.10 [0]!PU)</f>
        <v>#REF!</v>
      </c>
      <c r="D872" s="172" t="e">
        <f>IF(ISTEXT(([0]!P_1_13.3.10 [0]!MT)),0,([0]!P_1_13.3.10 [0]!MT))</f>
        <v>#REF!</v>
      </c>
    </row>
    <row r="873" spans="1:4" x14ac:dyDescent="0.25">
      <c r="A873" s="170" t="s">
        <v>875</v>
      </c>
      <c r="B873" s="171" t="e">
        <f>IF(ISTEXT(([0]!P_1_13.4.1 [0]!Qté)),0,([0]!P_1_13.4.1 [0]!Qté))</f>
        <v>#REF!</v>
      </c>
      <c r="C873" s="172" t="e">
        <f>([0]!P_1_13.4.1 [0]!PU)</f>
        <v>#REF!</v>
      </c>
      <c r="D873" s="172" t="e">
        <f>IF(ISTEXT(([0]!P_1_13.4.1 [0]!MT)),0,([0]!P_1_13.4.1 [0]!MT))</f>
        <v>#REF!</v>
      </c>
    </row>
    <row r="874" spans="1:4" x14ac:dyDescent="0.25">
      <c r="A874" s="170" t="s">
        <v>876</v>
      </c>
      <c r="B874" s="171" t="e">
        <f>IF(ISTEXT(([0]!P_1_13.4.2 [0]!Qté)),0,([0]!P_1_13.4.2 [0]!Qté))</f>
        <v>#REF!</v>
      </c>
      <c r="C874" s="172" t="e">
        <f>([0]!P_1_13.4.2 [0]!PU)</f>
        <v>#REF!</v>
      </c>
      <c r="D874" s="172" t="e">
        <f>IF(ISTEXT(([0]!P_1_13.4.2 [0]!MT)),0,([0]!P_1_13.4.2 [0]!MT))</f>
        <v>#REF!</v>
      </c>
    </row>
    <row r="875" spans="1:4" x14ac:dyDescent="0.25">
      <c r="A875" s="170" t="s">
        <v>877</v>
      </c>
      <c r="B875" s="171" t="e">
        <f>IF(ISTEXT(([0]!P_1_13.4.3 [0]!Qté)),0,([0]!P_1_13.4.3 [0]!Qté))</f>
        <v>#REF!</v>
      </c>
      <c r="C875" s="172" t="e">
        <f>([0]!P_1_13.4.3 [0]!PU)</f>
        <v>#REF!</v>
      </c>
      <c r="D875" s="172" t="e">
        <f>IF(ISTEXT(([0]!P_1_13.4.3 [0]!MT)),0,([0]!P_1_13.4.3 [0]!MT))</f>
        <v>#REF!</v>
      </c>
    </row>
    <row r="876" spans="1:4" x14ac:dyDescent="0.25">
      <c r="A876" s="170" t="s">
        <v>878</v>
      </c>
      <c r="B876" s="171" t="e">
        <f>IF(ISTEXT(([0]!P_1_13.5.1 [0]!Qté)),0,([0]!P_1_13.5.1 [0]!Qté))</f>
        <v>#REF!</v>
      </c>
      <c r="C876" s="172" t="e">
        <f>([0]!P_1_13.5.1 [0]!PU)</f>
        <v>#REF!</v>
      </c>
      <c r="D876" s="172" t="e">
        <f>IF(ISTEXT(([0]!P_1_13.5.1 [0]!MT)),0,([0]!P_1_13.5.1 [0]!MT))</f>
        <v>#REF!</v>
      </c>
    </row>
    <row r="877" spans="1:4" x14ac:dyDescent="0.25">
      <c r="A877" s="170" t="s">
        <v>879</v>
      </c>
      <c r="B877" s="171" t="e">
        <f>IF(ISTEXT(([0]!P_1_13.5.2 [0]!Qté)),0,([0]!P_1_13.5.2 [0]!Qté))</f>
        <v>#REF!</v>
      </c>
      <c r="C877" s="172" t="e">
        <f>([0]!P_1_13.5.2 [0]!PU)</f>
        <v>#REF!</v>
      </c>
      <c r="D877" s="172" t="e">
        <f>IF(ISTEXT(([0]!P_1_13.5.2 [0]!MT)),0,([0]!P_1_13.5.2 [0]!MT))</f>
        <v>#REF!</v>
      </c>
    </row>
    <row r="878" spans="1:4" x14ac:dyDescent="0.25">
      <c r="A878" s="170" t="s">
        <v>880</v>
      </c>
      <c r="B878" s="171" t="e">
        <f>IF(ISTEXT(([0]!P_1_13.5.3 [0]!Qté)),0,([0]!P_1_13.5.3 [0]!Qté))</f>
        <v>#REF!</v>
      </c>
      <c r="C878" s="172" t="e">
        <f>([0]!P_1_13.5.3 [0]!PU)</f>
        <v>#REF!</v>
      </c>
      <c r="D878" s="172" t="e">
        <f>IF(ISTEXT(([0]!P_1_13.5.3 [0]!MT)),0,([0]!P_1_13.5.3 [0]!MT))</f>
        <v>#REF!</v>
      </c>
    </row>
    <row r="879" spans="1:4" x14ac:dyDescent="0.25">
      <c r="A879" s="170" t="s">
        <v>881</v>
      </c>
      <c r="B879" s="171" t="e">
        <f>IF(ISTEXT(([0]!P_1_13.5.4 [0]!Qté)),0,([0]!P_1_13.5.4 [0]!Qté))</f>
        <v>#REF!</v>
      </c>
      <c r="C879" s="172" t="e">
        <f>([0]!P_1_13.5.4 [0]!PU)</f>
        <v>#REF!</v>
      </c>
      <c r="D879" s="172" t="e">
        <f>IF(ISTEXT(([0]!P_1_13.5.4 [0]!MT)),0,([0]!P_1_13.5.4 [0]!MT))</f>
        <v>#REF!</v>
      </c>
    </row>
    <row r="880" spans="1:4" x14ac:dyDescent="0.25">
      <c r="A880" s="170" t="s">
        <v>882</v>
      </c>
      <c r="B880" s="171" t="e">
        <f>IF(ISTEXT(([0]!P_1_13.6.1 [0]!Qté)),0,([0]!P_1_13.6.1 [0]!Qté))</f>
        <v>#REF!</v>
      </c>
      <c r="C880" s="172" t="e">
        <f>([0]!P_1_13.6.1 [0]!PU)</f>
        <v>#REF!</v>
      </c>
      <c r="D880" s="172" t="e">
        <f>IF(ISTEXT(([0]!P_1_13.6.1 [0]!MT)),0,([0]!P_1_13.6.1 [0]!MT))</f>
        <v>#REF!</v>
      </c>
    </row>
    <row r="881" spans="1:4" x14ac:dyDescent="0.25">
      <c r="A881" s="170" t="s">
        <v>883</v>
      </c>
      <c r="B881" s="171" t="e">
        <f>IF(ISTEXT(([0]!P_1_13.6.2 [0]!Qté)),0,([0]!P_1_13.6.2 [0]!Qté))</f>
        <v>#REF!</v>
      </c>
      <c r="C881" s="172" t="e">
        <f>([0]!P_1_13.6.2 [0]!PU)</f>
        <v>#REF!</v>
      </c>
      <c r="D881" s="172" t="e">
        <f>IF(ISTEXT(([0]!P_1_13.6.2 [0]!MT)),0,([0]!P_1_13.6.2 [0]!MT))</f>
        <v>#REF!</v>
      </c>
    </row>
    <row r="882" spans="1:4" x14ac:dyDescent="0.25">
      <c r="A882" s="170" t="s">
        <v>884</v>
      </c>
      <c r="B882" s="171" t="e">
        <f>IF(ISTEXT(([0]!P_1_13.6.3 [0]!Qté)),0,([0]!P_1_13.6.3 [0]!Qté))</f>
        <v>#REF!</v>
      </c>
      <c r="C882" s="172" t="e">
        <f>([0]!P_1_13.6.3 [0]!PU)</f>
        <v>#REF!</v>
      </c>
      <c r="D882" s="172" t="e">
        <f>IF(ISTEXT(([0]!P_1_13.6.3 [0]!MT)),0,([0]!P_1_13.6.3 [0]!MT))</f>
        <v>#REF!</v>
      </c>
    </row>
    <row r="883" spans="1:4" x14ac:dyDescent="0.25">
      <c r="A883" s="170" t="s">
        <v>885</v>
      </c>
      <c r="B883" s="171" t="e">
        <f>IF(ISTEXT(([0]!P_1_13.6.4 [0]!Qté)),0,([0]!P_1_13.6.4 [0]!Qté))</f>
        <v>#REF!</v>
      </c>
      <c r="C883" s="172" t="e">
        <f>([0]!P_1_13.6.4 [0]!PU)</f>
        <v>#REF!</v>
      </c>
      <c r="D883" s="172" t="e">
        <f>IF(ISTEXT(([0]!P_1_13.6.4 [0]!MT)),0,([0]!P_1_13.6.4 [0]!MT))</f>
        <v>#REF!</v>
      </c>
    </row>
    <row r="884" spans="1:4" x14ac:dyDescent="0.25">
      <c r="A884" s="170" t="s">
        <v>886</v>
      </c>
      <c r="B884" s="171" t="e">
        <f>IF(ISTEXT(([0]!P_1_13.6.5 [0]!Qté)),0,([0]!P_1_13.6.5 [0]!Qté))</f>
        <v>#REF!</v>
      </c>
      <c r="C884" s="172" t="e">
        <f>([0]!P_1_13.6.5 [0]!PU)</f>
        <v>#REF!</v>
      </c>
      <c r="D884" s="172" t="e">
        <f>IF(ISTEXT(([0]!P_1_13.6.5 [0]!MT)),0,([0]!P_1_13.6.5 [0]!MT))</f>
        <v>#REF!</v>
      </c>
    </row>
    <row r="885" spans="1:4" x14ac:dyDescent="0.25">
      <c r="A885" s="170" t="s">
        <v>887</v>
      </c>
      <c r="B885" s="171" t="e">
        <f>IF(ISTEXT(([0]!P_1_13.6.6 [0]!Qté)),0,([0]!P_1_13.6.6 [0]!Qté))</f>
        <v>#REF!</v>
      </c>
      <c r="C885" s="172" t="e">
        <f>([0]!P_1_13.6.6 [0]!PU)</f>
        <v>#REF!</v>
      </c>
      <c r="D885" s="172" t="e">
        <f>IF(ISTEXT(([0]!P_1_13.6.6 [0]!MT)),0,([0]!P_1_13.6.6 [0]!MT))</f>
        <v>#REF!</v>
      </c>
    </row>
    <row r="886" spans="1:4" x14ac:dyDescent="0.25">
      <c r="A886" s="170" t="s">
        <v>888</v>
      </c>
      <c r="B886" s="171" t="e">
        <f>IF(ISTEXT(([0]!P_1_13.6.7 [0]!Qté)),0,([0]!P_1_13.6.7 [0]!Qté))</f>
        <v>#REF!</v>
      </c>
      <c r="C886" s="172" t="e">
        <f>([0]!P_1_13.6.7 [0]!PU)</f>
        <v>#REF!</v>
      </c>
      <c r="D886" s="172" t="e">
        <f>IF(ISTEXT(([0]!P_1_13.6.7 [0]!MT)),0,([0]!P_1_13.6.7 [0]!MT))</f>
        <v>#REF!</v>
      </c>
    </row>
    <row r="887" spans="1:4" x14ac:dyDescent="0.25">
      <c r="A887" s="170" t="s">
        <v>889</v>
      </c>
      <c r="B887" s="171" t="e">
        <f>IF(ISTEXT(([0]!P_1_13.6.8 [0]!Qté)),0,([0]!P_1_13.6.8 [0]!Qté))</f>
        <v>#REF!</v>
      </c>
      <c r="C887" s="172" t="e">
        <f>([0]!P_1_13.6.8 [0]!PU)</f>
        <v>#REF!</v>
      </c>
      <c r="D887" s="172" t="e">
        <f>IF(ISTEXT(([0]!P_1_13.6.8 [0]!MT)),0,([0]!P_1_13.6.8 [0]!MT))</f>
        <v>#REF!</v>
      </c>
    </row>
    <row r="888" spans="1:4" x14ac:dyDescent="0.25">
      <c r="A888" s="170" t="s">
        <v>890</v>
      </c>
      <c r="B888" s="171" t="e">
        <f>IF(ISTEXT(([0]!P_1_13.6.9 [0]!Qté)),0,([0]!P_1_13.6.9 [0]!Qté))</f>
        <v>#REF!</v>
      </c>
      <c r="C888" s="172" t="e">
        <f>([0]!P_1_13.6.9 [0]!PU)</f>
        <v>#REF!</v>
      </c>
      <c r="D888" s="172" t="e">
        <f>IF(ISTEXT(([0]!P_1_13.6.9 [0]!MT)),0,([0]!P_1_13.6.9 [0]!MT))</f>
        <v>#REF!</v>
      </c>
    </row>
    <row r="889" spans="1:4" x14ac:dyDescent="0.25">
      <c r="A889" s="170" t="s">
        <v>891</v>
      </c>
      <c r="B889" s="171" t="e">
        <f>IF(ISTEXT(([0]!P_1_13.6.10 [0]!Qté)),0,([0]!P_1_13.6.10 [0]!Qté))</f>
        <v>#REF!</v>
      </c>
      <c r="C889" s="172" t="e">
        <f>([0]!P_1_13.6.10 [0]!PU)</f>
        <v>#REF!</v>
      </c>
      <c r="D889" s="172" t="e">
        <f>IF(ISTEXT(([0]!P_1_13.6.10 [0]!MT)),0,([0]!P_1_13.6.10 [0]!MT))</f>
        <v>#REF!</v>
      </c>
    </row>
    <row r="890" spans="1:4" x14ac:dyDescent="0.25">
      <c r="A890" s="170" t="s">
        <v>892</v>
      </c>
      <c r="B890" s="171" t="e">
        <f>IF(ISTEXT(([0]!P_1_13.6.11 [0]!Qté)),0,([0]!P_1_13.6.11 [0]!Qté))</f>
        <v>#REF!</v>
      </c>
      <c r="C890" s="172" t="e">
        <f>([0]!P_1_13.6.11 [0]!PU)</f>
        <v>#REF!</v>
      </c>
      <c r="D890" s="172" t="e">
        <f>IF(ISTEXT(([0]!P_1_13.6.11 [0]!MT)),0,([0]!P_1_13.6.11 [0]!MT))</f>
        <v>#REF!</v>
      </c>
    </row>
    <row r="891" spans="1:4" x14ac:dyDescent="0.25">
      <c r="A891" s="170" t="s">
        <v>893</v>
      </c>
      <c r="B891" s="171" t="e">
        <f>IF(ISTEXT(([0]!P_1_13.6.12 [0]!Qté)),0,([0]!P_1_13.6.12 [0]!Qté))</f>
        <v>#REF!</v>
      </c>
      <c r="C891" s="172" t="e">
        <f>([0]!P_1_13.6.12 [0]!PU)</f>
        <v>#REF!</v>
      </c>
      <c r="D891" s="172" t="e">
        <f>IF(ISTEXT(([0]!P_1_13.6.12 [0]!MT)),0,([0]!P_1_13.6.12 [0]!MT))</f>
        <v>#REF!</v>
      </c>
    </row>
    <row r="892" spans="1:4" x14ac:dyDescent="0.25">
      <c r="A892" s="170" t="s">
        <v>894</v>
      </c>
      <c r="B892" s="171" t="e">
        <f>IF(ISTEXT(([0]!P_1_13.6.13 [0]!Qté)),0,([0]!P_1_13.6.13 [0]!Qté))</f>
        <v>#REF!</v>
      </c>
      <c r="C892" s="172" t="e">
        <f>([0]!P_1_13.6.13 [0]!PU)</f>
        <v>#REF!</v>
      </c>
      <c r="D892" s="172" t="e">
        <f>IF(ISTEXT(([0]!P_1_13.6.13 [0]!MT)),0,([0]!P_1_13.6.13 [0]!MT))</f>
        <v>#REF!</v>
      </c>
    </row>
    <row r="893" spans="1:4" x14ac:dyDescent="0.25">
      <c r="A893" s="170" t="s">
        <v>895</v>
      </c>
      <c r="B893" s="171" t="e">
        <f>IF(ISTEXT(([0]!P_1_13.6.14 [0]!Qté)),0,([0]!P_1_13.6.14 [0]!Qté))</f>
        <v>#REF!</v>
      </c>
      <c r="C893" s="172" t="e">
        <f>([0]!P_1_13.6.14 [0]!PU)</f>
        <v>#REF!</v>
      </c>
      <c r="D893" s="172" t="e">
        <f>IF(ISTEXT(([0]!P_1_13.6.14 [0]!MT)),0,([0]!P_1_13.6.14 [0]!MT))</f>
        <v>#REF!</v>
      </c>
    </row>
    <row r="894" spans="1:4" x14ac:dyDescent="0.25">
      <c r="A894" s="170" t="s">
        <v>896</v>
      </c>
      <c r="B894" s="171" t="e">
        <f>IF(ISTEXT(([0]!P_1_13.6.15 [0]!Qté)),0,([0]!P_1_13.6.15 [0]!Qté))</f>
        <v>#REF!</v>
      </c>
      <c r="C894" s="172" t="e">
        <f>([0]!P_1_13.6.15 [0]!PU)</f>
        <v>#REF!</v>
      </c>
      <c r="D894" s="172" t="e">
        <f>IF(ISTEXT(([0]!P_1_13.6.15 [0]!MT)),0,([0]!P_1_13.6.15 [0]!MT))</f>
        <v>#REF!</v>
      </c>
    </row>
    <row r="895" spans="1:4" x14ac:dyDescent="0.25">
      <c r="A895" s="170" t="s">
        <v>897</v>
      </c>
      <c r="B895" s="171" t="e">
        <f>IF(ISTEXT(([0]!P_1_13.6.16 [0]!Qté)),0,([0]!P_1_13.6.16 [0]!Qté))</f>
        <v>#REF!</v>
      </c>
      <c r="C895" s="172" t="e">
        <f>([0]!P_1_13.6.16 [0]!PU)</f>
        <v>#REF!</v>
      </c>
      <c r="D895" s="172" t="e">
        <f>IF(ISTEXT(([0]!P_1_13.6.16 [0]!MT)),0,([0]!P_1_13.6.16 [0]!MT))</f>
        <v>#REF!</v>
      </c>
    </row>
    <row r="896" spans="1:4" x14ac:dyDescent="0.25">
      <c r="A896" s="170" t="s">
        <v>898</v>
      </c>
      <c r="B896" s="171" t="e">
        <f>IF(ISTEXT(([0]!P_1_13.6.17 [0]!Qté)),0,([0]!P_1_13.6.17 [0]!Qté))</f>
        <v>#REF!</v>
      </c>
      <c r="C896" s="172" t="e">
        <f>([0]!P_1_13.6.17 [0]!PU)</f>
        <v>#REF!</v>
      </c>
      <c r="D896" s="172" t="e">
        <f>IF(ISTEXT(([0]!P_1_13.6.17 [0]!MT)),0,([0]!P_1_13.6.17 [0]!MT))</f>
        <v>#REF!</v>
      </c>
    </row>
    <row r="897" spans="1:4" x14ac:dyDescent="0.25">
      <c r="A897" s="170" t="s">
        <v>899</v>
      </c>
      <c r="B897" s="171" t="e">
        <f>IF(ISTEXT(([0]!P_1_13.6.18 [0]!Qté)),0,([0]!P_1_13.6.18 [0]!Qté))</f>
        <v>#REF!</v>
      </c>
      <c r="C897" s="172" t="e">
        <f>([0]!P_1_13.6.18 [0]!PU)</f>
        <v>#REF!</v>
      </c>
      <c r="D897" s="172" t="e">
        <f>IF(ISTEXT(([0]!P_1_13.6.18 [0]!MT)),0,([0]!P_1_13.6.18 [0]!MT))</f>
        <v>#REF!</v>
      </c>
    </row>
    <row r="898" spans="1:4" x14ac:dyDescent="0.25">
      <c r="A898" s="170" t="s">
        <v>900</v>
      </c>
      <c r="B898" s="171" t="e">
        <f>IF(ISTEXT(([0]!P_1_13.6.19 [0]!Qté)),0,([0]!P_1_13.6.19 [0]!Qté))</f>
        <v>#REF!</v>
      </c>
      <c r="C898" s="172" t="e">
        <f>([0]!P_1_13.6.19 [0]!PU)</f>
        <v>#REF!</v>
      </c>
      <c r="D898" s="172" t="e">
        <f>IF(ISTEXT(([0]!P_1_13.6.19 [0]!MT)),0,([0]!P_1_13.6.19 [0]!MT))</f>
        <v>#REF!</v>
      </c>
    </row>
    <row r="899" spans="1:4" x14ac:dyDescent="0.25">
      <c r="A899" s="170" t="s">
        <v>901</v>
      </c>
      <c r="B899" s="171" t="e">
        <f>IF(ISTEXT(([0]!P_1_13.6.20 [0]!Qté)),0,([0]!P_1_13.6.20 [0]!Qté))</f>
        <v>#REF!</v>
      </c>
      <c r="C899" s="172" t="e">
        <f>([0]!P_1_13.6.20 [0]!PU)</f>
        <v>#REF!</v>
      </c>
      <c r="D899" s="172" t="e">
        <f>IF(ISTEXT(([0]!P_1_13.6.20 [0]!MT)),0,([0]!P_1_13.6.20 [0]!MT))</f>
        <v>#REF!</v>
      </c>
    </row>
    <row r="900" spans="1:4" x14ac:dyDescent="0.25">
      <c r="A900" s="170" t="s">
        <v>902</v>
      </c>
      <c r="B900" s="171" t="e">
        <f>IF(ISTEXT(([0]!P_1_13.7.1 [0]!Qté)),0,([0]!P_1_13.7.1 [0]!Qté))</f>
        <v>#REF!</v>
      </c>
      <c r="C900" s="172" t="e">
        <f>([0]!P_1_13.7.1 [0]!PU)</f>
        <v>#REF!</v>
      </c>
      <c r="D900" s="172" t="e">
        <f>IF(ISTEXT(([0]!P_1_13.7.1 [0]!MT)),0,([0]!P_1_13.7.1 [0]!MT))</f>
        <v>#REF!</v>
      </c>
    </row>
    <row r="901" spans="1:4" x14ac:dyDescent="0.25">
      <c r="A901" s="170" t="s">
        <v>903</v>
      </c>
      <c r="B901" s="171" t="e">
        <f>IF(ISTEXT(([0]!P_1_13.7.2 [0]!Qté)),0,([0]!P_1_13.7.2 [0]!Qté))</f>
        <v>#REF!</v>
      </c>
      <c r="C901" s="172" t="e">
        <f>([0]!P_1_13.7.2 [0]!PU)</f>
        <v>#REF!</v>
      </c>
      <c r="D901" s="172" t="e">
        <f>IF(ISTEXT(([0]!P_1_13.7.2 [0]!MT)),0,([0]!P_1_13.7.2 [0]!MT))</f>
        <v>#REF!</v>
      </c>
    </row>
    <row r="902" spans="1:4" x14ac:dyDescent="0.25">
      <c r="A902" s="170" t="s">
        <v>904</v>
      </c>
      <c r="B902" s="171" t="e">
        <f>IF(ISTEXT(([0]!P_1_13.7.3 [0]!Qté)),0,([0]!P_1_13.7.3 [0]!Qté))</f>
        <v>#REF!</v>
      </c>
      <c r="C902" s="172" t="e">
        <f>([0]!P_1_13.7.3 [0]!PU)</f>
        <v>#REF!</v>
      </c>
      <c r="D902" s="172" t="e">
        <f>IF(ISTEXT(([0]!P_1_13.7.3 [0]!MT)),0,([0]!P_1_13.7.3 [0]!MT))</f>
        <v>#REF!</v>
      </c>
    </row>
    <row r="903" spans="1:4" x14ac:dyDescent="0.25">
      <c r="A903" s="170" t="s">
        <v>905</v>
      </c>
      <c r="B903" s="171" t="e">
        <f>IF(ISTEXT(([0]!P_1_13.7.4 [0]!Qté)),0,([0]!P_1_13.7.4 [0]!Qté))</f>
        <v>#REF!</v>
      </c>
      <c r="C903" s="172" t="e">
        <f>([0]!P_1_13.7.4 [0]!PU)</f>
        <v>#REF!</v>
      </c>
      <c r="D903" s="172" t="e">
        <f>IF(ISTEXT(([0]!P_1_13.7.4 [0]!MT)),0,([0]!P_1_13.7.4 [0]!MT))</f>
        <v>#REF!</v>
      </c>
    </row>
    <row r="904" spans="1:4" x14ac:dyDescent="0.25">
      <c r="A904" s="170" t="s">
        <v>906</v>
      </c>
      <c r="B904" s="171" t="e">
        <f>IF(ISTEXT(([0]!P_1_13.7.5 [0]!Qté)),0,([0]!P_1_13.7.5 [0]!Qté))</f>
        <v>#REF!</v>
      </c>
      <c r="C904" s="172" t="e">
        <f>([0]!P_1_13.7.5 [0]!PU)</f>
        <v>#REF!</v>
      </c>
      <c r="D904" s="172" t="e">
        <f>IF(ISTEXT(([0]!P_1_13.7.5 [0]!MT)),0,([0]!P_1_13.7.5 [0]!MT))</f>
        <v>#REF!</v>
      </c>
    </row>
    <row r="905" spans="1:4" x14ac:dyDescent="0.25">
      <c r="A905" s="170" t="s">
        <v>907</v>
      </c>
      <c r="B905" s="171" t="e">
        <f>IF(ISTEXT(([0]!P_1_13.7.6 [0]!Qté)),0,([0]!P_1_13.7.6 [0]!Qté))</f>
        <v>#REF!</v>
      </c>
      <c r="C905" s="172" t="e">
        <f>([0]!P_1_13.7.6 [0]!PU)</f>
        <v>#REF!</v>
      </c>
      <c r="D905" s="172" t="e">
        <f>IF(ISTEXT(([0]!P_1_13.7.6 [0]!MT)),0,([0]!P_1_13.7.6 [0]!MT))</f>
        <v>#REF!</v>
      </c>
    </row>
    <row r="906" spans="1:4" x14ac:dyDescent="0.25">
      <c r="A906" s="170" t="s">
        <v>908</v>
      </c>
      <c r="B906" s="171" t="e">
        <f>IF(ISTEXT(([0]!P_1_13.7.7 [0]!Qté)),0,([0]!P_1_13.7.7 [0]!Qté))</f>
        <v>#REF!</v>
      </c>
      <c r="C906" s="172" t="e">
        <f>([0]!P_1_13.7.7 [0]!PU)</f>
        <v>#REF!</v>
      </c>
      <c r="D906" s="172" t="e">
        <f>IF(ISTEXT(([0]!P_1_13.7.7 [0]!MT)),0,([0]!P_1_13.7.7 [0]!MT))</f>
        <v>#REF!</v>
      </c>
    </row>
    <row r="907" spans="1:4" x14ac:dyDescent="0.25">
      <c r="A907" s="170" t="s">
        <v>909</v>
      </c>
      <c r="B907" s="171" t="e">
        <f>IF(ISTEXT(([0]!P_1_13.7.8 [0]!Qté)),0,([0]!P_1_13.7.8 [0]!Qté))</f>
        <v>#REF!</v>
      </c>
      <c r="C907" s="172" t="e">
        <f>([0]!P_1_13.7.8 [0]!PU)</f>
        <v>#REF!</v>
      </c>
      <c r="D907" s="172" t="e">
        <f>IF(ISTEXT(([0]!P_1_13.7.8 [0]!MT)),0,([0]!P_1_13.7.8 [0]!MT))</f>
        <v>#REF!</v>
      </c>
    </row>
    <row r="908" spans="1:4" x14ac:dyDescent="0.25">
      <c r="A908" s="170" t="s">
        <v>910</v>
      </c>
      <c r="B908" s="171" t="e">
        <f>IF(ISTEXT(([0]!P_1_13.7.9 [0]!Qté)),0,([0]!P_1_13.7.9 [0]!Qté))</f>
        <v>#REF!</v>
      </c>
      <c r="C908" s="172" t="e">
        <f>([0]!P_1_13.7.9 [0]!PU)</f>
        <v>#REF!</v>
      </c>
      <c r="D908" s="172" t="e">
        <f>IF(ISTEXT(([0]!P_1_13.7.9 [0]!MT)),0,([0]!P_1_13.7.9 [0]!MT))</f>
        <v>#REF!</v>
      </c>
    </row>
    <row r="909" spans="1:4" x14ac:dyDescent="0.25">
      <c r="A909" s="170" t="s">
        <v>911</v>
      </c>
      <c r="B909" s="171" t="e">
        <f>IF(ISTEXT(([0]!P_1_13.7.10 [0]!Qté)),0,([0]!P_1_13.7.10 [0]!Qté))</f>
        <v>#REF!</v>
      </c>
      <c r="C909" s="172" t="e">
        <f>([0]!P_1_13.7.10 [0]!PU)</f>
        <v>#REF!</v>
      </c>
      <c r="D909" s="172" t="e">
        <f>IF(ISTEXT(([0]!P_1_13.7.10 [0]!MT)),0,([0]!P_1_13.7.10 [0]!MT))</f>
        <v>#REF!</v>
      </c>
    </row>
    <row r="910" spans="1:4" x14ac:dyDescent="0.25">
      <c r="A910" s="170" t="s">
        <v>912</v>
      </c>
      <c r="B910" s="171" t="e">
        <f>IF(ISTEXT(([0]!P_1_13.7.11 [0]!Qté)),0,([0]!P_1_13.7.11 [0]!Qté))</f>
        <v>#REF!</v>
      </c>
      <c r="C910" s="172" t="e">
        <f>([0]!P_1_13.7.11 [0]!PU)</f>
        <v>#REF!</v>
      </c>
      <c r="D910" s="172" t="e">
        <f>IF(ISTEXT(([0]!P_1_13.7.11 [0]!MT)),0,([0]!P_1_13.7.11 [0]!MT))</f>
        <v>#REF!</v>
      </c>
    </row>
    <row r="911" spans="1:4" x14ac:dyDescent="0.25">
      <c r="A911" s="170" t="s">
        <v>913</v>
      </c>
      <c r="B911" s="171" t="e">
        <f>IF(ISTEXT(([0]!P_1_13.7.12 [0]!Qté)),0,([0]!P_1_13.7.12 [0]!Qté))</f>
        <v>#REF!</v>
      </c>
      <c r="C911" s="172" t="e">
        <f>([0]!P_1_13.7.12 [0]!PU)</f>
        <v>#REF!</v>
      </c>
      <c r="D911" s="172" t="e">
        <f>IF(ISTEXT(([0]!P_1_13.7.12 [0]!MT)),0,([0]!P_1_13.7.12 [0]!MT))</f>
        <v>#REF!</v>
      </c>
    </row>
    <row r="912" spans="1:4" x14ac:dyDescent="0.25">
      <c r="A912" s="170" t="s">
        <v>914</v>
      </c>
      <c r="B912" s="171" t="e">
        <f>IF(ISTEXT(([0]!P_1_13.7.13 [0]!Qté)),0,([0]!P_1_13.7.13 [0]!Qté))</f>
        <v>#REF!</v>
      </c>
      <c r="C912" s="172" t="e">
        <f>([0]!P_1_13.7.13 [0]!PU)</f>
        <v>#REF!</v>
      </c>
      <c r="D912" s="172" t="e">
        <f>IF(ISTEXT(([0]!P_1_13.7.13 [0]!MT)),0,([0]!P_1_13.7.13 [0]!MT))</f>
        <v>#REF!</v>
      </c>
    </row>
    <row r="913" spans="1:4" x14ac:dyDescent="0.25">
      <c r="A913" s="170" t="s">
        <v>915</v>
      </c>
      <c r="B913" s="171" t="e">
        <f>IF(ISTEXT(([0]!P_1_13.7.14 [0]!Qté)),0,([0]!P_1_13.7.14 [0]!Qté))</f>
        <v>#REF!</v>
      </c>
      <c r="C913" s="172" t="e">
        <f>([0]!P_1_13.7.14 [0]!PU)</f>
        <v>#REF!</v>
      </c>
      <c r="D913" s="172" t="e">
        <f>IF(ISTEXT(([0]!P_1_13.7.14 [0]!MT)),0,([0]!P_1_13.7.14 [0]!MT))</f>
        <v>#REF!</v>
      </c>
    </row>
    <row r="914" spans="1:4" x14ac:dyDescent="0.25">
      <c r="A914" s="170" t="s">
        <v>916</v>
      </c>
      <c r="B914" s="171" t="e">
        <f>IF(ISTEXT(([0]!P_1_13.8.1 [0]!Qté)),0,([0]!P_1_13.8.1 [0]!Qté))</f>
        <v>#REF!</v>
      </c>
      <c r="C914" s="172" t="e">
        <f>([0]!P_1_13.8.1 [0]!PU)</f>
        <v>#REF!</v>
      </c>
      <c r="D914" s="172" t="e">
        <f>IF(ISTEXT(([0]!P_1_13.8.1 [0]!MT)),0,([0]!P_1_13.8.1 [0]!MT))</f>
        <v>#REF!</v>
      </c>
    </row>
    <row r="915" spans="1:4" x14ac:dyDescent="0.25">
      <c r="A915" s="170" t="s">
        <v>917</v>
      </c>
      <c r="B915" s="171" t="e">
        <f>IF(ISTEXT(([0]!P_1_13.8.2 [0]!Qté)),0,([0]!P_1_13.8.2 [0]!Qté))</f>
        <v>#REF!</v>
      </c>
      <c r="C915" s="172" t="e">
        <f>([0]!P_1_13.8.2 [0]!PU)</f>
        <v>#REF!</v>
      </c>
      <c r="D915" s="172" t="e">
        <f>IF(ISTEXT(([0]!P_1_13.8.2 [0]!MT)),0,([0]!P_1_13.8.2 [0]!MT))</f>
        <v>#REF!</v>
      </c>
    </row>
    <row r="916" spans="1:4" x14ac:dyDescent="0.25">
      <c r="A916" s="170" t="s">
        <v>918</v>
      </c>
      <c r="B916" s="171" t="e">
        <f>IF(ISTEXT(([0]!P_1_13.8.3 [0]!Qté)),0,([0]!P_1_13.8.3 [0]!Qté))</f>
        <v>#REF!</v>
      </c>
      <c r="C916" s="172" t="e">
        <f>([0]!P_1_13.8.3 [0]!PU)</f>
        <v>#REF!</v>
      </c>
      <c r="D916" s="172" t="e">
        <f>IF(ISTEXT(([0]!P_1_13.8.3 [0]!MT)),0,([0]!P_1_13.8.3 [0]!MT))</f>
        <v>#REF!</v>
      </c>
    </row>
    <row r="917" spans="1:4" x14ac:dyDescent="0.25">
      <c r="A917" s="170" t="s">
        <v>919</v>
      </c>
      <c r="B917" s="171" t="e">
        <f>IF(ISTEXT(([0]!P_1_13.8.4 [0]!Qté)),0,([0]!P_1_13.8.4 [0]!Qté))</f>
        <v>#REF!</v>
      </c>
      <c r="C917" s="172" t="e">
        <f>([0]!P_1_13.8.4 [0]!PU)</f>
        <v>#REF!</v>
      </c>
      <c r="D917" s="172" t="e">
        <f>IF(ISTEXT(([0]!P_1_13.8.4 [0]!MT)),0,([0]!P_1_13.8.4 [0]!MT))</f>
        <v>#REF!</v>
      </c>
    </row>
    <row r="918" spans="1:4" x14ac:dyDescent="0.25">
      <c r="A918" s="170" t="s">
        <v>920</v>
      </c>
      <c r="B918" s="171" t="e">
        <f>IF(ISTEXT(([0]!P_1_13.8.5 [0]!Qté)),0,([0]!P_1_13.8.5 [0]!Qté))</f>
        <v>#REF!</v>
      </c>
      <c r="C918" s="172" t="e">
        <f>([0]!P_1_13.8.5 [0]!PU)</f>
        <v>#REF!</v>
      </c>
      <c r="D918" s="172" t="e">
        <f>IF(ISTEXT(([0]!P_1_13.8.5 [0]!MT)),0,([0]!P_1_13.8.5 [0]!MT))</f>
        <v>#REF!</v>
      </c>
    </row>
    <row r="919" spans="1:4" x14ac:dyDescent="0.25">
      <c r="A919" s="170" t="s">
        <v>921</v>
      </c>
      <c r="B919" s="171" t="e">
        <f>IF(ISTEXT(([0]!P_1_13.8.6 [0]!Qté)),0,([0]!P_1_13.8.6 [0]!Qté))</f>
        <v>#REF!</v>
      </c>
      <c r="C919" s="172" t="e">
        <f>([0]!P_1_13.8.6 [0]!PU)</f>
        <v>#REF!</v>
      </c>
      <c r="D919" s="172" t="e">
        <f>IF(ISTEXT(([0]!P_1_13.8.6 [0]!MT)),0,([0]!P_1_13.8.6 [0]!MT))</f>
        <v>#REF!</v>
      </c>
    </row>
    <row r="920" spans="1:4" x14ac:dyDescent="0.25">
      <c r="A920" s="170" t="s">
        <v>922</v>
      </c>
      <c r="B920" s="171" t="e">
        <f>IF(ISTEXT(([0]!P_1_13.8.7 [0]!Qté)),0,([0]!P_1_13.8.7 [0]!Qté))</f>
        <v>#REF!</v>
      </c>
      <c r="C920" s="172" t="e">
        <f>([0]!P_1_13.8.7 [0]!PU)</f>
        <v>#REF!</v>
      </c>
      <c r="D920" s="172" t="e">
        <f>IF(ISTEXT(([0]!P_1_13.8.7 [0]!MT)),0,([0]!P_1_13.8.7 [0]!MT))</f>
        <v>#REF!</v>
      </c>
    </row>
    <row r="921" spans="1:4" x14ac:dyDescent="0.25">
      <c r="A921" s="170" t="s">
        <v>923</v>
      </c>
      <c r="B921" s="171" t="e">
        <f>IF(ISTEXT(([0]!P_1_13.8.8 [0]!Qté)),0,([0]!P_1_13.8.8 [0]!Qté))</f>
        <v>#REF!</v>
      </c>
      <c r="C921" s="172" t="e">
        <f>([0]!P_1_13.8.8 [0]!PU)</f>
        <v>#REF!</v>
      </c>
      <c r="D921" s="172" t="e">
        <f>IF(ISTEXT(([0]!P_1_13.8.8 [0]!MT)),0,([0]!P_1_13.8.8 [0]!MT))</f>
        <v>#REF!</v>
      </c>
    </row>
    <row r="922" spans="1:4" x14ac:dyDescent="0.25">
      <c r="A922" s="170" t="s">
        <v>924</v>
      </c>
      <c r="B922" s="171" t="e">
        <f>IF(ISTEXT(([0]!P_1_13.8.9 [0]!Qté)),0,([0]!P_1_13.8.9 [0]!Qté))</f>
        <v>#REF!</v>
      </c>
      <c r="C922" s="172" t="e">
        <f>([0]!P_1_13.8.9 [0]!PU)</f>
        <v>#REF!</v>
      </c>
      <c r="D922" s="172" t="e">
        <f>IF(ISTEXT(([0]!P_1_13.8.9 [0]!MT)),0,([0]!P_1_13.8.9 [0]!MT))</f>
        <v>#REF!</v>
      </c>
    </row>
    <row r="923" spans="1:4" x14ac:dyDescent="0.25">
      <c r="A923" s="170" t="s">
        <v>925</v>
      </c>
      <c r="B923" s="171" t="e">
        <f>IF(ISTEXT(([0]!P_1_13.8.10 [0]!Qté)),0,([0]!P_1_13.8.10 [0]!Qté))</f>
        <v>#REF!</v>
      </c>
      <c r="C923" s="172" t="e">
        <f>([0]!P_1_13.8.10 [0]!PU)</f>
        <v>#REF!</v>
      </c>
      <c r="D923" s="172" t="e">
        <f>IF(ISTEXT(([0]!P_1_13.8.10 [0]!MT)),0,([0]!P_1_13.8.10 [0]!MT))</f>
        <v>#REF!</v>
      </c>
    </row>
    <row r="924" spans="1:4" x14ac:dyDescent="0.25">
      <c r="A924" s="170" t="s">
        <v>926</v>
      </c>
      <c r="B924" s="171" t="e">
        <f>IF(ISTEXT(([0]!P_1_13.8.11 [0]!Qté)),0,([0]!P_1_13.8.11 [0]!Qté))</f>
        <v>#REF!</v>
      </c>
      <c r="C924" s="172" t="e">
        <f>([0]!P_1_13.8.11 [0]!PU)</f>
        <v>#REF!</v>
      </c>
      <c r="D924" s="172" t="e">
        <f>IF(ISTEXT(([0]!P_1_13.8.11 [0]!MT)),0,([0]!P_1_13.8.11 [0]!MT))</f>
        <v>#REF!</v>
      </c>
    </row>
    <row r="925" spans="1:4" x14ac:dyDescent="0.25">
      <c r="A925" s="170" t="s">
        <v>927</v>
      </c>
      <c r="B925" s="171" t="e">
        <f>IF(ISTEXT(([0]!P_1_13.8.12 [0]!Qté)),0,([0]!P_1_13.8.12 [0]!Qté))</f>
        <v>#REF!</v>
      </c>
      <c r="C925" s="172" t="e">
        <f>([0]!P_1_13.8.12 [0]!PU)</f>
        <v>#REF!</v>
      </c>
      <c r="D925" s="172" t="e">
        <f>IF(ISTEXT(([0]!P_1_13.8.12 [0]!MT)),0,([0]!P_1_13.8.12 [0]!MT))</f>
        <v>#REF!</v>
      </c>
    </row>
    <row r="926" spans="1:4" x14ac:dyDescent="0.25">
      <c r="A926" s="170" t="s">
        <v>928</v>
      </c>
      <c r="B926" s="171" t="e">
        <f>IF(ISTEXT(([0]!P_1_13.8.13 [0]!Qté)),0,([0]!P_1_13.8.13 [0]!Qté))</f>
        <v>#REF!</v>
      </c>
      <c r="C926" s="172" t="e">
        <f>([0]!P_1_13.8.13 [0]!PU)</f>
        <v>#REF!</v>
      </c>
      <c r="D926" s="172" t="e">
        <f>IF(ISTEXT(([0]!P_1_13.8.13 [0]!MT)),0,([0]!P_1_13.8.13 [0]!MT))</f>
        <v>#REF!</v>
      </c>
    </row>
    <row r="927" spans="1:4" x14ac:dyDescent="0.25">
      <c r="A927" s="170" t="s">
        <v>929</v>
      </c>
      <c r="B927" s="171" t="e">
        <f>IF(ISTEXT(([0]!P_1_13.8.14 [0]!Qté)),0,([0]!P_1_13.8.14 [0]!Qté))</f>
        <v>#REF!</v>
      </c>
      <c r="C927" s="172" t="e">
        <f>([0]!P_1_13.8.14 [0]!PU)</f>
        <v>#REF!</v>
      </c>
      <c r="D927" s="172" t="e">
        <f>IF(ISTEXT(([0]!P_1_13.8.14 [0]!MT)),0,([0]!P_1_13.8.14 [0]!MT))</f>
        <v>#REF!</v>
      </c>
    </row>
    <row r="928" spans="1:4" x14ac:dyDescent="0.25">
      <c r="A928" s="170" t="s">
        <v>930</v>
      </c>
      <c r="B928" s="171" t="e">
        <f>IF(ISTEXT(([0]!P_1_13.8.15 [0]!Qté)),0,([0]!P_1_13.8.15 [0]!Qté))</f>
        <v>#REF!</v>
      </c>
      <c r="C928" s="172" t="e">
        <f>([0]!P_1_13.8.15 [0]!PU)</f>
        <v>#REF!</v>
      </c>
      <c r="D928" s="172" t="e">
        <f>IF(ISTEXT(([0]!P_1_13.8.15 [0]!MT)),0,([0]!P_1_13.8.15 [0]!MT))</f>
        <v>#REF!</v>
      </c>
    </row>
    <row r="929" spans="1:4" x14ac:dyDescent="0.25">
      <c r="A929" s="170" t="s">
        <v>931</v>
      </c>
      <c r="B929" s="171" t="e">
        <f>IF(ISTEXT(([0]!P_1_13.8.16 [0]!Qté)),0,([0]!P_1_13.8.16 [0]!Qté))</f>
        <v>#REF!</v>
      </c>
      <c r="C929" s="172" t="e">
        <f>([0]!P_1_13.8.16 [0]!PU)</f>
        <v>#REF!</v>
      </c>
      <c r="D929" s="172" t="e">
        <f>IF(ISTEXT(([0]!P_1_13.8.16 [0]!MT)),0,([0]!P_1_13.8.16 [0]!MT))</f>
        <v>#REF!</v>
      </c>
    </row>
    <row r="930" spans="1:4" x14ac:dyDescent="0.25">
      <c r="A930" s="170" t="s">
        <v>932</v>
      </c>
      <c r="B930" s="171" t="e">
        <f>IF(ISTEXT(([0]!P_1_13.8.17 [0]!Qté)),0,([0]!P_1_13.8.17 [0]!Qté))</f>
        <v>#REF!</v>
      </c>
      <c r="C930" s="172" t="e">
        <f>([0]!P_1_13.8.17 [0]!PU)</f>
        <v>#REF!</v>
      </c>
      <c r="D930" s="172" t="e">
        <f>IF(ISTEXT(([0]!P_1_13.8.17 [0]!MT)),0,([0]!P_1_13.8.17 [0]!MT))</f>
        <v>#REF!</v>
      </c>
    </row>
    <row r="931" spans="1:4" x14ac:dyDescent="0.25">
      <c r="A931" s="170" t="s">
        <v>933</v>
      </c>
      <c r="B931" s="171" t="e">
        <f>IF(ISTEXT(([0]!P_1_13.8.18 [0]!Qté)),0,([0]!P_1_13.8.18 [0]!Qté))</f>
        <v>#REF!</v>
      </c>
      <c r="C931" s="172" t="e">
        <f>([0]!P_1_13.8.18 [0]!PU)</f>
        <v>#REF!</v>
      </c>
      <c r="D931" s="172" t="e">
        <f>IF(ISTEXT(([0]!P_1_13.8.18 [0]!MT)),0,([0]!P_1_13.8.18 [0]!MT))</f>
        <v>#REF!</v>
      </c>
    </row>
    <row r="932" spans="1:4" x14ac:dyDescent="0.25">
      <c r="A932" s="170" t="s">
        <v>934</v>
      </c>
      <c r="B932" s="171" t="e">
        <f>IF(ISTEXT(([0]!P_1_13.8.19 [0]!Qté)),0,([0]!P_1_13.8.19 [0]!Qté))</f>
        <v>#REF!</v>
      </c>
      <c r="C932" s="172" t="e">
        <f>([0]!P_1_13.8.19 [0]!PU)</f>
        <v>#REF!</v>
      </c>
      <c r="D932" s="172" t="e">
        <f>IF(ISTEXT(([0]!P_1_13.8.19 [0]!MT)),0,([0]!P_1_13.8.19 [0]!MT))</f>
        <v>#REF!</v>
      </c>
    </row>
    <row r="933" spans="1:4" x14ac:dyDescent="0.25">
      <c r="A933" s="170" t="s">
        <v>935</v>
      </c>
      <c r="B933" s="171" t="e">
        <f>IF(ISTEXT(([0]!P_1_13.8.20 [0]!Qté)),0,([0]!P_1_13.8.20 [0]!Qté))</f>
        <v>#REF!</v>
      </c>
      <c r="C933" s="172" t="e">
        <f>([0]!P_1_13.8.20 [0]!PU)</f>
        <v>#REF!</v>
      </c>
      <c r="D933" s="172" t="e">
        <f>IF(ISTEXT(([0]!P_1_13.8.20 [0]!MT)),0,([0]!P_1_13.8.20 [0]!MT))</f>
        <v>#REF!</v>
      </c>
    </row>
    <row r="934" spans="1:4" x14ac:dyDescent="0.25">
      <c r="A934" s="170" t="s">
        <v>936</v>
      </c>
      <c r="B934" s="171" t="e">
        <f>IF(ISTEXT(([0]!P_1_13.8.21 [0]!Qté)),0,([0]!P_1_13.8.21 [0]!Qté))</f>
        <v>#REF!</v>
      </c>
      <c r="C934" s="172" t="e">
        <f>([0]!P_1_13.8.21 [0]!PU)</f>
        <v>#REF!</v>
      </c>
      <c r="D934" s="172" t="e">
        <f>IF(ISTEXT(([0]!P_1_13.8.21 [0]!MT)),0,([0]!P_1_13.8.21 [0]!MT))</f>
        <v>#REF!</v>
      </c>
    </row>
    <row r="935" spans="1:4" x14ac:dyDescent="0.25">
      <c r="A935" s="170" t="s">
        <v>937</v>
      </c>
      <c r="B935" s="171" t="e">
        <f>IF(ISTEXT(([0]!P_1_13.8.22 [0]!Qté)),0,([0]!P_1_13.8.22 [0]!Qté))</f>
        <v>#REF!</v>
      </c>
      <c r="C935" s="172" t="e">
        <f>([0]!P_1_13.8.22 [0]!PU)</f>
        <v>#REF!</v>
      </c>
      <c r="D935" s="172" t="e">
        <f>IF(ISTEXT(([0]!P_1_13.8.22 [0]!MT)),0,([0]!P_1_13.8.22 [0]!MT))</f>
        <v>#REF!</v>
      </c>
    </row>
    <row r="936" spans="1:4" x14ac:dyDescent="0.25">
      <c r="A936" s="170" t="s">
        <v>938</v>
      </c>
      <c r="B936" s="171" t="e">
        <f>IF(ISTEXT(([0]!P_1_13.8.23 [0]!Qté)),0,([0]!P_1_13.8.23 [0]!Qté))</f>
        <v>#REF!</v>
      </c>
      <c r="C936" s="172" t="e">
        <f>([0]!P_1_13.8.23 [0]!PU)</f>
        <v>#REF!</v>
      </c>
      <c r="D936" s="172" t="e">
        <f>IF(ISTEXT(([0]!P_1_13.8.23 [0]!MT)),0,([0]!P_1_13.8.23 [0]!MT))</f>
        <v>#REF!</v>
      </c>
    </row>
    <row r="937" spans="1:4" x14ac:dyDescent="0.25">
      <c r="A937" s="170" t="s">
        <v>939</v>
      </c>
      <c r="B937" s="171" t="e">
        <f>IF(ISTEXT(([0]!P_1_13.8.24 [0]!Qté)),0,([0]!P_1_13.8.24 [0]!Qté))</f>
        <v>#REF!</v>
      </c>
      <c r="C937" s="172" t="e">
        <f>([0]!P_1_13.8.24 [0]!PU)</f>
        <v>#REF!</v>
      </c>
      <c r="D937" s="172" t="e">
        <f>IF(ISTEXT(([0]!P_1_13.8.24 [0]!MT)),0,([0]!P_1_13.8.24 [0]!MT))</f>
        <v>#REF!</v>
      </c>
    </row>
    <row r="938" spans="1:4" x14ac:dyDescent="0.25">
      <c r="A938" s="170" t="s">
        <v>940</v>
      </c>
      <c r="B938" s="171" t="e">
        <f>IF(ISTEXT(([0]!P_1_13.8.25 [0]!Qté)),0,([0]!P_1_13.8.25 [0]!Qté))</f>
        <v>#REF!</v>
      </c>
      <c r="C938" s="172" t="e">
        <f>([0]!P_1_13.8.25 [0]!PU)</f>
        <v>#REF!</v>
      </c>
      <c r="D938" s="172" t="e">
        <f>IF(ISTEXT(([0]!P_1_13.8.25 [0]!MT)),0,([0]!P_1_13.8.25 [0]!MT))</f>
        <v>#REF!</v>
      </c>
    </row>
    <row r="939" spans="1:4" x14ac:dyDescent="0.25">
      <c r="A939" s="170" t="s">
        <v>941</v>
      </c>
      <c r="B939" s="171" t="e">
        <f>IF(ISTEXT(([0]!P_1_13.8.26 [0]!Qté)),0,([0]!P_1_13.8.26 [0]!Qté))</f>
        <v>#REF!</v>
      </c>
      <c r="C939" s="172" t="e">
        <f>([0]!P_1_13.8.26 [0]!PU)</f>
        <v>#REF!</v>
      </c>
      <c r="D939" s="172" t="e">
        <f>IF(ISTEXT(([0]!P_1_13.8.26 [0]!MT)),0,([0]!P_1_13.8.26 [0]!MT))</f>
        <v>#REF!</v>
      </c>
    </row>
    <row r="940" spans="1:4" x14ac:dyDescent="0.25">
      <c r="A940" s="170" t="s">
        <v>942</v>
      </c>
      <c r="B940" s="171" t="e">
        <f>IF(ISTEXT(([0]!P_1_13.8.27 [0]!Qté)),0,([0]!P_1_13.8.27 [0]!Qté))</f>
        <v>#REF!</v>
      </c>
      <c r="C940" s="172" t="e">
        <f>([0]!P_1_13.8.27 [0]!PU)</f>
        <v>#REF!</v>
      </c>
      <c r="D940" s="172" t="e">
        <f>IF(ISTEXT(([0]!P_1_13.8.27 [0]!MT)),0,([0]!P_1_13.8.27 [0]!MT))</f>
        <v>#REF!</v>
      </c>
    </row>
    <row r="941" spans="1:4" x14ac:dyDescent="0.25">
      <c r="A941" s="170" t="s">
        <v>943</v>
      </c>
      <c r="B941" s="171" t="e">
        <f>IF(ISTEXT(([0]!P_1_13.8.28 [0]!Qté)),0,([0]!P_1_13.8.28 [0]!Qté))</f>
        <v>#REF!</v>
      </c>
      <c r="C941" s="172" t="e">
        <f>([0]!P_1_13.8.28 [0]!PU)</f>
        <v>#REF!</v>
      </c>
      <c r="D941" s="172" t="e">
        <f>IF(ISTEXT(([0]!P_1_13.8.28 [0]!MT)),0,([0]!P_1_13.8.28 [0]!MT))</f>
        <v>#REF!</v>
      </c>
    </row>
    <row r="942" spans="1:4" x14ac:dyDescent="0.25">
      <c r="A942" s="170" t="s">
        <v>944</v>
      </c>
      <c r="B942" s="171" t="e">
        <f>IF(ISTEXT(([0]!P_1_13.8.29 [0]!Qté)),0,([0]!P_1_13.8.29 [0]!Qté))</f>
        <v>#REF!</v>
      </c>
      <c r="C942" s="172" t="e">
        <f>([0]!P_1_13.8.29 [0]!PU)</f>
        <v>#REF!</v>
      </c>
      <c r="D942" s="172" t="e">
        <f>IF(ISTEXT(([0]!P_1_13.8.29 [0]!MT)),0,([0]!P_1_13.8.29 [0]!MT))</f>
        <v>#REF!</v>
      </c>
    </row>
    <row r="943" spans="1:4" x14ac:dyDescent="0.25">
      <c r="A943" s="170" t="s">
        <v>945</v>
      </c>
      <c r="B943" s="171" t="e">
        <f>IF(ISTEXT(([0]!P_1_13.8.30 [0]!Qté)),0,([0]!P_1_13.8.30 [0]!Qté))</f>
        <v>#REF!</v>
      </c>
      <c r="C943" s="172" t="e">
        <f>([0]!P_1_13.8.30 [0]!PU)</f>
        <v>#REF!</v>
      </c>
      <c r="D943" s="172" t="e">
        <f>IF(ISTEXT(([0]!P_1_13.8.30 [0]!MT)),0,([0]!P_1_13.8.30 [0]!MT))</f>
        <v>#REF!</v>
      </c>
    </row>
    <row r="944" spans="1:4" x14ac:dyDescent="0.25">
      <c r="A944" s="170" t="s">
        <v>946</v>
      </c>
      <c r="B944" s="171" t="e">
        <f>IF(ISTEXT(([0]!P_1_13.8.31 [0]!Qté)),0,([0]!P_1_13.8.31 [0]!Qté))</f>
        <v>#REF!</v>
      </c>
      <c r="C944" s="172" t="e">
        <f>([0]!P_1_13.8.31 [0]!PU)</f>
        <v>#REF!</v>
      </c>
      <c r="D944" s="172" t="e">
        <f>IF(ISTEXT(([0]!P_1_13.8.31 [0]!MT)),0,([0]!P_1_13.8.31 [0]!MT))</f>
        <v>#REF!</v>
      </c>
    </row>
    <row r="945" spans="1:4" x14ac:dyDescent="0.25">
      <c r="A945" s="170" t="s">
        <v>947</v>
      </c>
      <c r="B945" s="171" t="e">
        <f>IF(ISTEXT(([0]!HT_0_HT01 [0]!Qté)),0,([0]!HT_0_HT01 [0]!Qté))</f>
        <v>#REF!</v>
      </c>
      <c r="C945" s="172" t="e">
        <f>([0]!HT_0_HT01 [0]!PU)</f>
        <v>#REF!</v>
      </c>
      <c r="D945" s="172" t="e">
        <f>IF(ISTEXT(([0]!HT_0_HT01 [0]!MT)),0,([0]!HT_0_HT01 [0]!MT))</f>
        <v>#REF!</v>
      </c>
    </row>
  </sheetData>
  <phoneticPr fontId="0"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791C1-BE2A-4C68-BF38-6BF646F1821C}">
  <sheetPr>
    <tabColor indexed="42"/>
    <pageSetUpPr fitToPage="1"/>
  </sheetPr>
  <dimension ref="A1:J31"/>
  <sheetViews>
    <sheetView tabSelected="1" workbookViewId="0">
      <selection activeCell="B9" sqref="B9"/>
    </sheetView>
  </sheetViews>
  <sheetFormatPr baseColWidth="10" defaultColWidth="11.44140625" defaultRowHeight="13.2" x14ac:dyDescent="0.25"/>
  <cols>
    <col min="1" max="1" width="6.109375" style="9" customWidth="1"/>
    <col min="2" max="2" width="125.6640625" style="9" customWidth="1"/>
    <col min="3" max="16384" width="11.44140625" style="9"/>
  </cols>
  <sheetData>
    <row r="1" spans="1:10" s="1" customFormat="1" ht="30.75" customHeight="1" x14ac:dyDescent="0.25">
      <c r="A1" s="33"/>
      <c r="B1" s="22" t="s">
        <v>948</v>
      </c>
      <c r="C1" s="33"/>
      <c r="D1" s="33"/>
      <c r="E1" s="33"/>
      <c r="F1" s="205"/>
      <c r="G1" s="205"/>
      <c r="H1" s="205"/>
      <c r="I1" s="205"/>
      <c r="J1" s="205"/>
    </row>
    <row r="2" spans="1:10" s="1" customFormat="1" ht="7.5" customHeight="1" x14ac:dyDescent="0.25">
      <c r="A2" s="206"/>
      <c r="B2" s="207"/>
      <c r="C2" s="208"/>
      <c r="D2" s="208"/>
      <c r="E2" s="208"/>
      <c r="F2" s="205"/>
      <c r="G2" s="205"/>
      <c r="H2" s="205"/>
      <c r="I2" s="205"/>
      <c r="J2" s="205"/>
    </row>
    <row r="3" spans="1:10" s="15" customFormat="1" ht="20.100000000000001" customHeight="1" x14ac:dyDescent="0.25">
      <c r="A3" s="34"/>
      <c r="B3" s="23" t="s">
        <v>949</v>
      </c>
      <c r="C3" s="34"/>
      <c r="D3" s="34"/>
      <c r="E3" s="34"/>
      <c r="F3" s="209"/>
      <c r="G3" s="209"/>
      <c r="H3" s="209"/>
      <c r="I3" s="209"/>
      <c r="J3" s="209"/>
    </row>
    <row r="4" spans="1:10" s="15" customFormat="1" ht="9.75" customHeight="1" x14ac:dyDescent="0.25">
      <c r="A4" s="23"/>
      <c r="B4" s="23"/>
      <c r="C4" s="23"/>
      <c r="D4" s="23"/>
      <c r="E4" s="23"/>
      <c r="F4" s="209"/>
      <c r="G4" s="209"/>
      <c r="H4" s="209"/>
      <c r="I4" s="209"/>
      <c r="J4" s="209"/>
    </row>
    <row r="5" spans="1:10" s="40" customFormat="1" x14ac:dyDescent="0.25">
      <c r="A5" s="36"/>
      <c r="B5" s="37" t="s">
        <v>950</v>
      </c>
      <c r="C5" s="36"/>
      <c r="D5" s="36"/>
      <c r="E5" s="36"/>
      <c r="F5" s="36"/>
      <c r="G5" s="36"/>
      <c r="H5" s="36"/>
      <c r="I5" s="36"/>
      <c r="J5" s="36"/>
    </row>
    <row r="6" spans="1:10" s="40" customFormat="1" x14ac:dyDescent="0.25">
      <c r="A6" s="36"/>
      <c r="B6" s="37" t="s">
        <v>4412</v>
      </c>
      <c r="C6" s="36"/>
      <c r="D6" s="36"/>
      <c r="E6" s="36"/>
      <c r="F6" s="36"/>
      <c r="G6" s="36"/>
      <c r="H6" s="36"/>
      <c r="I6" s="36"/>
      <c r="J6" s="36"/>
    </row>
    <row r="7" spans="1:10" s="40" customFormat="1" x14ac:dyDescent="0.25">
      <c r="A7" s="36"/>
      <c r="B7" s="37" t="s">
        <v>951</v>
      </c>
      <c r="C7" s="36"/>
      <c r="D7" s="36"/>
      <c r="E7" s="36"/>
      <c r="F7" s="36"/>
      <c r="G7" s="36"/>
      <c r="H7" s="36"/>
      <c r="I7" s="36"/>
      <c r="J7" s="36"/>
    </row>
    <row r="8" spans="1:10" s="40" customFormat="1" ht="26.4" x14ac:dyDescent="0.25">
      <c r="A8" s="36"/>
      <c r="B8" s="37" t="s">
        <v>952</v>
      </c>
      <c r="C8" s="36"/>
      <c r="D8" s="36"/>
      <c r="E8" s="36"/>
      <c r="F8" s="36"/>
      <c r="G8" s="36"/>
      <c r="H8" s="36"/>
      <c r="I8" s="36"/>
      <c r="J8" s="36"/>
    </row>
    <row r="10" spans="1:10" x14ac:dyDescent="0.25">
      <c r="B10" s="39" t="s">
        <v>953</v>
      </c>
    </row>
    <row r="11" spans="1:10" ht="26.4" x14ac:dyDescent="0.25">
      <c r="A11" s="35"/>
      <c r="B11" s="302" t="s">
        <v>4413</v>
      </c>
    </row>
    <row r="12" spans="1:10" ht="39.6" x14ac:dyDescent="0.25">
      <c r="A12" s="289"/>
      <c r="B12" s="41" t="s">
        <v>954</v>
      </c>
    </row>
    <row r="13" spans="1:10" s="73" customFormat="1" ht="27" customHeight="1" x14ac:dyDescent="0.25">
      <c r="A13" s="289"/>
      <c r="B13" s="37" t="s">
        <v>4414</v>
      </c>
    </row>
    <row r="14" spans="1:10" ht="39" customHeight="1" x14ac:dyDescent="0.25">
      <c r="A14" s="35"/>
      <c r="B14" s="41" t="s">
        <v>955</v>
      </c>
    </row>
    <row r="16" spans="1:10" x14ac:dyDescent="0.25">
      <c r="B16" s="39" t="s">
        <v>956</v>
      </c>
    </row>
    <row r="17" spans="2:2" x14ac:dyDescent="0.25">
      <c r="B17" s="37" t="s">
        <v>957</v>
      </c>
    </row>
    <row r="18" spans="2:2" x14ac:dyDescent="0.25">
      <c r="B18" s="37"/>
    </row>
    <row r="19" spans="2:2" x14ac:dyDescent="0.25">
      <c r="B19" s="39" t="s">
        <v>958</v>
      </c>
    </row>
    <row r="20" spans="2:2" x14ac:dyDescent="0.25">
      <c r="B20" s="37" t="s">
        <v>959</v>
      </c>
    </row>
    <row r="21" spans="2:2" x14ac:dyDescent="0.25">
      <c r="B21" s="42" t="s">
        <v>960</v>
      </c>
    </row>
    <row r="22" spans="2:2" x14ac:dyDescent="0.25">
      <c r="B22" s="42" t="s">
        <v>961</v>
      </c>
    </row>
    <row r="23" spans="2:2" x14ac:dyDescent="0.25">
      <c r="B23" s="37" t="s">
        <v>962</v>
      </c>
    </row>
    <row r="24" spans="2:2" ht="26.4" x14ac:dyDescent="0.25">
      <c r="B24" s="37" t="s">
        <v>963</v>
      </c>
    </row>
    <row r="25" spans="2:2" x14ac:dyDescent="0.25">
      <c r="B25" s="37"/>
    </row>
    <row r="26" spans="2:2" x14ac:dyDescent="0.25">
      <c r="B26" s="39" t="s">
        <v>964</v>
      </c>
    </row>
    <row r="27" spans="2:2" x14ac:dyDescent="0.25">
      <c r="B27" s="37" t="s">
        <v>965</v>
      </c>
    </row>
    <row r="28" spans="2:2" x14ac:dyDescent="0.25">
      <c r="B28" s="38" t="s">
        <v>966</v>
      </c>
    </row>
    <row r="29" spans="2:2" x14ac:dyDescent="0.25">
      <c r="B29" s="38" t="s">
        <v>967</v>
      </c>
    </row>
    <row r="30" spans="2:2" x14ac:dyDescent="0.25">
      <c r="B30" s="38" t="s">
        <v>968</v>
      </c>
    </row>
    <row r="31" spans="2:2" x14ac:dyDescent="0.25">
      <c r="B31" s="37" t="s">
        <v>969</v>
      </c>
    </row>
  </sheetData>
  <sheetProtection algorithmName="SHA-512" hashValue="EtpyzumV9rxj5O6/wsPFIPOMzMCx8eut9SL+hdwILFZiW4bUclPHiWf7EZTtE6n5bdAUPZr1BFFJVqfBsgQxtw==" saltValue="XQVtbHSXDgu1zLaM1Dc6Yw==" spinCount="100000" sheet="1" objects="1" scenarios="1"/>
  <mergeCells count="1">
    <mergeCell ref="A12:A13"/>
  </mergeCells>
  <phoneticPr fontId="12" type="noConversion"/>
  <printOptions horizontalCentered="1"/>
  <pageMargins left="0.47244094488188981" right="0.39370078740157483" top="0.98425196850393704" bottom="0.98425196850393704" header="0.51181102362204722" footer="0.51181102362204722"/>
  <pageSetup paperSize="9" scale="9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F7226-FFFA-4B6A-9BF0-A53786EE9AB8}">
  <sheetPr codeName="Feuil2">
    <tabColor indexed="39"/>
  </sheetPr>
  <dimension ref="A1:N2110"/>
  <sheetViews>
    <sheetView view="pageBreakPreview" topLeftCell="A2" zoomScaleNormal="100" zoomScaleSheetLayoutView="100" workbookViewId="0">
      <selection activeCell="D9" sqref="D9"/>
    </sheetView>
  </sheetViews>
  <sheetFormatPr baseColWidth="10" defaultColWidth="11.44140625" defaultRowHeight="12" x14ac:dyDescent="0.25"/>
  <cols>
    <col min="1" max="1" width="14.6640625" style="108" customWidth="1"/>
    <col min="2" max="2" width="88.33203125" style="109" customWidth="1"/>
    <col min="3" max="3" width="13" style="110" customWidth="1"/>
    <col min="4" max="4" width="11.5546875" style="160" customWidth="1"/>
    <col min="5" max="5" width="11.5546875" style="111" customWidth="1"/>
    <col min="6" max="6" width="17.33203125" style="112" customWidth="1"/>
    <col min="7" max="7" width="18.109375" style="154" bestFit="1" customWidth="1"/>
    <col min="8" max="16384" width="11.44140625" style="113"/>
  </cols>
  <sheetData>
    <row r="1" spans="1:7" s="91" customFormat="1" ht="30.75" customHeight="1" x14ac:dyDescent="0.25">
      <c r="A1" s="290"/>
      <c r="B1" s="173" t="s">
        <v>948</v>
      </c>
      <c r="C1" s="173"/>
      <c r="D1" s="174"/>
      <c r="E1" s="173"/>
      <c r="F1" s="173"/>
      <c r="G1" s="173"/>
    </row>
    <row r="2" spans="1:7" s="91" customFormat="1" ht="30" customHeight="1" x14ac:dyDescent="0.25">
      <c r="A2" s="290"/>
      <c r="B2" s="210" t="s">
        <v>970</v>
      </c>
      <c r="C2" s="210"/>
      <c r="D2" s="211"/>
      <c r="E2" s="210"/>
      <c r="F2" s="210"/>
      <c r="G2" s="210"/>
    </row>
    <row r="3" spans="1:7" s="92" customFormat="1" ht="20.100000000000001" customHeight="1" x14ac:dyDescent="0.25">
      <c r="A3" s="212"/>
      <c r="B3" s="175" t="s">
        <v>971</v>
      </c>
      <c r="C3" s="166"/>
      <c r="D3" s="166"/>
      <c r="E3" s="166"/>
      <c r="F3" s="166"/>
      <c r="G3" s="149"/>
    </row>
    <row r="4" spans="1:7" s="92" customFormat="1" ht="20.100000000000001" customHeight="1" x14ac:dyDescent="0.25">
      <c r="A4" s="213"/>
      <c r="B4" s="167" t="s">
        <v>972</v>
      </c>
      <c r="C4" s="167"/>
      <c r="D4" s="168"/>
      <c r="E4" s="167"/>
      <c r="F4" s="167"/>
      <c r="G4" s="282"/>
    </row>
    <row r="5" spans="1:7" s="91" customFormat="1" ht="46.2" customHeight="1" x14ac:dyDescent="0.25">
      <c r="A5" s="283"/>
      <c r="B5" s="284"/>
      <c r="C5" s="161"/>
      <c r="D5" s="162"/>
      <c r="E5" s="163"/>
      <c r="F5" s="164"/>
      <c r="G5" s="285" t="s">
        <v>973</v>
      </c>
    </row>
    <row r="6" spans="1:7" s="93" customFormat="1" ht="34.200000000000003" customHeight="1" x14ac:dyDescent="0.25">
      <c r="A6" s="145" t="s">
        <v>0</v>
      </c>
      <c r="B6" s="146" t="s">
        <v>974</v>
      </c>
      <c r="C6" s="147" t="s">
        <v>975</v>
      </c>
      <c r="D6" s="148" t="s">
        <v>976</v>
      </c>
      <c r="E6" s="147" t="s">
        <v>977</v>
      </c>
      <c r="F6" s="156" t="s">
        <v>978</v>
      </c>
      <c r="G6" s="65" t="str">
        <f>Récapitulatif!B11</f>
        <v>Etude de cas n°1</v>
      </c>
    </row>
    <row r="7" spans="1:7" s="94" customFormat="1" ht="13.2" x14ac:dyDescent="0.25">
      <c r="A7" s="29" t="s">
        <v>979</v>
      </c>
      <c r="B7" s="30" t="s">
        <v>980</v>
      </c>
      <c r="C7" s="31"/>
      <c r="D7" s="118"/>
      <c r="E7" s="56"/>
      <c r="F7" s="157"/>
      <c r="G7" s="150"/>
    </row>
    <row r="8" spans="1:7" s="94" customFormat="1" ht="26.4" x14ac:dyDescent="0.25">
      <c r="A8" s="27" t="s">
        <v>981</v>
      </c>
      <c r="B8" s="6" t="s">
        <v>982</v>
      </c>
      <c r="C8" s="215"/>
      <c r="D8" s="119"/>
      <c r="E8" s="44"/>
      <c r="F8" s="127"/>
      <c r="G8" s="151"/>
    </row>
    <row r="9" spans="1:7" s="94" customFormat="1" ht="13.2" x14ac:dyDescent="0.25">
      <c r="A9" s="202" t="s">
        <v>4</v>
      </c>
      <c r="B9" s="216" t="s">
        <v>983</v>
      </c>
      <c r="C9" s="217" t="s">
        <v>984</v>
      </c>
      <c r="D9" s="119"/>
      <c r="E9" s="45">
        <f>G9</f>
        <v>0</v>
      </c>
      <c r="F9" s="127">
        <f>D9*E9</f>
        <v>0</v>
      </c>
      <c r="G9" s="278">
        <v>0</v>
      </c>
    </row>
    <row r="10" spans="1:7" s="94" customFormat="1" ht="13.2" x14ac:dyDescent="0.25">
      <c r="A10" s="202" t="s">
        <v>5</v>
      </c>
      <c r="B10" s="216" t="s">
        <v>985</v>
      </c>
      <c r="C10" s="217" t="s">
        <v>984</v>
      </c>
      <c r="D10" s="119"/>
      <c r="E10" s="45">
        <f t="shared" ref="E10:E73" si="0">G10</f>
        <v>0</v>
      </c>
      <c r="F10" s="127">
        <f>D10*E10</f>
        <v>0</v>
      </c>
      <c r="G10" s="278">
        <v>0</v>
      </c>
    </row>
    <row r="11" spans="1:7" s="94" customFormat="1" ht="13.2" x14ac:dyDescent="0.25">
      <c r="A11" s="202" t="s">
        <v>986</v>
      </c>
      <c r="B11" s="216" t="s">
        <v>987</v>
      </c>
      <c r="C11" s="217" t="s">
        <v>984</v>
      </c>
      <c r="D11" s="119"/>
      <c r="E11" s="45">
        <f t="shared" si="0"/>
        <v>0</v>
      </c>
      <c r="F11" s="127">
        <f>D11*E11</f>
        <v>0</v>
      </c>
      <c r="G11" s="278">
        <v>0</v>
      </c>
    </row>
    <row r="12" spans="1:7" s="95" customFormat="1" ht="13.2" x14ac:dyDescent="0.25">
      <c r="A12" s="202" t="s">
        <v>988</v>
      </c>
      <c r="B12" s="216" t="s">
        <v>989</v>
      </c>
      <c r="C12" s="217" t="s">
        <v>984</v>
      </c>
      <c r="D12" s="120"/>
      <c r="E12" s="45">
        <f t="shared" si="0"/>
        <v>0</v>
      </c>
      <c r="F12" s="127">
        <f t="shared" ref="F12:F89" si="1">D12*E12</f>
        <v>0</v>
      </c>
      <c r="G12" s="277">
        <v>0</v>
      </c>
    </row>
    <row r="13" spans="1:7" s="95" customFormat="1" ht="13.2" x14ac:dyDescent="0.25">
      <c r="A13" s="202" t="s">
        <v>990</v>
      </c>
      <c r="B13" s="216" t="s">
        <v>991</v>
      </c>
      <c r="C13" s="217" t="s">
        <v>984</v>
      </c>
      <c r="D13" s="120"/>
      <c r="E13" s="45">
        <f t="shared" si="0"/>
        <v>0</v>
      </c>
      <c r="F13" s="127">
        <f t="shared" si="1"/>
        <v>0</v>
      </c>
      <c r="G13" s="277">
        <v>0</v>
      </c>
    </row>
    <row r="14" spans="1:7" s="95" customFormat="1" ht="13.2" x14ac:dyDescent="0.25">
      <c r="A14" s="202" t="s">
        <v>992</v>
      </c>
      <c r="B14" s="216" t="s">
        <v>993</v>
      </c>
      <c r="C14" s="217" t="s">
        <v>984</v>
      </c>
      <c r="D14" s="120"/>
      <c r="E14" s="45">
        <f t="shared" si="0"/>
        <v>0</v>
      </c>
      <c r="F14" s="127">
        <f t="shared" si="1"/>
        <v>0</v>
      </c>
      <c r="G14" s="277">
        <v>0</v>
      </c>
    </row>
    <row r="15" spans="1:7" s="96" customFormat="1" ht="13.2" x14ac:dyDescent="0.25">
      <c r="A15" s="202" t="s">
        <v>994</v>
      </c>
      <c r="B15" s="216" t="s">
        <v>995</v>
      </c>
      <c r="C15" s="217" t="s">
        <v>984</v>
      </c>
      <c r="D15" s="120"/>
      <c r="E15" s="45">
        <f t="shared" si="0"/>
        <v>0</v>
      </c>
      <c r="F15" s="127">
        <f t="shared" si="1"/>
        <v>0</v>
      </c>
      <c r="G15" s="277">
        <v>0</v>
      </c>
    </row>
    <row r="16" spans="1:7" s="96" customFormat="1" ht="13.2" x14ac:dyDescent="0.25">
      <c r="A16" s="202" t="s">
        <v>996</v>
      </c>
      <c r="B16" s="216" t="s">
        <v>997</v>
      </c>
      <c r="C16" s="217" t="s">
        <v>984</v>
      </c>
      <c r="D16" s="120"/>
      <c r="E16" s="45">
        <f t="shared" si="0"/>
        <v>0</v>
      </c>
      <c r="F16" s="127">
        <f t="shared" si="1"/>
        <v>0</v>
      </c>
      <c r="G16" s="277">
        <v>0</v>
      </c>
    </row>
    <row r="17" spans="1:14" s="96" customFormat="1" ht="13.2" x14ac:dyDescent="0.25">
      <c r="A17" s="202" t="s">
        <v>998</v>
      </c>
      <c r="B17" s="216" t="s">
        <v>999</v>
      </c>
      <c r="C17" s="217" t="s">
        <v>984</v>
      </c>
      <c r="D17" s="120"/>
      <c r="E17" s="45">
        <f t="shared" si="0"/>
        <v>0</v>
      </c>
      <c r="F17" s="127">
        <f t="shared" si="1"/>
        <v>0</v>
      </c>
      <c r="G17" s="277">
        <v>0</v>
      </c>
      <c r="H17" s="17"/>
      <c r="I17" s="17"/>
      <c r="J17" s="17"/>
      <c r="K17" s="17"/>
      <c r="L17" s="17"/>
      <c r="M17" s="17"/>
      <c r="N17" s="17"/>
    </row>
    <row r="18" spans="1:14" s="96" customFormat="1" ht="13.2" x14ac:dyDescent="0.25">
      <c r="A18" s="202" t="s">
        <v>1000</v>
      </c>
      <c r="B18" s="216" t="s">
        <v>1001</v>
      </c>
      <c r="C18" s="217" t="s">
        <v>984</v>
      </c>
      <c r="D18" s="120"/>
      <c r="E18" s="45">
        <f t="shared" si="0"/>
        <v>0</v>
      </c>
      <c r="F18" s="127">
        <f t="shared" si="1"/>
        <v>0</v>
      </c>
      <c r="G18" s="277">
        <v>0</v>
      </c>
      <c r="H18" s="17"/>
      <c r="I18" s="17"/>
      <c r="J18" s="17"/>
      <c r="K18" s="17"/>
      <c r="L18" s="17"/>
      <c r="M18" s="17"/>
      <c r="N18" s="17"/>
    </row>
    <row r="19" spans="1:14" s="96" customFormat="1" ht="13.2" x14ac:dyDescent="0.25">
      <c r="A19" s="202" t="s">
        <v>1002</v>
      </c>
      <c r="B19" s="216" t="s">
        <v>1003</v>
      </c>
      <c r="C19" s="217" t="s">
        <v>984</v>
      </c>
      <c r="D19" s="120"/>
      <c r="E19" s="45">
        <f t="shared" si="0"/>
        <v>0</v>
      </c>
      <c r="F19" s="127">
        <f>D19*E19</f>
        <v>0</v>
      </c>
      <c r="G19" s="277">
        <v>0</v>
      </c>
      <c r="H19" s="17"/>
      <c r="I19" s="17"/>
      <c r="J19" s="17"/>
      <c r="K19" s="17"/>
      <c r="L19" s="17"/>
      <c r="M19" s="17"/>
      <c r="N19" s="17"/>
    </row>
    <row r="20" spans="1:14" s="96" customFormat="1" ht="13.2" x14ac:dyDescent="0.25">
      <c r="A20" s="202" t="s">
        <v>1004</v>
      </c>
      <c r="B20" s="216" t="s">
        <v>1005</v>
      </c>
      <c r="C20" s="217" t="s">
        <v>984</v>
      </c>
      <c r="D20" s="120"/>
      <c r="E20" s="45">
        <f t="shared" si="0"/>
        <v>0</v>
      </c>
      <c r="F20" s="127">
        <f>D20*E20</f>
        <v>0</v>
      </c>
      <c r="G20" s="277">
        <v>0</v>
      </c>
      <c r="H20" s="17"/>
      <c r="I20" s="17"/>
      <c r="J20" s="17"/>
      <c r="K20" s="17"/>
      <c r="L20" s="17"/>
      <c r="M20" s="17"/>
      <c r="N20" s="17"/>
    </row>
    <row r="21" spans="1:14" s="96" customFormat="1" ht="13.2" x14ac:dyDescent="0.25">
      <c r="A21" s="202" t="s">
        <v>1006</v>
      </c>
      <c r="B21" s="216" t="s">
        <v>1007</v>
      </c>
      <c r="C21" s="217" t="s">
        <v>984</v>
      </c>
      <c r="D21" s="120"/>
      <c r="E21" s="45">
        <f t="shared" si="0"/>
        <v>0</v>
      </c>
      <c r="F21" s="127">
        <f>D21*E21</f>
        <v>0</v>
      </c>
      <c r="G21" s="277">
        <v>0</v>
      </c>
      <c r="H21" s="17"/>
      <c r="I21" s="17"/>
      <c r="J21" s="17"/>
      <c r="K21" s="17"/>
      <c r="L21" s="17"/>
      <c r="M21" s="17"/>
      <c r="N21" s="17"/>
    </row>
    <row r="22" spans="1:14" s="97" customFormat="1" ht="13.2" x14ac:dyDescent="0.25">
      <c r="A22" s="27" t="s">
        <v>6</v>
      </c>
      <c r="B22" s="6" t="s">
        <v>1008</v>
      </c>
      <c r="C22" s="215"/>
      <c r="D22" s="120"/>
      <c r="E22" s="121"/>
      <c r="F22" s="127"/>
      <c r="G22" s="45"/>
      <c r="H22" s="218"/>
      <c r="I22" s="218"/>
      <c r="J22" s="218"/>
      <c r="K22" s="218"/>
      <c r="L22" s="218"/>
      <c r="M22" s="218"/>
      <c r="N22" s="218"/>
    </row>
    <row r="23" spans="1:14" s="98" customFormat="1" ht="13.2" x14ac:dyDescent="0.25">
      <c r="A23" s="202" t="s">
        <v>1009</v>
      </c>
      <c r="B23" s="216" t="s">
        <v>1010</v>
      </c>
      <c r="C23" s="219" t="s">
        <v>1011</v>
      </c>
      <c r="D23" s="120"/>
      <c r="E23" s="45">
        <f t="shared" si="0"/>
        <v>0</v>
      </c>
      <c r="F23" s="127">
        <f t="shared" si="1"/>
        <v>0</v>
      </c>
      <c r="G23" s="45">
        <f>'Etude de cas n°1'!D23</f>
        <v>0</v>
      </c>
      <c r="H23" s="220"/>
      <c r="I23" s="220"/>
      <c r="J23" s="220"/>
      <c r="K23" s="220"/>
      <c r="L23" s="220"/>
      <c r="M23" s="220"/>
      <c r="N23" s="220"/>
    </row>
    <row r="24" spans="1:14" s="98" customFormat="1" ht="13.2" x14ac:dyDescent="0.25">
      <c r="A24" s="202" t="s">
        <v>1012</v>
      </c>
      <c r="B24" s="216" t="s">
        <v>1013</v>
      </c>
      <c r="C24" s="219" t="s">
        <v>1011</v>
      </c>
      <c r="D24" s="120"/>
      <c r="E24" s="45">
        <f t="shared" si="0"/>
        <v>2</v>
      </c>
      <c r="F24" s="127">
        <f t="shared" si="1"/>
        <v>0</v>
      </c>
      <c r="G24" s="45">
        <f>'Etude de cas n°1'!D24</f>
        <v>2</v>
      </c>
      <c r="H24" s="220"/>
      <c r="I24" s="220"/>
      <c r="J24" s="220"/>
      <c r="K24" s="220"/>
      <c r="L24" s="220"/>
      <c r="M24" s="220"/>
      <c r="N24" s="220"/>
    </row>
    <row r="25" spans="1:14" s="94" customFormat="1" ht="13.2" x14ac:dyDescent="0.25">
      <c r="A25" s="27" t="s">
        <v>1014</v>
      </c>
      <c r="B25" s="6" t="s">
        <v>1015</v>
      </c>
      <c r="C25" s="215"/>
      <c r="D25" s="120"/>
      <c r="E25" s="121"/>
      <c r="F25" s="127"/>
      <c r="G25" s="45"/>
      <c r="H25" s="19"/>
      <c r="I25" s="19"/>
      <c r="J25" s="19"/>
      <c r="K25" s="19"/>
      <c r="L25" s="19"/>
      <c r="M25" s="19"/>
      <c r="N25" s="19"/>
    </row>
    <row r="26" spans="1:14" s="95" customFormat="1" ht="13.2" x14ac:dyDescent="0.25">
      <c r="A26" s="202" t="s">
        <v>1016</v>
      </c>
      <c r="B26" s="216" t="s">
        <v>983</v>
      </c>
      <c r="C26" s="217" t="s">
        <v>984</v>
      </c>
      <c r="D26" s="120"/>
      <c r="E26" s="45">
        <f t="shared" si="0"/>
        <v>0</v>
      </c>
      <c r="F26" s="127">
        <f t="shared" si="1"/>
        <v>0</v>
      </c>
      <c r="G26" s="277">
        <v>0</v>
      </c>
      <c r="H26" s="221"/>
      <c r="I26" s="221"/>
      <c r="J26" s="221"/>
      <c r="K26" s="221"/>
      <c r="L26" s="221"/>
      <c r="M26" s="221"/>
      <c r="N26" s="221"/>
    </row>
    <row r="27" spans="1:14" s="95" customFormat="1" ht="13.2" x14ac:dyDescent="0.25">
      <c r="A27" s="202" t="s">
        <v>1017</v>
      </c>
      <c r="B27" s="216" t="s">
        <v>985</v>
      </c>
      <c r="C27" s="217" t="s">
        <v>984</v>
      </c>
      <c r="D27" s="120"/>
      <c r="E27" s="45">
        <f t="shared" si="0"/>
        <v>0</v>
      </c>
      <c r="F27" s="127">
        <f t="shared" si="1"/>
        <v>0</v>
      </c>
      <c r="G27" s="277">
        <v>0</v>
      </c>
      <c r="H27" s="221"/>
      <c r="I27" s="221"/>
      <c r="J27" s="221"/>
      <c r="K27" s="221"/>
      <c r="L27" s="221"/>
      <c r="M27" s="221"/>
      <c r="N27" s="221"/>
    </row>
    <row r="28" spans="1:14" s="95" customFormat="1" ht="13.2" x14ac:dyDescent="0.25">
      <c r="A28" s="202" t="s">
        <v>1018</v>
      </c>
      <c r="B28" s="216" t="s">
        <v>987</v>
      </c>
      <c r="C28" s="217" t="s">
        <v>984</v>
      </c>
      <c r="D28" s="120"/>
      <c r="E28" s="45">
        <f t="shared" si="0"/>
        <v>0</v>
      </c>
      <c r="F28" s="127">
        <f t="shared" si="1"/>
        <v>0</v>
      </c>
      <c r="G28" s="277">
        <v>0</v>
      </c>
      <c r="H28" s="221"/>
      <c r="I28" s="221"/>
      <c r="J28" s="221"/>
      <c r="K28" s="221"/>
      <c r="L28" s="221"/>
      <c r="M28" s="221"/>
      <c r="N28" s="221"/>
    </row>
    <row r="29" spans="1:14" s="95" customFormat="1" ht="13.2" x14ac:dyDescent="0.25">
      <c r="A29" s="202" t="s">
        <v>23</v>
      </c>
      <c r="B29" s="216" t="s">
        <v>1019</v>
      </c>
      <c r="C29" s="217" t="s">
        <v>984</v>
      </c>
      <c r="D29" s="120"/>
      <c r="E29" s="45">
        <f t="shared" si="0"/>
        <v>0</v>
      </c>
      <c r="F29" s="127">
        <f t="shared" si="1"/>
        <v>0</v>
      </c>
      <c r="G29" s="277">
        <v>0</v>
      </c>
      <c r="H29" s="221"/>
      <c r="I29" s="221"/>
      <c r="J29" s="221"/>
      <c r="K29" s="221"/>
      <c r="L29" s="221"/>
      <c r="M29" s="221"/>
      <c r="N29" s="221"/>
    </row>
    <row r="30" spans="1:14" s="95" customFormat="1" ht="13.2" x14ac:dyDescent="0.25">
      <c r="A30" s="202" t="s">
        <v>24</v>
      </c>
      <c r="B30" s="216" t="s">
        <v>991</v>
      </c>
      <c r="C30" s="217" t="s">
        <v>984</v>
      </c>
      <c r="D30" s="120"/>
      <c r="E30" s="45">
        <f t="shared" si="0"/>
        <v>0</v>
      </c>
      <c r="F30" s="127">
        <f t="shared" si="1"/>
        <v>0</v>
      </c>
      <c r="G30" s="277">
        <v>0</v>
      </c>
      <c r="H30" s="221"/>
      <c r="I30" s="221"/>
      <c r="J30" s="221"/>
      <c r="K30" s="221"/>
      <c r="L30" s="221"/>
      <c r="M30" s="221"/>
      <c r="N30" s="221"/>
    </row>
    <row r="31" spans="1:14" s="95" customFormat="1" ht="13.2" x14ac:dyDescent="0.25">
      <c r="A31" s="202" t="s">
        <v>25</v>
      </c>
      <c r="B31" s="216" t="s">
        <v>993</v>
      </c>
      <c r="C31" s="217" t="s">
        <v>984</v>
      </c>
      <c r="D31" s="120"/>
      <c r="E31" s="45">
        <f t="shared" si="0"/>
        <v>0</v>
      </c>
      <c r="F31" s="127">
        <f t="shared" si="1"/>
        <v>0</v>
      </c>
      <c r="G31" s="277">
        <v>0</v>
      </c>
      <c r="H31" s="221"/>
      <c r="I31" s="221"/>
      <c r="J31" s="221"/>
      <c r="K31" s="221"/>
      <c r="L31" s="221"/>
      <c r="M31" s="221"/>
      <c r="N31" s="221"/>
    </row>
    <row r="32" spans="1:14" s="96" customFormat="1" ht="13.2" x14ac:dyDescent="0.25">
      <c r="A32" s="202" t="s">
        <v>26</v>
      </c>
      <c r="B32" s="216" t="s">
        <v>995</v>
      </c>
      <c r="C32" s="217" t="s">
        <v>984</v>
      </c>
      <c r="D32" s="120"/>
      <c r="E32" s="45">
        <f t="shared" si="0"/>
        <v>0</v>
      </c>
      <c r="F32" s="127">
        <f t="shared" si="1"/>
        <v>0</v>
      </c>
      <c r="G32" s="277">
        <v>0</v>
      </c>
      <c r="H32" s="17"/>
      <c r="I32" s="17"/>
      <c r="J32" s="17"/>
      <c r="K32" s="17"/>
      <c r="L32" s="17"/>
      <c r="M32" s="17"/>
      <c r="N32" s="17"/>
    </row>
    <row r="33" spans="1:14" s="96" customFormat="1" ht="13.2" x14ac:dyDescent="0.25">
      <c r="A33" s="202" t="s">
        <v>27</v>
      </c>
      <c r="B33" s="216" t="s">
        <v>997</v>
      </c>
      <c r="C33" s="217" t="s">
        <v>984</v>
      </c>
      <c r="D33" s="120"/>
      <c r="E33" s="45">
        <f t="shared" si="0"/>
        <v>0</v>
      </c>
      <c r="F33" s="127">
        <f t="shared" si="1"/>
        <v>0</v>
      </c>
      <c r="G33" s="277">
        <v>0</v>
      </c>
      <c r="H33" s="17"/>
      <c r="I33" s="17"/>
      <c r="J33" s="17"/>
      <c r="K33" s="17"/>
      <c r="L33" s="17"/>
      <c r="M33" s="17"/>
      <c r="N33" s="17"/>
    </row>
    <row r="34" spans="1:14" s="96" customFormat="1" ht="13.2" x14ac:dyDescent="0.25">
      <c r="A34" s="202" t="s">
        <v>28</v>
      </c>
      <c r="B34" s="216" t="s">
        <v>999</v>
      </c>
      <c r="C34" s="217" t="s">
        <v>984</v>
      </c>
      <c r="D34" s="120"/>
      <c r="E34" s="45">
        <f t="shared" si="0"/>
        <v>0</v>
      </c>
      <c r="F34" s="127">
        <f t="shared" si="1"/>
        <v>0</v>
      </c>
      <c r="G34" s="277">
        <v>0</v>
      </c>
      <c r="H34" s="17"/>
      <c r="I34" s="17"/>
      <c r="J34" s="17"/>
      <c r="K34" s="17"/>
      <c r="L34" s="17"/>
      <c r="M34" s="17"/>
      <c r="N34" s="17"/>
    </row>
    <row r="35" spans="1:14" s="96" customFormat="1" ht="13.2" x14ac:dyDescent="0.25">
      <c r="A35" s="202" t="s">
        <v>29</v>
      </c>
      <c r="B35" s="216" t="s">
        <v>1001</v>
      </c>
      <c r="C35" s="217" t="s">
        <v>984</v>
      </c>
      <c r="D35" s="120"/>
      <c r="E35" s="45">
        <f t="shared" si="0"/>
        <v>0</v>
      </c>
      <c r="F35" s="127">
        <f>D35*E35</f>
        <v>0</v>
      </c>
      <c r="G35" s="277">
        <v>0</v>
      </c>
      <c r="H35" s="17"/>
      <c r="I35" s="17"/>
      <c r="J35" s="17"/>
      <c r="K35" s="17"/>
      <c r="L35" s="17"/>
      <c r="M35" s="17"/>
      <c r="N35" s="17"/>
    </row>
    <row r="36" spans="1:14" s="96" customFormat="1" ht="13.2" x14ac:dyDescent="0.25">
      <c r="A36" s="202" t="s">
        <v>30</v>
      </c>
      <c r="B36" s="216" t="s">
        <v>1003</v>
      </c>
      <c r="C36" s="217" t="s">
        <v>984</v>
      </c>
      <c r="D36" s="120"/>
      <c r="E36" s="45">
        <f t="shared" si="0"/>
        <v>0</v>
      </c>
      <c r="F36" s="127">
        <f>D36*E36</f>
        <v>0</v>
      </c>
      <c r="G36" s="277">
        <v>0</v>
      </c>
      <c r="H36" s="17"/>
      <c r="I36" s="17"/>
      <c r="J36" s="17"/>
      <c r="K36" s="17"/>
      <c r="L36" s="17"/>
      <c r="M36" s="17"/>
      <c r="N36" s="17"/>
    </row>
    <row r="37" spans="1:14" s="96" customFormat="1" ht="13.2" x14ac:dyDescent="0.25">
      <c r="A37" s="202" t="s">
        <v>1020</v>
      </c>
      <c r="B37" s="216" t="s">
        <v>1005</v>
      </c>
      <c r="C37" s="217" t="s">
        <v>984</v>
      </c>
      <c r="D37" s="120"/>
      <c r="E37" s="45">
        <f t="shared" si="0"/>
        <v>0</v>
      </c>
      <c r="F37" s="127">
        <f>D37*E37</f>
        <v>0</v>
      </c>
      <c r="G37" s="277">
        <v>0</v>
      </c>
      <c r="H37" s="17"/>
      <c r="I37" s="17"/>
      <c r="J37" s="17"/>
      <c r="K37" s="17"/>
      <c r="L37" s="17"/>
      <c r="M37" s="17"/>
      <c r="N37" s="17"/>
    </row>
    <row r="38" spans="1:14" s="96" customFormat="1" ht="13.2" x14ac:dyDescent="0.25">
      <c r="A38" s="202" t="s">
        <v>1021</v>
      </c>
      <c r="B38" s="216" t="s">
        <v>1022</v>
      </c>
      <c r="C38" s="217" t="s">
        <v>984</v>
      </c>
      <c r="D38" s="120"/>
      <c r="E38" s="45">
        <f t="shared" si="0"/>
        <v>0</v>
      </c>
      <c r="F38" s="127">
        <f t="shared" ref="F38" si="2">D38*E38</f>
        <v>0</v>
      </c>
      <c r="G38" s="277">
        <v>0</v>
      </c>
      <c r="H38" s="17"/>
      <c r="I38" s="17"/>
      <c r="J38" s="17"/>
      <c r="K38" s="17"/>
      <c r="L38" s="17"/>
      <c r="M38" s="17"/>
      <c r="N38" s="17"/>
    </row>
    <row r="39" spans="1:14" s="97" customFormat="1" ht="13.2" x14ac:dyDescent="0.25">
      <c r="A39" s="27" t="s">
        <v>1023</v>
      </c>
      <c r="B39" s="6" t="s">
        <v>1024</v>
      </c>
      <c r="C39" s="217"/>
      <c r="D39" s="120"/>
      <c r="E39" s="121"/>
      <c r="F39" s="127"/>
      <c r="G39" s="45"/>
      <c r="H39" s="218"/>
      <c r="I39" s="218"/>
      <c r="J39" s="218"/>
      <c r="K39" s="218"/>
      <c r="L39" s="218"/>
      <c r="M39" s="218"/>
      <c r="N39" s="218"/>
    </row>
    <row r="40" spans="1:14" s="97" customFormat="1" ht="13.2" x14ac:dyDescent="0.25">
      <c r="A40" s="202" t="s">
        <v>31</v>
      </c>
      <c r="B40" s="216" t="s">
        <v>1025</v>
      </c>
      <c r="C40" s="217" t="s">
        <v>1026</v>
      </c>
      <c r="D40" s="120"/>
      <c r="E40" s="45">
        <f t="shared" si="0"/>
        <v>0</v>
      </c>
      <c r="F40" s="127">
        <f t="shared" si="1"/>
        <v>0</v>
      </c>
      <c r="G40" s="151">
        <f>'Etude de cas n°1'!D40</f>
        <v>0</v>
      </c>
      <c r="H40" s="218"/>
      <c r="I40" s="218"/>
      <c r="J40" s="218"/>
      <c r="K40" s="218"/>
      <c r="L40" s="218"/>
      <c r="M40" s="218"/>
      <c r="N40" s="218"/>
    </row>
    <row r="41" spans="1:14" s="97" customFormat="1" ht="13.2" x14ac:dyDescent="0.25">
      <c r="A41" s="202" t="s">
        <v>32</v>
      </c>
      <c r="B41" s="216" t="s">
        <v>1027</v>
      </c>
      <c r="C41" s="217" t="s">
        <v>1026</v>
      </c>
      <c r="D41" s="120"/>
      <c r="E41" s="45">
        <f t="shared" si="0"/>
        <v>40</v>
      </c>
      <c r="F41" s="127">
        <f t="shared" si="1"/>
        <v>0</v>
      </c>
      <c r="G41" s="151">
        <f>'Etude de cas n°1'!D41</f>
        <v>40</v>
      </c>
      <c r="H41" s="218"/>
      <c r="I41" s="218"/>
      <c r="J41" s="218"/>
      <c r="K41" s="218"/>
      <c r="L41" s="218"/>
      <c r="M41" s="218"/>
      <c r="N41" s="218"/>
    </row>
    <row r="42" spans="1:14" s="97" customFormat="1" ht="13.2" x14ac:dyDescent="0.25">
      <c r="A42" s="202" t="s">
        <v>33</v>
      </c>
      <c r="B42" s="216" t="s">
        <v>1028</v>
      </c>
      <c r="C42" s="217" t="s">
        <v>1026</v>
      </c>
      <c r="D42" s="120"/>
      <c r="E42" s="45">
        <f t="shared" si="0"/>
        <v>0</v>
      </c>
      <c r="F42" s="127">
        <f t="shared" si="1"/>
        <v>0</v>
      </c>
      <c r="G42" s="151">
        <f>'Etude de cas n°1'!D42</f>
        <v>0</v>
      </c>
      <c r="H42" s="218"/>
      <c r="I42" s="218"/>
      <c r="J42" s="218"/>
      <c r="K42" s="218"/>
      <c r="L42" s="218"/>
      <c r="M42" s="218"/>
      <c r="N42" s="218"/>
    </row>
    <row r="43" spans="1:14" s="97" customFormat="1" ht="13.2" x14ac:dyDescent="0.25">
      <c r="A43" s="202" t="s">
        <v>1029</v>
      </c>
      <c r="B43" s="216" t="s">
        <v>1030</v>
      </c>
      <c r="C43" s="217" t="s">
        <v>1026</v>
      </c>
      <c r="D43" s="120"/>
      <c r="E43" s="45">
        <f t="shared" si="0"/>
        <v>0</v>
      </c>
      <c r="F43" s="127">
        <f t="shared" si="1"/>
        <v>0</v>
      </c>
      <c r="G43" s="151">
        <f>'Etude de cas n°1'!D43</f>
        <v>0</v>
      </c>
      <c r="H43" s="218"/>
      <c r="I43" s="218"/>
      <c r="J43" s="218"/>
      <c r="K43" s="218"/>
      <c r="L43" s="218"/>
      <c r="M43" s="218"/>
      <c r="N43" s="218"/>
    </row>
    <row r="44" spans="1:14" s="97" customFormat="1" ht="13.2" x14ac:dyDescent="0.25">
      <c r="A44" s="27" t="s">
        <v>34</v>
      </c>
      <c r="B44" s="6" t="s">
        <v>1031</v>
      </c>
      <c r="C44" s="217"/>
      <c r="D44" s="120"/>
      <c r="E44" s="121"/>
      <c r="F44" s="127"/>
      <c r="G44" s="151"/>
      <c r="H44" s="222"/>
      <c r="I44" s="218"/>
      <c r="J44" s="218"/>
      <c r="K44" s="218"/>
      <c r="L44" s="218"/>
      <c r="M44" s="218"/>
      <c r="N44" s="218"/>
    </row>
    <row r="45" spans="1:14" s="97" customFormat="1" ht="13.2" x14ac:dyDescent="0.25">
      <c r="A45" s="202" t="s">
        <v>1032</v>
      </c>
      <c r="B45" s="223" t="s">
        <v>1033</v>
      </c>
      <c r="C45" s="217" t="s">
        <v>1034</v>
      </c>
      <c r="D45" s="120"/>
      <c r="E45" s="45">
        <f t="shared" si="0"/>
        <v>0</v>
      </c>
      <c r="F45" s="127">
        <f t="shared" si="1"/>
        <v>0</v>
      </c>
      <c r="G45" s="151">
        <f>'Etude de cas n°1'!D45</f>
        <v>0</v>
      </c>
      <c r="H45" s="222"/>
      <c r="I45" s="218"/>
      <c r="J45" s="218"/>
      <c r="K45" s="218"/>
      <c r="L45" s="218"/>
      <c r="M45" s="218"/>
      <c r="N45" s="218"/>
    </row>
    <row r="46" spans="1:14" s="97" customFormat="1" ht="13.2" x14ac:dyDescent="0.25">
      <c r="A46" s="202" t="s">
        <v>1035</v>
      </c>
      <c r="B46" s="223" t="s">
        <v>1036</v>
      </c>
      <c r="C46" s="217" t="s">
        <v>1037</v>
      </c>
      <c r="D46" s="120"/>
      <c r="E46" s="45">
        <f t="shared" si="0"/>
        <v>0</v>
      </c>
      <c r="F46" s="127">
        <f t="shared" si="1"/>
        <v>0</v>
      </c>
      <c r="G46" s="151">
        <f>'Etude de cas n°1'!D46</f>
        <v>0</v>
      </c>
      <c r="H46" s="222"/>
      <c r="I46" s="218"/>
      <c r="J46" s="218"/>
      <c r="K46" s="218"/>
      <c r="L46" s="218"/>
      <c r="M46" s="218"/>
      <c r="N46" s="218"/>
    </row>
    <row r="47" spans="1:14" s="97" customFormat="1" ht="13.2" x14ac:dyDescent="0.25">
      <c r="A47" s="202" t="s">
        <v>1038</v>
      </c>
      <c r="B47" s="223" t="s">
        <v>1039</v>
      </c>
      <c r="C47" s="217" t="s">
        <v>1034</v>
      </c>
      <c r="D47" s="120"/>
      <c r="E47" s="45">
        <f t="shared" si="0"/>
        <v>0</v>
      </c>
      <c r="F47" s="127">
        <f>D47*E47</f>
        <v>0</v>
      </c>
      <c r="G47" s="151">
        <f>'Etude de cas n°1'!D47</f>
        <v>0</v>
      </c>
      <c r="H47" s="222"/>
      <c r="I47" s="218"/>
      <c r="J47" s="218"/>
      <c r="K47" s="218"/>
      <c r="L47" s="218"/>
      <c r="M47" s="218"/>
      <c r="N47" s="218"/>
    </row>
    <row r="48" spans="1:14" s="97" customFormat="1" ht="12.75" customHeight="1" x14ac:dyDescent="0.25">
      <c r="A48" s="27" t="s">
        <v>35</v>
      </c>
      <c r="B48" s="6" t="s">
        <v>1040</v>
      </c>
      <c r="C48" s="217"/>
      <c r="D48" s="120"/>
      <c r="E48" s="121"/>
      <c r="F48" s="127"/>
      <c r="G48" s="151"/>
      <c r="H48" s="222"/>
      <c r="I48" s="218"/>
      <c r="J48" s="218"/>
      <c r="K48" s="218"/>
      <c r="L48" s="218"/>
      <c r="M48" s="218"/>
      <c r="N48" s="218"/>
    </row>
    <row r="49" spans="1:14" s="97" customFormat="1" ht="24.75" customHeight="1" x14ac:dyDescent="0.25">
      <c r="A49" s="202" t="s">
        <v>1041</v>
      </c>
      <c r="B49" s="223" t="s">
        <v>1042</v>
      </c>
      <c r="C49" s="217" t="s">
        <v>1034</v>
      </c>
      <c r="D49" s="120"/>
      <c r="E49" s="45">
        <f t="shared" si="0"/>
        <v>0</v>
      </c>
      <c r="F49" s="127">
        <f t="shared" si="1"/>
        <v>0</v>
      </c>
      <c r="G49" s="151">
        <f>'Etude de cas n°1'!D49</f>
        <v>0</v>
      </c>
      <c r="H49" s="222"/>
      <c r="I49" s="218"/>
      <c r="J49" s="218"/>
      <c r="K49" s="218"/>
      <c r="L49" s="218"/>
      <c r="M49" s="218"/>
      <c r="N49" s="218"/>
    </row>
    <row r="50" spans="1:14" s="97" customFormat="1" ht="12.75" customHeight="1" x14ac:dyDescent="0.25">
      <c r="A50" s="202" t="s">
        <v>1043</v>
      </c>
      <c r="B50" s="223" t="s">
        <v>1044</v>
      </c>
      <c r="C50" s="217" t="s">
        <v>1037</v>
      </c>
      <c r="D50" s="120"/>
      <c r="E50" s="45">
        <f t="shared" si="0"/>
        <v>0</v>
      </c>
      <c r="F50" s="127">
        <f t="shared" si="1"/>
        <v>0</v>
      </c>
      <c r="G50" s="151">
        <f>'Etude de cas n°1'!D50</f>
        <v>0</v>
      </c>
      <c r="H50" s="222"/>
      <c r="I50" s="218"/>
      <c r="J50" s="218"/>
      <c r="K50" s="218"/>
      <c r="L50" s="218"/>
      <c r="M50" s="218"/>
      <c r="N50" s="218"/>
    </row>
    <row r="51" spans="1:14" s="94" customFormat="1" ht="13.2" x14ac:dyDescent="0.25">
      <c r="A51" s="27" t="s">
        <v>1045</v>
      </c>
      <c r="B51" s="6" t="s">
        <v>1046</v>
      </c>
      <c r="C51" s="217"/>
      <c r="D51" s="120"/>
      <c r="E51" s="45"/>
      <c r="F51" s="127"/>
      <c r="G51" s="151"/>
      <c r="H51" s="19"/>
      <c r="I51" s="19"/>
      <c r="J51" s="19"/>
      <c r="K51" s="19"/>
      <c r="L51" s="19"/>
      <c r="M51" s="19"/>
      <c r="N51" s="19"/>
    </row>
    <row r="52" spans="1:14" s="94" customFormat="1" ht="13.2" x14ac:dyDescent="0.25">
      <c r="A52" s="202" t="s">
        <v>36</v>
      </c>
      <c r="B52" s="216" t="s">
        <v>1047</v>
      </c>
      <c r="C52" s="217" t="s">
        <v>1037</v>
      </c>
      <c r="D52" s="120"/>
      <c r="E52" s="45">
        <f t="shared" si="0"/>
        <v>0</v>
      </c>
      <c r="F52" s="127">
        <f>D52*E52</f>
        <v>0</v>
      </c>
      <c r="G52" s="151">
        <f>'Etude de cas n°1'!D52</f>
        <v>0</v>
      </c>
      <c r="H52" s="19"/>
      <c r="I52" s="19"/>
      <c r="J52" s="19"/>
      <c r="K52" s="19"/>
      <c r="L52" s="19"/>
      <c r="M52" s="19"/>
      <c r="N52" s="19"/>
    </row>
    <row r="53" spans="1:14" s="94" customFormat="1" ht="13.2" x14ac:dyDescent="0.25">
      <c r="A53" s="202" t="s">
        <v>37</v>
      </c>
      <c r="B53" s="216" t="s">
        <v>1048</v>
      </c>
      <c r="C53" s="217" t="s">
        <v>984</v>
      </c>
      <c r="D53" s="120"/>
      <c r="E53" s="45">
        <f t="shared" si="0"/>
        <v>0</v>
      </c>
      <c r="F53" s="127">
        <f>D53*E53</f>
        <v>0</v>
      </c>
      <c r="G53" s="151">
        <f>'Etude de cas n°1'!D53</f>
        <v>0</v>
      </c>
      <c r="H53" s="19"/>
      <c r="I53" s="19"/>
      <c r="J53" s="19"/>
      <c r="K53" s="19"/>
      <c r="L53" s="19"/>
      <c r="M53" s="19"/>
      <c r="N53" s="19"/>
    </row>
    <row r="54" spans="1:14" s="94" customFormat="1" ht="13.2" x14ac:dyDescent="0.25">
      <c r="A54" s="202" t="s">
        <v>38</v>
      </c>
      <c r="B54" s="216" t="s">
        <v>1049</v>
      </c>
      <c r="C54" s="217" t="s">
        <v>984</v>
      </c>
      <c r="D54" s="120"/>
      <c r="E54" s="45">
        <f t="shared" si="0"/>
        <v>0</v>
      </c>
      <c r="F54" s="127">
        <f>D54*E54</f>
        <v>0</v>
      </c>
      <c r="G54" s="151">
        <f>'Etude de cas n°1'!D54</f>
        <v>0</v>
      </c>
      <c r="H54" s="19"/>
      <c r="I54" s="19"/>
      <c r="J54" s="19"/>
      <c r="K54" s="19"/>
      <c r="L54" s="19"/>
      <c r="M54" s="19"/>
      <c r="N54" s="19"/>
    </row>
    <row r="55" spans="1:14" s="94" customFormat="1" ht="13.2" x14ac:dyDescent="0.25">
      <c r="A55" s="202" t="s">
        <v>1050</v>
      </c>
      <c r="B55" s="216" t="s">
        <v>1051</v>
      </c>
      <c r="C55" s="217" t="s">
        <v>984</v>
      </c>
      <c r="D55" s="120"/>
      <c r="E55" s="45">
        <f t="shared" si="0"/>
        <v>1000</v>
      </c>
      <c r="F55" s="127">
        <f>D55*E55</f>
        <v>0</v>
      </c>
      <c r="G55" s="151">
        <f>'Etude de cas n°1'!D55</f>
        <v>1000</v>
      </c>
      <c r="H55" s="19"/>
      <c r="I55" s="19"/>
      <c r="J55" s="19"/>
      <c r="K55" s="19"/>
      <c r="L55" s="19"/>
      <c r="M55" s="19"/>
      <c r="N55" s="19"/>
    </row>
    <row r="56" spans="1:14" s="94" customFormat="1" ht="13.2" x14ac:dyDescent="0.25">
      <c r="A56" s="202" t="s">
        <v>1052</v>
      </c>
      <c r="B56" s="216" t="s">
        <v>1053</v>
      </c>
      <c r="C56" s="217" t="s">
        <v>984</v>
      </c>
      <c r="D56" s="120"/>
      <c r="E56" s="45">
        <f t="shared" si="0"/>
        <v>0</v>
      </c>
      <c r="F56" s="127">
        <f>D56*E56</f>
        <v>0</v>
      </c>
      <c r="G56" s="151">
        <f>'Etude de cas n°1'!D56</f>
        <v>0</v>
      </c>
      <c r="H56" s="19"/>
      <c r="I56" s="19"/>
      <c r="J56" s="19"/>
      <c r="K56" s="19"/>
      <c r="L56" s="19"/>
      <c r="M56" s="19"/>
      <c r="N56" s="19"/>
    </row>
    <row r="57" spans="1:14" s="94" customFormat="1" ht="13.2" x14ac:dyDescent="0.25">
      <c r="A57" s="27" t="s">
        <v>1054</v>
      </c>
      <c r="B57" s="6" t="s">
        <v>4328</v>
      </c>
      <c r="C57" s="217"/>
      <c r="D57" s="120"/>
      <c r="E57" s="45"/>
      <c r="F57" s="127"/>
      <c r="G57" s="151"/>
      <c r="H57" s="19"/>
      <c r="I57" s="19"/>
      <c r="J57" s="19"/>
      <c r="K57" s="19"/>
      <c r="L57" s="19"/>
      <c r="M57" s="19"/>
      <c r="N57" s="19"/>
    </row>
    <row r="58" spans="1:14" s="94" customFormat="1" ht="13.2" x14ac:dyDescent="0.25">
      <c r="A58" s="202" t="s">
        <v>1055</v>
      </c>
      <c r="B58" s="216" t="s">
        <v>1056</v>
      </c>
      <c r="C58" s="217" t="s">
        <v>1037</v>
      </c>
      <c r="D58" s="120"/>
      <c r="E58" s="45">
        <f t="shared" si="0"/>
        <v>0</v>
      </c>
      <c r="F58" s="127">
        <f>D58*E58</f>
        <v>0</v>
      </c>
      <c r="G58" s="151">
        <f>'Etude de cas n°1'!D58</f>
        <v>0</v>
      </c>
      <c r="H58" s="19"/>
      <c r="I58" s="19"/>
      <c r="J58" s="19"/>
      <c r="K58" s="19"/>
      <c r="L58" s="19"/>
      <c r="M58" s="19"/>
      <c r="N58" s="19"/>
    </row>
    <row r="59" spans="1:14" s="94" customFormat="1" ht="13.2" x14ac:dyDescent="0.25">
      <c r="A59" s="202" t="s">
        <v>1057</v>
      </c>
      <c r="B59" s="216" t="s">
        <v>1058</v>
      </c>
      <c r="C59" s="217" t="s">
        <v>984</v>
      </c>
      <c r="D59" s="120"/>
      <c r="E59" s="45">
        <f t="shared" si="0"/>
        <v>0</v>
      </c>
      <c r="F59" s="127">
        <f>D59*E59</f>
        <v>0</v>
      </c>
      <c r="G59" s="151">
        <f>'Etude de cas n°1'!D59</f>
        <v>0</v>
      </c>
      <c r="H59" s="19"/>
      <c r="I59" s="19"/>
      <c r="J59" s="19"/>
      <c r="K59" s="19"/>
      <c r="L59" s="19"/>
      <c r="M59" s="19"/>
      <c r="N59" s="19"/>
    </row>
    <row r="60" spans="1:14" s="94" customFormat="1" ht="13.2" x14ac:dyDescent="0.25">
      <c r="A60" s="202" t="s">
        <v>1059</v>
      </c>
      <c r="B60" s="216" t="s">
        <v>1060</v>
      </c>
      <c r="C60" s="217" t="s">
        <v>984</v>
      </c>
      <c r="D60" s="120"/>
      <c r="E60" s="45">
        <f t="shared" si="0"/>
        <v>0</v>
      </c>
      <c r="F60" s="127">
        <f>D60*E60</f>
        <v>0</v>
      </c>
      <c r="G60" s="151">
        <f>'Etude de cas n°1'!D60</f>
        <v>0</v>
      </c>
      <c r="H60" s="19"/>
      <c r="I60" s="19"/>
      <c r="J60" s="19"/>
      <c r="K60" s="19"/>
      <c r="L60" s="19"/>
      <c r="M60" s="19"/>
      <c r="N60" s="19"/>
    </row>
    <row r="61" spans="1:14" s="94" customFormat="1" ht="13.2" x14ac:dyDescent="0.25">
      <c r="A61" s="202" t="s">
        <v>1061</v>
      </c>
      <c r="B61" s="216" t="s">
        <v>1062</v>
      </c>
      <c r="C61" s="217" t="s">
        <v>984</v>
      </c>
      <c r="D61" s="120"/>
      <c r="E61" s="45">
        <f t="shared" si="0"/>
        <v>1000</v>
      </c>
      <c r="F61" s="127">
        <f>D61*E61</f>
        <v>0</v>
      </c>
      <c r="G61" s="151">
        <f>'Etude de cas n°1'!D61</f>
        <v>1000</v>
      </c>
      <c r="H61" s="19"/>
      <c r="I61" s="19"/>
      <c r="J61" s="19"/>
      <c r="K61" s="19"/>
      <c r="L61" s="19"/>
      <c r="M61" s="19"/>
      <c r="N61" s="19"/>
    </row>
    <row r="62" spans="1:14" s="94" customFormat="1" ht="13.2" x14ac:dyDescent="0.25">
      <c r="A62" s="202" t="s">
        <v>1063</v>
      </c>
      <c r="B62" s="216" t="s">
        <v>1064</v>
      </c>
      <c r="C62" s="217" t="s">
        <v>984</v>
      </c>
      <c r="D62" s="120"/>
      <c r="E62" s="45">
        <f t="shared" si="0"/>
        <v>0</v>
      </c>
      <c r="F62" s="127">
        <f>D62*E62</f>
        <v>0</v>
      </c>
      <c r="G62" s="151">
        <f>'Etude de cas n°1'!D62</f>
        <v>0</v>
      </c>
      <c r="H62" s="19"/>
      <c r="I62" s="19"/>
      <c r="J62" s="19"/>
      <c r="K62" s="19"/>
      <c r="L62" s="19"/>
      <c r="M62" s="19"/>
      <c r="N62" s="19"/>
    </row>
    <row r="63" spans="1:14" s="97" customFormat="1" ht="13.2" x14ac:dyDescent="0.25">
      <c r="A63" s="27" t="s">
        <v>1065</v>
      </c>
      <c r="B63" s="6" t="s">
        <v>1069</v>
      </c>
      <c r="C63" s="217"/>
      <c r="D63" s="120"/>
      <c r="E63" s="45"/>
      <c r="F63" s="127"/>
      <c r="G63" s="151"/>
      <c r="H63" s="218"/>
      <c r="I63" s="218"/>
      <c r="J63" s="218"/>
      <c r="K63" s="218"/>
      <c r="L63" s="218"/>
      <c r="M63" s="218"/>
      <c r="N63" s="218"/>
    </row>
    <row r="64" spans="1:14" s="94" customFormat="1" ht="13.2" x14ac:dyDescent="0.25">
      <c r="A64" s="202" t="s">
        <v>1066</v>
      </c>
      <c r="B64" s="216" t="s">
        <v>1071</v>
      </c>
      <c r="C64" s="217" t="s">
        <v>1011</v>
      </c>
      <c r="D64" s="120"/>
      <c r="E64" s="45">
        <f t="shared" si="0"/>
        <v>673.2</v>
      </c>
      <c r="F64" s="127">
        <f t="shared" si="1"/>
        <v>0</v>
      </c>
      <c r="G64" s="151">
        <f>'Etude de cas n°1'!D64</f>
        <v>673.2</v>
      </c>
      <c r="H64" s="19"/>
      <c r="I64" s="19"/>
      <c r="J64" s="19"/>
      <c r="K64" s="19"/>
      <c r="L64" s="19"/>
      <c r="M64" s="19"/>
      <c r="N64" s="19"/>
    </row>
    <row r="65" spans="1:14" s="94" customFormat="1" ht="13.2" x14ac:dyDescent="0.25">
      <c r="A65" s="202" t="s">
        <v>1067</v>
      </c>
      <c r="B65" s="216" t="s">
        <v>1073</v>
      </c>
      <c r="C65" s="217" t="s">
        <v>1011</v>
      </c>
      <c r="D65" s="120"/>
      <c r="E65" s="45">
        <f t="shared" si="0"/>
        <v>384</v>
      </c>
      <c r="F65" s="127">
        <f t="shared" si="1"/>
        <v>0</v>
      </c>
      <c r="G65" s="151">
        <f>'Etude de cas n°1'!D65</f>
        <v>384</v>
      </c>
      <c r="H65" s="19"/>
      <c r="I65" s="19"/>
      <c r="J65" s="19"/>
      <c r="K65" s="19"/>
      <c r="L65" s="19"/>
      <c r="M65" s="19"/>
      <c r="N65" s="19"/>
    </row>
    <row r="66" spans="1:14" s="94" customFormat="1" ht="13.2" x14ac:dyDescent="0.25">
      <c r="A66" s="27" t="s">
        <v>1068</v>
      </c>
      <c r="B66" s="6" t="s">
        <v>1075</v>
      </c>
      <c r="C66" s="217"/>
      <c r="D66" s="120"/>
      <c r="E66" s="45"/>
      <c r="F66" s="127"/>
      <c r="G66" s="151"/>
      <c r="H66" s="19"/>
      <c r="I66" s="19"/>
      <c r="J66" s="19"/>
      <c r="K66" s="19"/>
      <c r="L66" s="19"/>
      <c r="M66" s="19"/>
      <c r="N66" s="19"/>
    </row>
    <row r="67" spans="1:14" s="97" customFormat="1" ht="13.2" x14ac:dyDescent="0.25">
      <c r="A67" s="202" t="s">
        <v>1070</v>
      </c>
      <c r="B67" s="216" t="s">
        <v>1077</v>
      </c>
      <c r="C67" s="217" t="s">
        <v>984</v>
      </c>
      <c r="D67" s="120"/>
      <c r="E67" s="45">
        <f t="shared" si="0"/>
        <v>0</v>
      </c>
      <c r="F67" s="127">
        <f t="shared" si="1"/>
        <v>0</v>
      </c>
      <c r="G67" s="151">
        <f>'Etude de cas n°1'!D67</f>
        <v>0</v>
      </c>
      <c r="H67" s="218"/>
      <c r="I67" s="218"/>
      <c r="J67" s="218"/>
      <c r="K67" s="218"/>
      <c r="L67" s="218"/>
      <c r="M67" s="218"/>
      <c r="N67" s="218"/>
    </row>
    <row r="68" spans="1:14" s="97" customFormat="1" ht="13.2" x14ac:dyDescent="0.25">
      <c r="A68" s="202" t="s">
        <v>1072</v>
      </c>
      <c r="B68" s="216" t="s">
        <v>1079</v>
      </c>
      <c r="C68" s="217" t="s">
        <v>984</v>
      </c>
      <c r="D68" s="120"/>
      <c r="E68" s="45">
        <f t="shared" si="0"/>
        <v>1</v>
      </c>
      <c r="F68" s="127">
        <f t="shared" si="1"/>
        <v>0</v>
      </c>
      <c r="G68" s="151">
        <f>'Etude de cas n°1'!D68</f>
        <v>1</v>
      </c>
      <c r="H68" s="218"/>
      <c r="I68" s="218"/>
      <c r="J68" s="218"/>
      <c r="K68" s="218"/>
      <c r="L68" s="218"/>
      <c r="M68" s="218"/>
      <c r="N68" s="218"/>
    </row>
    <row r="69" spans="1:14" s="97" customFormat="1" ht="13.2" x14ac:dyDescent="0.25">
      <c r="A69" s="202" t="s">
        <v>4329</v>
      </c>
      <c r="B69" s="216" t="s">
        <v>1081</v>
      </c>
      <c r="C69" s="217" t="s">
        <v>984</v>
      </c>
      <c r="D69" s="120"/>
      <c r="E69" s="45">
        <f t="shared" si="0"/>
        <v>0</v>
      </c>
      <c r="F69" s="127">
        <f t="shared" si="1"/>
        <v>0</v>
      </c>
      <c r="G69" s="151">
        <f>'Etude de cas n°1'!D69</f>
        <v>0</v>
      </c>
      <c r="H69" s="218"/>
      <c r="I69" s="218"/>
      <c r="J69" s="218"/>
      <c r="K69" s="218"/>
      <c r="L69" s="218"/>
      <c r="M69" s="218"/>
      <c r="N69" s="218"/>
    </row>
    <row r="70" spans="1:14" s="97" customFormat="1" ht="13.2" x14ac:dyDescent="0.25">
      <c r="A70" s="27" t="s">
        <v>1074</v>
      </c>
      <c r="B70" s="6" t="s">
        <v>1083</v>
      </c>
      <c r="C70" s="217"/>
      <c r="D70" s="120"/>
      <c r="E70" s="45"/>
      <c r="F70" s="127"/>
      <c r="G70" s="151"/>
      <c r="H70" s="218"/>
      <c r="I70" s="218"/>
      <c r="J70" s="218"/>
      <c r="K70" s="218"/>
      <c r="L70" s="218"/>
      <c r="M70" s="218"/>
      <c r="N70" s="218"/>
    </row>
    <row r="71" spans="1:14" s="95" customFormat="1" ht="13.2" x14ac:dyDescent="0.25">
      <c r="A71" s="202" t="s">
        <v>1076</v>
      </c>
      <c r="B71" s="216" t="s">
        <v>983</v>
      </c>
      <c r="C71" s="217" t="s">
        <v>984</v>
      </c>
      <c r="D71" s="120"/>
      <c r="E71" s="45">
        <f t="shared" si="0"/>
        <v>0</v>
      </c>
      <c r="F71" s="127">
        <f t="shared" si="1"/>
        <v>0</v>
      </c>
      <c r="G71" s="278">
        <v>0</v>
      </c>
      <c r="H71" s="221"/>
      <c r="I71" s="221"/>
      <c r="J71" s="221"/>
      <c r="K71" s="221"/>
      <c r="L71" s="221"/>
      <c r="M71" s="221"/>
      <c r="N71" s="221"/>
    </row>
    <row r="72" spans="1:14" s="95" customFormat="1" ht="13.2" x14ac:dyDescent="0.25">
      <c r="A72" s="202" t="s">
        <v>1078</v>
      </c>
      <c r="B72" s="216" t="s">
        <v>985</v>
      </c>
      <c r="C72" s="217" t="s">
        <v>984</v>
      </c>
      <c r="D72" s="120"/>
      <c r="E72" s="45">
        <f t="shared" si="0"/>
        <v>0</v>
      </c>
      <c r="F72" s="127">
        <f t="shared" si="1"/>
        <v>0</v>
      </c>
      <c r="G72" s="278">
        <v>0</v>
      </c>
      <c r="H72" s="221"/>
      <c r="I72" s="221"/>
      <c r="J72" s="221"/>
      <c r="K72" s="221"/>
      <c r="L72" s="221"/>
      <c r="M72" s="221"/>
      <c r="N72" s="221"/>
    </row>
    <row r="73" spans="1:14" s="95" customFormat="1" ht="13.2" x14ac:dyDescent="0.25">
      <c r="A73" s="202" t="s">
        <v>1080</v>
      </c>
      <c r="B73" s="216" t="s">
        <v>987</v>
      </c>
      <c r="C73" s="217" t="s">
        <v>984</v>
      </c>
      <c r="D73" s="120"/>
      <c r="E73" s="45">
        <f t="shared" si="0"/>
        <v>0</v>
      </c>
      <c r="F73" s="127">
        <f t="shared" si="1"/>
        <v>0</v>
      </c>
      <c r="G73" s="278">
        <v>0</v>
      </c>
      <c r="H73" s="221"/>
      <c r="I73" s="221"/>
      <c r="J73" s="221"/>
      <c r="K73" s="221"/>
      <c r="L73" s="221"/>
      <c r="M73" s="221"/>
      <c r="N73" s="221"/>
    </row>
    <row r="74" spans="1:14" s="95" customFormat="1" ht="13.2" x14ac:dyDescent="0.25">
      <c r="A74" s="202" t="s">
        <v>4330</v>
      </c>
      <c r="B74" s="216" t="s">
        <v>1019</v>
      </c>
      <c r="C74" s="217" t="s">
        <v>984</v>
      </c>
      <c r="D74" s="120"/>
      <c r="E74" s="45">
        <f t="shared" ref="E74:E115" si="3">G74</f>
        <v>0</v>
      </c>
      <c r="F74" s="127">
        <f t="shared" si="1"/>
        <v>0</v>
      </c>
      <c r="G74" s="278">
        <v>0</v>
      </c>
      <c r="H74" s="221"/>
      <c r="I74" s="221"/>
      <c r="J74" s="221"/>
      <c r="K74" s="221"/>
      <c r="L74" s="221"/>
      <c r="M74" s="221"/>
      <c r="N74" s="221"/>
    </row>
    <row r="75" spans="1:14" s="95" customFormat="1" ht="13.2" x14ac:dyDescent="0.25">
      <c r="A75" s="202" t="s">
        <v>4331</v>
      </c>
      <c r="B75" s="216" t="s">
        <v>991</v>
      </c>
      <c r="C75" s="217" t="s">
        <v>984</v>
      </c>
      <c r="D75" s="120"/>
      <c r="E75" s="45">
        <f t="shared" si="3"/>
        <v>0</v>
      </c>
      <c r="F75" s="127">
        <f t="shared" si="1"/>
        <v>0</v>
      </c>
      <c r="G75" s="278">
        <v>0</v>
      </c>
      <c r="H75" s="221"/>
      <c r="I75" s="221"/>
      <c r="J75" s="221"/>
      <c r="K75" s="221"/>
      <c r="L75" s="221"/>
      <c r="M75" s="221"/>
      <c r="N75" s="221"/>
    </row>
    <row r="76" spans="1:14" s="97" customFormat="1" ht="13.2" x14ac:dyDescent="0.25">
      <c r="A76" s="202" t="s">
        <v>4332</v>
      </c>
      <c r="B76" s="216" t="s">
        <v>993</v>
      </c>
      <c r="C76" s="217" t="s">
        <v>984</v>
      </c>
      <c r="D76" s="120"/>
      <c r="E76" s="45">
        <f t="shared" si="3"/>
        <v>0</v>
      </c>
      <c r="F76" s="127">
        <f t="shared" si="1"/>
        <v>0</v>
      </c>
      <c r="G76" s="278">
        <v>0</v>
      </c>
      <c r="H76" s="218"/>
      <c r="I76" s="218"/>
      <c r="J76" s="218"/>
      <c r="K76" s="218"/>
      <c r="L76" s="218"/>
      <c r="M76" s="218"/>
      <c r="N76" s="218"/>
    </row>
    <row r="77" spans="1:14" s="95" customFormat="1" ht="13.2" x14ac:dyDescent="0.25">
      <c r="A77" s="202" t="s">
        <v>4333</v>
      </c>
      <c r="B77" s="216" t="s">
        <v>995</v>
      </c>
      <c r="C77" s="217" t="s">
        <v>984</v>
      </c>
      <c r="D77" s="120"/>
      <c r="E77" s="45">
        <f t="shared" si="3"/>
        <v>0</v>
      </c>
      <c r="F77" s="127">
        <f t="shared" si="1"/>
        <v>0</v>
      </c>
      <c r="G77" s="278">
        <v>0</v>
      </c>
      <c r="H77" s="221"/>
      <c r="I77" s="221"/>
      <c r="J77" s="221"/>
      <c r="K77" s="221"/>
      <c r="L77" s="221"/>
      <c r="M77" s="221"/>
      <c r="N77" s="221"/>
    </row>
    <row r="78" spans="1:14" s="95" customFormat="1" ht="13.2" x14ac:dyDescent="0.25">
      <c r="A78" s="202" t="s">
        <v>4334</v>
      </c>
      <c r="B78" s="216" t="s">
        <v>997</v>
      </c>
      <c r="C78" s="217" t="s">
        <v>984</v>
      </c>
      <c r="D78" s="120"/>
      <c r="E78" s="45">
        <f t="shared" si="3"/>
        <v>0</v>
      </c>
      <c r="F78" s="127">
        <f t="shared" si="1"/>
        <v>0</v>
      </c>
      <c r="G78" s="278">
        <v>0</v>
      </c>
      <c r="H78" s="221"/>
      <c r="I78" s="221"/>
      <c r="J78" s="221"/>
      <c r="K78" s="221"/>
      <c r="L78" s="221"/>
      <c r="M78" s="221"/>
      <c r="N78" s="221"/>
    </row>
    <row r="79" spans="1:14" s="95" customFormat="1" ht="13.2" x14ac:dyDescent="0.25">
      <c r="A79" s="202" t="s">
        <v>4335</v>
      </c>
      <c r="B79" s="216" t="s">
        <v>999</v>
      </c>
      <c r="C79" s="217" t="s">
        <v>984</v>
      </c>
      <c r="D79" s="120"/>
      <c r="E79" s="45">
        <f t="shared" si="3"/>
        <v>0</v>
      </c>
      <c r="F79" s="127">
        <f t="shared" si="1"/>
        <v>0</v>
      </c>
      <c r="G79" s="278">
        <v>0</v>
      </c>
      <c r="H79" s="221"/>
      <c r="I79" s="221"/>
      <c r="J79" s="221"/>
      <c r="K79" s="221"/>
      <c r="L79" s="221"/>
      <c r="M79" s="221"/>
      <c r="N79" s="221"/>
    </row>
    <row r="80" spans="1:14" s="95" customFormat="1" ht="13.2" x14ac:dyDescent="0.25">
      <c r="A80" s="202" t="s">
        <v>4336</v>
      </c>
      <c r="B80" s="216" t="s">
        <v>1001</v>
      </c>
      <c r="C80" s="217" t="s">
        <v>984</v>
      </c>
      <c r="D80" s="120"/>
      <c r="E80" s="45">
        <f t="shared" si="3"/>
        <v>0</v>
      </c>
      <c r="F80" s="127">
        <f t="shared" si="1"/>
        <v>0</v>
      </c>
      <c r="G80" s="278">
        <v>0</v>
      </c>
      <c r="H80" s="221"/>
      <c r="I80" s="221"/>
      <c r="J80" s="221"/>
      <c r="K80" s="221"/>
      <c r="L80" s="221"/>
      <c r="M80" s="221"/>
      <c r="N80" s="221"/>
    </row>
    <row r="81" spans="1:14" s="95" customFormat="1" ht="13.2" x14ac:dyDescent="0.25">
      <c r="A81" s="202" t="s">
        <v>4337</v>
      </c>
      <c r="B81" s="216" t="s">
        <v>1003</v>
      </c>
      <c r="C81" s="217" t="s">
        <v>984</v>
      </c>
      <c r="D81" s="120"/>
      <c r="E81" s="45">
        <f t="shared" si="3"/>
        <v>0</v>
      </c>
      <c r="F81" s="127">
        <f t="shared" si="1"/>
        <v>0</v>
      </c>
      <c r="G81" s="278">
        <v>0</v>
      </c>
      <c r="H81" s="221"/>
      <c r="I81" s="221"/>
      <c r="J81" s="221"/>
      <c r="K81" s="221"/>
      <c r="L81" s="221"/>
      <c r="M81" s="221"/>
      <c r="N81" s="221"/>
    </row>
    <row r="82" spans="1:14" s="95" customFormat="1" ht="13.2" x14ac:dyDescent="0.25">
      <c r="A82" s="202" t="s">
        <v>4338</v>
      </c>
      <c r="B82" s="240" t="s">
        <v>1096</v>
      </c>
      <c r="C82" s="217" t="s">
        <v>984</v>
      </c>
      <c r="D82" s="120"/>
      <c r="E82" s="45">
        <f t="shared" si="3"/>
        <v>0</v>
      </c>
      <c r="F82" s="127">
        <f t="shared" si="1"/>
        <v>0</v>
      </c>
      <c r="G82" s="278">
        <v>0</v>
      </c>
      <c r="H82" s="221"/>
      <c r="I82" s="221"/>
      <c r="J82" s="221"/>
      <c r="K82" s="221"/>
      <c r="L82" s="221"/>
      <c r="M82" s="221"/>
      <c r="N82" s="221"/>
    </row>
    <row r="83" spans="1:14" s="95" customFormat="1" ht="13.2" x14ac:dyDescent="0.25">
      <c r="A83" s="202" t="s">
        <v>4339</v>
      </c>
      <c r="B83" s="216" t="s">
        <v>1022</v>
      </c>
      <c r="C83" s="217" t="s">
        <v>984</v>
      </c>
      <c r="D83" s="120"/>
      <c r="E83" s="45">
        <f t="shared" si="3"/>
        <v>0</v>
      </c>
      <c r="F83" s="127">
        <f t="shared" ref="F83" si="4">D83*E83</f>
        <v>0</v>
      </c>
      <c r="G83" s="278">
        <v>0</v>
      </c>
      <c r="H83" s="221"/>
      <c r="I83" s="221"/>
      <c r="J83" s="221"/>
      <c r="K83" s="221"/>
      <c r="L83" s="221"/>
      <c r="M83" s="221"/>
      <c r="N83" s="221"/>
    </row>
    <row r="84" spans="1:14" s="95" customFormat="1" ht="13.2" x14ac:dyDescent="0.25">
      <c r="A84" s="27" t="s">
        <v>1082</v>
      </c>
      <c r="B84" s="6" t="s">
        <v>1099</v>
      </c>
      <c r="C84" s="217"/>
      <c r="D84" s="120"/>
      <c r="E84" s="45"/>
      <c r="F84" s="127"/>
      <c r="G84" s="152"/>
      <c r="H84" s="221"/>
      <c r="I84" s="221"/>
      <c r="J84" s="221"/>
      <c r="K84" s="221"/>
      <c r="L84" s="221"/>
      <c r="M84" s="221"/>
      <c r="N84" s="221"/>
    </row>
    <row r="85" spans="1:14" s="95" customFormat="1" ht="13.2" x14ac:dyDescent="0.25">
      <c r="A85" s="202" t="s">
        <v>1084</v>
      </c>
      <c r="B85" s="216" t="s">
        <v>983</v>
      </c>
      <c r="C85" s="217" t="s">
        <v>984</v>
      </c>
      <c r="D85" s="120"/>
      <c r="E85" s="45">
        <f t="shared" si="3"/>
        <v>0</v>
      </c>
      <c r="F85" s="127">
        <f t="shared" si="1"/>
        <v>0</v>
      </c>
      <c r="G85" s="278">
        <v>0</v>
      </c>
      <c r="H85" s="221"/>
      <c r="I85" s="221"/>
      <c r="J85" s="221"/>
      <c r="K85" s="221"/>
      <c r="L85" s="221"/>
      <c r="M85" s="221"/>
      <c r="N85" s="221"/>
    </row>
    <row r="86" spans="1:14" s="96" customFormat="1" ht="13.2" x14ac:dyDescent="0.25">
      <c r="A86" s="202" t="s">
        <v>1085</v>
      </c>
      <c r="B86" s="216" t="s">
        <v>985</v>
      </c>
      <c r="C86" s="217" t="s">
        <v>984</v>
      </c>
      <c r="D86" s="120"/>
      <c r="E86" s="45">
        <f t="shared" si="3"/>
        <v>0</v>
      </c>
      <c r="F86" s="127">
        <f t="shared" si="1"/>
        <v>0</v>
      </c>
      <c r="G86" s="278">
        <v>0</v>
      </c>
      <c r="H86" s="17"/>
      <c r="I86" s="17"/>
      <c r="J86" s="17"/>
      <c r="K86" s="17"/>
      <c r="L86" s="17"/>
      <c r="M86" s="17"/>
      <c r="N86" s="17"/>
    </row>
    <row r="87" spans="1:14" s="96" customFormat="1" ht="13.2" x14ac:dyDescent="0.25">
      <c r="A87" s="202" t="s">
        <v>1086</v>
      </c>
      <c r="B87" s="216" t="s">
        <v>987</v>
      </c>
      <c r="C87" s="217" t="s">
        <v>984</v>
      </c>
      <c r="D87" s="120"/>
      <c r="E87" s="45">
        <f t="shared" si="3"/>
        <v>0</v>
      </c>
      <c r="F87" s="127">
        <f t="shared" si="1"/>
        <v>0</v>
      </c>
      <c r="G87" s="278">
        <v>0</v>
      </c>
      <c r="H87" s="17"/>
      <c r="I87" s="17"/>
      <c r="J87" s="17"/>
      <c r="K87" s="17"/>
      <c r="L87" s="17"/>
      <c r="M87" s="17"/>
      <c r="N87" s="17"/>
    </row>
    <row r="88" spans="1:14" s="96" customFormat="1" ht="13.2" x14ac:dyDescent="0.25">
      <c r="A88" s="202" t="s">
        <v>1087</v>
      </c>
      <c r="B88" s="216" t="s">
        <v>1019</v>
      </c>
      <c r="C88" s="217" t="s">
        <v>984</v>
      </c>
      <c r="D88" s="120"/>
      <c r="E88" s="45">
        <f t="shared" si="3"/>
        <v>0</v>
      </c>
      <c r="F88" s="127">
        <f t="shared" si="1"/>
        <v>0</v>
      </c>
      <c r="G88" s="278">
        <v>0</v>
      </c>
      <c r="H88" s="17"/>
      <c r="I88" s="17"/>
      <c r="J88" s="17"/>
      <c r="K88" s="17"/>
      <c r="L88" s="17"/>
      <c r="M88" s="17"/>
      <c r="N88" s="17"/>
    </row>
    <row r="89" spans="1:14" s="96" customFormat="1" ht="13.2" x14ac:dyDescent="0.25">
      <c r="A89" s="202" t="s">
        <v>1088</v>
      </c>
      <c r="B89" s="216" t="s">
        <v>991</v>
      </c>
      <c r="C89" s="217" t="s">
        <v>984</v>
      </c>
      <c r="D89" s="120"/>
      <c r="E89" s="45">
        <f t="shared" si="3"/>
        <v>0</v>
      </c>
      <c r="F89" s="127">
        <f t="shared" si="1"/>
        <v>0</v>
      </c>
      <c r="G89" s="278">
        <v>0</v>
      </c>
      <c r="H89" s="17"/>
      <c r="I89" s="17"/>
      <c r="J89" s="17"/>
      <c r="K89" s="17"/>
      <c r="L89" s="17"/>
      <c r="M89" s="17"/>
      <c r="N89" s="17"/>
    </row>
    <row r="90" spans="1:14" s="95" customFormat="1" ht="13.2" x14ac:dyDescent="0.25">
      <c r="A90" s="202" t="s">
        <v>1089</v>
      </c>
      <c r="B90" s="216" t="s">
        <v>993</v>
      </c>
      <c r="C90" s="217" t="s">
        <v>984</v>
      </c>
      <c r="D90" s="120"/>
      <c r="E90" s="45">
        <f t="shared" si="3"/>
        <v>0</v>
      </c>
      <c r="F90" s="127">
        <f t="shared" ref="F90:F107" si="5">D90*E90</f>
        <v>0</v>
      </c>
      <c r="G90" s="278">
        <v>0</v>
      </c>
      <c r="H90" s="221"/>
      <c r="I90" s="221"/>
      <c r="J90" s="221"/>
      <c r="K90" s="221"/>
      <c r="L90" s="221"/>
      <c r="M90" s="221"/>
      <c r="N90" s="221"/>
    </row>
    <row r="91" spans="1:14" s="95" customFormat="1" ht="13.2" x14ac:dyDescent="0.25">
      <c r="A91" s="202" t="s">
        <v>1090</v>
      </c>
      <c r="B91" s="216" t="s">
        <v>995</v>
      </c>
      <c r="C91" s="217" t="s">
        <v>984</v>
      </c>
      <c r="D91" s="120"/>
      <c r="E91" s="45">
        <f t="shared" si="3"/>
        <v>0</v>
      </c>
      <c r="F91" s="127">
        <f t="shared" si="5"/>
        <v>0</v>
      </c>
      <c r="G91" s="278">
        <v>0</v>
      </c>
      <c r="H91" s="221"/>
      <c r="I91" s="221"/>
      <c r="J91" s="221"/>
      <c r="K91" s="221"/>
      <c r="L91" s="221"/>
      <c r="M91" s="221"/>
      <c r="N91" s="221"/>
    </row>
    <row r="92" spans="1:14" s="95" customFormat="1" ht="13.2" x14ac:dyDescent="0.25">
      <c r="A92" s="202" t="s">
        <v>1091</v>
      </c>
      <c r="B92" s="216" t="s">
        <v>997</v>
      </c>
      <c r="C92" s="217" t="s">
        <v>984</v>
      </c>
      <c r="D92" s="120"/>
      <c r="E92" s="45">
        <f t="shared" si="3"/>
        <v>0</v>
      </c>
      <c r="F92" s="127">
        <f t="shared" si="5"/>
        <v>0</v>
      </c>
      <c r="G92" s="278">
        <v>0</v>
      </c>
      <c r="H92" s="221"/>
      <c r="I92" s="221"/>
      <c r="J92" s="221"/>
      <c r="K92" s="221"/>
      <c r="L92" s="221"/>
      <c r="M92" s="221"/>
      <c r="N92" s="221"/>
    </row>
    <row r="93" spans="1:14" s="95" customFormat="1" ht="13.2" x14ac:dyDescent="0.25">
      <c r="A93" s="202" t="s">
        <v>1092</v>
      </c>
      <c r="B93" s="216" t="s">
        <v>999</v>
      </c>
      <c r="C93" s="217" t="s">
        <v>984</v>
      </c>
      <c r="D93" s="120"/>
      <c r="E93" s="45">
        <f t="shared" si="3"/>
        <v>0</v>
      </c>
      <c r="F93" s="127">
        <f t="shared" si="5"/>
        <v>0</v>
      </c>
      <c r="G93" s="278">
        <v>0</v>
      </c>
      <c r="H93" s="221"/>
      <c r="I93" s="221"/>
      <c r="J93" s="221"/>
      <c r="K93" s="221"/>
      <c r="L93" s="221"/>
      <c r="M93" s="221"/>
      <c r="N93" s="221"/>
    </row>
    <row r="94" spans="1:14" s="95" customFormat="1" ht="13.2" x14ac:dyDescent="0.25">
      <c r="A94" s="202" t="s">
        <v>1093</v>
      </c>
      <c r="B94" s="216" t="s">
        <v>1001</v>
      </c>
      <c r="C94" s="217" t="s">
        <v>984</v>
      </c>
      <c r="D94" s="120"/>
      <c r="E94" s="45">
        <f t="shared" si="3"/>
        <v>0</v>
      </c>
      <c r="F94" s="127">
        <f t="shared" si="5"/>
        <v>0</v>
      </c>
      <c r="G94" s="278">
        <v>0</v>
      </c>
      <c r="H94" s="221"/>
      <c r="I94" s="221"/>
      <c r="J94" s="221"/>
      <c r="K94" s="221"/>
      <c r="L94" s="221"/>
      <c r="M94" s="221"/>
      <c r="N94" s="221"/>
    </row>
    <row r="95" spans="1:14" s="95" customFormat="1" ht="13.2" x14ac:dyDescent="0.25">
      <c r="A95" s="202" t="s">
        <v>1094</v>
      </c>
      <c r="B95" s="216" t="s">
        <v>1003</v>
      </c>
      <c r="C95" s="217" t="s">
        <v>984</v>
      </c>
      <c r="D95" s="120"/>
      <c r="E95" s="45">
        <f t="shared" si="3"/>
        <v>0</v>
      </c>
      <c r="F95" s="127">
        <f t="shared" si="5"/>
        <v>0</v>
      </c>
      <c r="G95" s="278">
        <v>0</v>
      </c>
      <c r="H95" s="221"/>
      <c r="I95" s="221"/>
      <c r="J95" s="221"/>
      <c r="K95" s="221"/>
      <c r="L95" s="221"/>
      <c r="M95" s="221"/>
      <c r="N95" s="221"/>
    </row>
    <row r="96" spans="1:14" s="95" customFormat="1" ht="13.2" x14ac:dyDescent="0.25">
      <c r="A96" s="202" t="s">
        <v>1095</v>
      </c>
      <c r="B96" s="216" t="s">
        <v>1096</v>
      </c>
      <c r="C96" s="217" t="s">
        <v>984</v>
      </c>
      <c r="D96" s="120"/>
      <c r="E96" s="45">
        <f t="shared" si="3"/>
        <v>0</v>
      </c>
      <c r="F96" s="127">
        <f t="shared" si="5"/>
        <v>0</v>
      </c>
      <c r="G96" s="278">
        <v>0</v>
      </c>
      <c r="H96" s="221"/>
      <c r="I96" s="221"/>
      <c r="J96" s="221"/>
      <c r="K96" s="221"/>
      <c r="L96" s="221"/>
      <c r="M96" s="221"/>
      <c r="N96" s="221"/>
    </row>
    <row r="97" spans="1:14" s="95" customFormat="1" ht="13.2" x14ac:dyDescent="0.25">
      <c r="A97" s="202" t="s">
        <v>1097</v>
      </c>
      <c r="B97" s="216" t="s">
        <v>1022</v>
      </c>
      <c r="C97" s="217" t="s">
        <v>984</v>
      </c>
      <c r="D97" s="120"/>
      <c r="E97" s="45">
        <f t="shared" si="3"/>
        <v>0</v>
      </c>
      <c r="F97" s="127">
        <f t="shared" ref="F97" si="6">D97*E97</f>
        <v>0</v>
      </c>
      <c r="G97" s="278">
        <v>0</v>
      </c>
      <c r="H97" s="221"/>
      <c r="I97" s="221"/>
      <c r="J97" s="221"/>
      <c r="K97" s="221"/>
      <c r="L97" s="221"/>
      <c r="M97" s="221"/>
      <c r="N97" s="221"/>
    </row>
    <row r="98" spans="1:14" s="95" customFormat="1" ht="13.2" x14ac:dyDescent="0.25">
      <c r="A98" s="28" t="s">
        <v>1098</v>
      </c>
      <c r="B98" s="6" t="s">
        <v>1114</v>
      </c>
      <c r="C98" s="217"/>
      <c r="D98" s="120"/>
      <c r="E98" s="45"/>
      <c r="F98" s="127"/>
      <c r="G98" s="152"/>
      <c r="H98" s="221"/>
      <c r="I98" s="221"/>
      <c r="J98" s="221"/>
      <c r="K98" s="221"/>
      <c r="L98" s="221"/>
      <c r="M98" s="221"/>
      <c r="N98" s="221"/>
    </row>
    <row r="99" spans="1:14" s="95" customFormat="1" ht="13.2" x14ac:dyDescent="0.25">
      <c r="A99" s="202" t="s">
        <v>1100</v>
      </c>
      <c r="B99" s="216" t="s">
        <v>983</v>
      </c>
      <c r="C99" s="217" t="s">
        <v>984</v>
      </c>
      <c r="D99" s="120"/>
      <c r="E99" s="45">
        <f t="shared" si="3"/>
        <v>0</v>
      </c>
      <c r="F99" s="127">
        <f t="shared" si="5"/>
        <v>0</v>
      </c>
      <c r="G99" s="278">
        <v>0</v>
      </c>
      <c r="H99" s="221"/>
      <c r="I99" s="221"/>
      <c r="J99" s="221"/>
      <c r="K99" s="221"/>
      <c r="L99" s="221"/>
      <c r="M99" s="221"/>
      <c r="N99" s="221"/>
    </row>
    <row r="100" spans="1:14" s="96" customFormat="1" ht="13.2" x14ac:dyDescent="0.25">
      <c r="A100" s="202" t="s">
        <v>1101</v>
      </c>
      <c r="B100" s="216" t="s">
        <v>985</v>
      </c>
      <c r="C100" s="217" t="s">
        <v>984</v>
      </c>
      <c r="D100" s="120"/>
      <c r="E100" s="45">
        <f t="shared" si="3"/>
        <v>0</v>
      </c>
      <c r="F100" s="127">
        <f t="shared" si="5"/>
        <v>0</v>
      </c>
      <c r="G100" s="278">
        <v>0</v>
      </c>
      <c r="H100" s="17"/>
      <c r="I100" s="17"/>
      <c r="J100" s="17"/>
      <c r="K100" s="17"/>
      <c r="L100" s="17"/>
      <c r="M100" s="17"/>
      <c r="N100" s="17"/>
    </row>
    <row r="101" spans="1:14" s="96" customFormat="1" ht="13.2" x14ac:dyDescent="0.25">
      <c r="A101" s="202" t="s">
        <v>1102</v>
      </c>
      <c r="B101" s="216" t="s">
        <v>987</v>
      </c>
      <c r="C101" s="217" t="s">
        <v>984</v>
      </c>
      <c r="D101" s="120"/>
      <c r="E101" s="45">
        <f t="shared" si="3"/>
        <v>0</v>
      </c>
      <c r="F101" s="127">
        <f t="shared" si="5"/>
        <v>0</v>
      </c>
      <c r="G101" s="278">
        <v>0</v>
      </c>
      <c r="H101" s="17"/>
      <c r="I101" s="17"/>
      <c r="J101" s="17"/>
      <c r="K101" s="17"/>
      <c r="L101" s="17"/>
      <c r="M101" s="17"/>
      <c r="N101" s="17"/>
    </row>
    <row r="102" spans="1:14" s="96" customFormat="1" ht="13.2" x14ac:dyDescent="0.25">
      <c r="A102" s="202" t="s">
        <v>1103</v>
      </c>
      <c r="B102" s="216" t="s">
        <v>1019</v>
      </c>
      <c r="C102" s="217" t="s">
        <v>984</v>
      </c>
      <c r="D102" s="120"/>
      <c r="E102" s="45">
        <f t="shared" si="3"/>
        <v>0</v>
      </c>
      <c r="F102" s="127">
        <f t="shared" si="5"/>
        <v>0</v>
      </c>
      <c r="G102" s="278">
        <v>0</v>
      </c>
      <c r="H102" s="17"/>
      <c r="I102" s="17"/>
      <c r="J102" s="17"/>
      <c r="K102" s="17"/>
      <c r="L102" s="17"/>
      <c r="M102" s="17"/>
      <c r="N102" s="17"/>
    </row>
    <row r="103" spans="1:14" s="96" customFormat="1" ht="13.2" x14ac:dyDescent="0.25">
      <c r="A103" s="202" t="s">
        <v>1104</v>
      </c>
      <c r="B103" s="216" t="s">
        <v>991</v>
      </c>
      <c r="C103" s="217" t="s">
        <v>984</v>
      </c>
      <c r="D103" s="120"/>
      <c r="E103" s="45">
        <f t="shared" si="3"/>
        <v>0</v>
      </c>
      <c r="F103" s="127">
        <f t="shared" si="5"/>
        <v>0</v>
      </c>
      <c r="G103" s="278">
        <v>0</v>
      </c>
      <c r="H103" s="17"/>
      <c r="I103" s="17"/>
      <c r="J103" s="17"/>
      <c r="K103" s="17"/>
      <c r="L103" s="17"/>
      <c r="M103" s="17"/>
      <c r="N103" s="17"/>
    </row>
    <row r="104" spans="1:14" s="96" customFormat="1" ht="13.2" x14ac:dyDescent="0.25">
      <c r="A104" s="202" t="s">
        <v>1105</v>
      </c>
      <c r="B104" s="216" t="s">
        <v>993</v>
      </c>
      <c r="C104" s="217" t="s">
        <v>984</v>
      </c>
      <c r="D104" s="120"/>
      <c r="E104" s="45">
        <f t="shared" si="3"/>
        <v>0</v>
      </c>
      <c r="F104" s="127">
        <f t="shared" si="5"/>
        <v>0</v>
      </c>
      <c r="G104" s="278">
        <v>0</v>
      </c>
      <c r="H104" s="17"/>
      <c r="I104" s="17"/>
      <c r="J104" s="17"/>
      <c r="K104" s="17"/>
      <c r="L104" s="17"/>
      <c r="M104" s="17"/>
      <c r="N104" s="17"/>
    </row>
    <row r="105" spans="1:14" s="96" customFormat="1" ht="13.2" x14ac:dyDescent="0.25">
      <c r="A105" s="202" t="s">
        <v>1106</v>
      </c>
      <c r="B105" s="216" t="s">
        <v>995</v>
      </c>
      <c r="C105" s="217" t="s">
        <v>984</v>
      </c>
      <c r="D105" s="120"/>
      <c r="E105" s="45">
        <f t="shared" si="3"/>
        <v>0</v>
      </c>
      <c r="F105" s="127">
        <f t="shared" si="5"/>
        <v>0</v>
      </c>
      <c r="G105" s="278">
        <v>0</v>
      </c>
      <c r="H105" s="17"/>
      <c r="I105" s="17"/>
      <c r="J105" s="17"/>
      <c r="K105" s="17"/>
      <c r="L105" s="17"/>
      <c r="M105" s="17"/>
      <c r="N105" s="17"/>
    </row>
    <row r="106" spans="1:14" s="96" customFormat="1" ht="13.2" x14ac:dyDescent="0.25">
      <c r="A106" s="202" t="s">
        <v>1107</v>
      </c>
      <c r="B106" s="216" t="s">
        <v>997</v>
      </c>
      <c r="C106" s="217" t="s">
        <v>984</v>
      </c>
      <c r="D106" s="120"/>
      <c r="E106" s="45">
        <f t="shared" si="3"/>
        <v>0</v>
      </c>
      <c r="F106" s="127">
        <f t="shared" si="5"/>
        <v>0</v>
      </c>
      <c r="G106" s="278">
        <v>0</v>
      </c>
      <c r="H106" s="17"/>
      <c r="I106" s="17"/>
      <c r="J106" s="17"/>
      <c r="K106" s="17"/>
      <c r="L106" s="17"/>
      <c r="M106" s="17"/>
      <c r="N106" s="17"/>
    </row>
    <row r="107" spans="1:14" s="96" customFormat="1" ht="13.2" x14ac:dyDescent="0.25">
      <c r="A107" s="202" t="s">
        <v>1108</v>
      </c>
      <c r="B107" s="216" t="s">
        <v>999</v>
      </c>
      <c r="C107" s="217" t="s">
        <v>984</v>
      </c>
      <c r="D107" s="120"/>
      <c r="E107" s="45">
        <f t="shared" si="3"/>
        <v>0</v>
      </c>
      <c r="F107" s="127">
        <f t="shared" si="5"/>
        <v>0</v>
      </c>
      <c r="G107" s="278">
        <v>0</v>
      </c>
      <c r="H107" s="17"/>
      <c r="I107" s="17"/>
      <c r="J107" s="17"/>
      <c r="K107" s="17"/>
      <c r="L107" s="17"/>
      <c r="M107" s="17"/>
      <c r="N107" s="17"/>
    </row>
    <row r="108" spans="1:14" s="96" customFormat="1" ht="13.2" x14ac:dyDescent="0.25">
      <c r="A108" s="202" t="s">
        <v>1109</v>
      </c>
      <c r="B108" s="216" t="s">
        <v>1001</v>
      </c>
      <c r="C108" s="217" t="s">
        <v>984</v>
      </c>
      <c r="D108" s="120"/>
      <c r="E108" s="45">
        <f t="shared" si="3"/>
        <v>0</v>
      </c>
      <c r="F108" s="127">
        <f>D108*E108</f>
        <v>0</v>
      </c>
      <c r="G108" s="278">
        <v>0</v>
      </c>
      <c r="H108" s="17"/>
      <c r="I108" s="17"/>
      <c r="J108" s="17"/>
      <c r="K108" s="17"/>
      <c r="L108" s="17"/>
      <c r="M108" s="17"/>
      <c r="N108" s="17"/>
    </row>
    <row r="109" spans="1:14" s="96" customFormat="1" ht="13.2" x14ac:dyDescent="0.25">
      <c r="A109" s="202" t="s">
        <v>1110</v>
      </c>
      <c r="B109" s="216" t="s">
        <v>1003</v>
      </c>
      <c r="C109" s="217" t="s">
        <v>984</v>
      </c>
      <c r="D109" s="120"/>
      <c r="E109" s="45">
        <f t="shared" si="3"/>
        <v>0</v>
      </c>
      <c r="F109" s="127">
        <f>D109*E109</f>
        <v>0</v>
      </c>
      <c r="G109" s="278">
        <v>0</v>
      </c>
      <c r="H109" s="17"/>
      <c r="I109" s="17"/>
      <c r="J109" s="17"/>
      <c r="K109" s="17"/>
      <c r="L109" s="17"/>
      <c r="M109" s="17"/>
      <c r="N109" s="17"/>
    </row>
    <row r="110" spans="1:14" s="96" customFormat="1" ht="13.2" x14ac:dyDescent="0.25">
      <c r="A110" s="202" t="s">
        <v>1111</v>
      </c>
      <c r="B110" s="216" t="s">
        <v>1096</v>
      </c>
      <c r="C110" s="217" t="s">
        <v>984</v>
      </c>
      <c r="D110" s="120"/>
      <c r="E110" s="45">
        <f t="shared" si="3"/>
        <v>0</v>
      </c>
      <c r="F110" s="127">
        <f>D110*E110</f>
        <v>0</v>
      </c>
      <c r="G110" s="278">
        <v>0</v>
      </c>
      <c r="H110" s="17"/>
      <c r="I110" s="17"/>
      <c r="J110" s="17"/>
      <c r="K110" s="17"/>
      <c r="L110" s="17"/>
      <c r="M110" s="17"/>
      <c r="N110" s="17"/>
    </row>
    <row r="111" spans="1:14" s="96" customFormat="1" ht="13.2" x14ac:dyDescent="0.25">
      <c r="A111" s="202" t="s">
        <v>1112</v>
      </c>
      <c r="B111" s="216" t="s">
        <v>1022</v>
      </c>
      <c r="C111" s="217" t="s">
        <v>984</v>
      </c>
      <c r="D111" s="120"/>
      <c r="E111" s="45">
        <f t="shared" si="3"/>
        <v>0</v>
      </c>
      <c r="F111" s="127">
        <f>D111*E111</f>
        <v>0</v>
      </c>
      <c r="G111" s="278">
        <v>0</v>
      </c>
      <c r="H111" s="17"/>
      <c r="I111" s="17"/>
      <c r="J111" s="17"/>
      <c r="K111" s="17"/>
      <c r="L111" s="17"/>
      <c r="M111" s="17"/>
      <c r="N111" s="17"/>
    </row>
    <row r="112" spans="1:14" s="96" customFormat="1" ht="13.2" x14ac:dyDescent="0.25">
      <c r="A112" s="28" t="s">
        <v>1113</v>
      </c>
      <c r="B112" s="6" t="s">
        <v>1118</v>
      </c>
      <c r="C112" s="28"/>
      <c r="D112" s="287"/>
      <c r="E112" s="45"/>
      <c r="F112" s="28"/>
      <c r="G112" s="28"/>
      <c r="H112" s="17"/>
      <c r="I112" s="17"/>
      <c r="J112" s="17"/>
      <c r="K112" s="17"/>
      <c r="L112" s="17"/>
      <c r="M112" s="17"/>
      <c r="N112" s="17"/>
    </row>
    <row r="113" spans="1:14" s="96" customFormat="1" ht="13.2" x14ac:dyDescent="0.25">
      <c r="A113" s="202" t="s">
        <v>1115</v>
      </c>
      <c r="B113" s="216" t="s">
        <v>1119</v>
      </c>
      <c r="C113" s="217" t="s">
        <v>1120</v>
      </c>
      <c r="D113" s="120"/>
      <c r="E113" s="45">
        <f t="shared" si="3"/>
        <v>0</v>
      </c>
      <c r="F113" s="127">
        <f>D113*E113</f>
        <v>0</v>
      </c>
      <c r="G113" s="151">
        <f>'Etude de cas n°1'!D113</f>
        <v>0</v>
      </c>
      <c r="H113" s="17"/>
      <c r="I113" s="17"/>
      <c r="J113" s="17"/>
      <c r="K113" s="17"/>
      <c r="L113" s="17"/>
      <c r="M113" s="17"/>
      <c r="N113" s="17"/>
    </row>
    <row r="114" spans="1:14" s="96" customFormat="1" ht="13.2" x14ac:dyDescent="0.25">
      <c r="A114" s="202" t="s">
        <v>1116</v>
      </c>
      <c r="B114" s="216" t="s">
        <v>1121</v>
      </c>
      <c r="C114" s="217" t="s">
        <v>1120</v>
      </c>
      <c r="D114" s="120"/>
      <c r="E114" s="45">
        <f t="shared" si="3"/>
        <v>0</v>
      </c>
      <c r="F114" s="127">
        <f>D114*E114</f>
        <v>0</v>
      </c>
      <c r="G114" s="151">
        <f>'Etude de cas n°1'!D114</f>
        <v>0</v>
      </c>
      <c r="H114" s="17"/>
      <c r="I114" s="17"/>
      <c r="J114" s="17"/>
      <c r="K114" s="17"/>
      <c r="L114" s="17"/>
      <c r="M114" s="17"/>
      <c r="N114" s="17"/>
    </row>
    <row r="115" spans="1:14" s="97" customFormat="1" ht="13.2" x14ac:dyDescent="0.25">
      <c r="A115" s="28" t="s">
        <v>1117</v>
      </c>
      <c r="B115" s="4" t="s">
        <v>1122</v>
      </c>
      <c r="C115" s="217" t="s">
        <v>984</v>
      </c>
      <c r="D115" s="120"/>
      <c r="E115" s="45">
        <f t="shared" si="3"/>
        <v>0</v>
      </c>
      <c r="F115" s="127">
        <f>D115*E115</f>
        <v>0</v>
      </c>
      <c r="G115" s="151">
        <f>'Etude de cas n°1'!D115</f>
        <v>0</v>
      </c>
      <c r="H115" s="218"/>
      <c r="I115" s="218"/>
      <c r="J115" s="218"/>
      <c r="K115" s="218"/>
      <c r="L115" s="218"/>
      <c r="M115" s="218"/>
      <c r="N115" s="218"/>
    </row>
    <row r="116" spans="1:14" s="97" customFormat="1" ht="13.2" x14ac:dyDescent="0.25">
      <c r="A116" s="28"/>
      <c r="B116" s="4"/>
      <c r="C116" s="217"/>
      <c r="D116" s="120"/>
      <c r="E116" s="45"/>
      <c r="F116" s="127"/>
      <c r="G116" s="151"/>
      <c r="H116" s="218"/>
      <c r="I116" s="218"/>
      <c r="J116" s="218"/>
      <c r="K116" s="218"/>
      <c r="L116" s="218"/>
      <c r="M116" s="218"/>
      <c r="N116" s="218"/>
    </row>
    <row r="117" spans="1:14" s="96" customFormat="1" ht="13.2" x14ac:dyDescent="0.25">
      <c r="A117" s="202"/>
      <c r="B117" s="122" t="s">
        <v>1123</v>
      </c>
      <c r="C117" s="217"/>
      <c r="D117" s="120"/>
      <c r="E117" s="45"/>
      <c r="F117" s="158">
        <f>SUM(F12:F114)</f>
        <v>0</v>
      </c>
      <c r="G117" s="151"/>
      <c r="H117" s="17"/>
      <c r="I117" s="17"/>
      <c r="J117" s="17"/>
      <c r="K117" s="17"/>
      <c r="L117" s="17"/>
      <c r="M117" s="17"/>
      <c r="N117" s="17"/>
    </row>
    <row r="118" spans="1:14" s="96" customFormat="1" ht="13.2" x14ac:dyDescent="0.25">
      <c r="A118" s="202"/>
      <c r="B118" s="216"/>
      <c r="C118" s="217"/>
      <c r="D118" s="120"/>
      <c r="E118" s="45"/>
      <c r="F118" s="127"/>
      <c r="G118" s="151"/>
      <c r="H118" s="17"/>
      <c r="I118" s="17"/>
      <c r="J118" s="17"/>
      <c r="K118" s="17"/>
      <c r="L118" s="17"/>
      <c r="M118" s="17"/>
      <c r="N118" s="17"/>
    </row>
    <row r="119" spans="1:14" s="96" customFormat="1" ht="13.2" x14ac:dyDescent="0.25">
      <c r="A119" s="29" t="s">
        <v>1124</v>
      </c>
      <c r="B119" s="30" t="s">
        <v>1125</v>
      </c>
      <c r="C119" s="224"/>
      <c r="D119" s="123"/>
      <c r="E119" s="224"/>
      <c r="F119" s="224"/>
      <c r="G119" s="153"/>
      <c r="H119" s="17"/>
      <c r="I119" s="17"/>
      <c r="J119" s="17"/>
      <c r="K119" s="17"/>
      <c r="L119" s="17"/>
      <c r="M119" s="17"/>
      <c r="N119" s="17"/>
    </row>
    <row r="120" spans="1:14" s="96" customFormat="1" ht="13.2" x14ac:dyDescent="0.25">
      <c r="A120" s="27" t="s">
        <v>1126</v>
      </c>
      <c r="B120" s="6" t="s">
        <v>1127</v>
      </c>
      <c r="C120" s="217"/>
      <c r="D120" s="120"/>
      <c r="E120" s="217"/>
      <c r="F120" s="127"/>
      <c r="G120" s="151"/>
      <c r="H120" s="17"/>
      <c r="I120" s="17"/>
      <c r="J120" s="17"/>
      <c r="K120" s="17"/>
      <c r="L120" s="17"/>
      <c r="M120" s="17"/>
      <c r="N120" s="17"/>
    </row>
    <row r="121" spans="1:14" s="96" customFormat="1" ht="13.2" x14ac:dyDescent="0.25">
      <c r="A121" s="202" t="s">
        <v>39</v>
      </c>
      <c r="B121" s="216" t="s">
        <v>1128</v>
      </c>
      <c r="C121" s="217"/>
      <c r="D121" s="120"/>
      <c r="E121" s="45"/>
      <c r="F121" s="127"/>
      <c r="G121" s="151"/>
      <c r="H121" s="17"/>
      <c r="I121" s="17"/>
      <c r="J121" s="17"/>
      <c r="K121" s="17"/>
      <c r="L121" s="17"/>
      <c r="M121" s="17"/>
      <c r="N121" s="17"/>
    </row>
    <row r="122" spans="1:14" s="96" customFormat="1" ht="13.2" x14ac:dyDescent="0.25">
      <c r="A122" s="202" t="s">
        <v>1129</v>
      </c>
      <c r="B122" s="216" t="s">
        <v>1130</v>
      </c>
      <c r="C122" s="217" t="s">
        <v>1011</v>
      </c>
      <c r="D122" s="120"/>
      <c r="E122" s="45">
        <f t="shared" ref="E122:E185" si="7">G122</f>
        <v>0</v>
      </c>
      <c r="F122" s="127">
        <f>D122*E122</f>
        <v>0</v>
      </c>
      <c r="G122" s="151">
        <f>'Etude de cas n°1'!D122</f>
        <v>0</v>
      </c>
      <c r="H122" s="17"/>
      <c r="I122" s="17"/>
      <c r="J122" s="17"/>
      <c r="K122" s="17"/>
      <c r="L122" s="17"/>
      <c r="M122" s="17"/>
      <c r="N122" s="17"/>
    </row>
    <row r="123" spans="1:14" s="96" customFormat="1" ht="13.2" x14ac:dyDescent="0.25">
      <c r="A123" s="202" t="s">
        <v>1131</v>
      </c>
      <c r="B123" s="216" t="s">
        <v>1132</v>
      </c>
      <c r="C123" s="217" t="s">
        <v>1011</v>
      </c>
      <c r="D123" s="120"/>
      <c r="E123" s="45">
        <f t="shared" si="7"/>
        <v>0</v>
      </c>
      <c r="F123" s="127">
        <f t="shared" ref="F123:F133" si="8">D123*E123</f>
        <v>0</v>
      </c>
      <c r="G123" s="151">
        <f>'Etude de cas n°1'!D123</f>
        <v>0</v>
      </c>
      <c r="H123" s="17"/>
      <c r="I123" s="17"/>
      <c r="J123" s="17"/>
      <c r="K123" s="17"/>
      <c r="L123" s="17"/>
      <c r="M123" s="17"/>
      <c r="N123" s="17"/>
    </row>
    <row r="124" spans="1:14" s="96" customFormat="1" ht="13.2" x14ac:dyDescent="0.25">
      <c r="A124" s="202" t="s">
        <v>1133</v>
      </c>
      <c r="B124" s="216" t="s">
        <v>1134</v>
      </c>
      <c r="C124" s="217" t="s">
        <v>1011</v>
      </c>
      <c r="D124" s="120"/>
      <c r="E124" s="45">
        <f t="shared" si="7"/>
        <v>0</v>
      </c>
      <c r="F124" s="127">
        <f t="shared" si="8"/>
        <v>0</v>
      </c>
      <c r="G124" s="151">
        <f>'Etude de cas n°1'!D124</f>
        <v>0</v>
      </c>
      <c r="H124" s="17"/>
      <c r="I124" s="17"/>
      <c r="J124" s="17"/>
      <c r="K124" s="17"/>
      <c r="L124" s="17"/>
      <c r="M124" s="17"/>
      <c r="N124" s="17"/>
    </row>
    <row r="125" spans="1:14" s="96" customFormat="1" ht="13.2" x14ac:dyDescent="0.25">
      <c r="A125" s="202" t="s">
        <v>40</v>
      </c>
      <c r="B125" s="216" t="s">
        <v>1135</v>
      </c>
      <c r="C125" s="217"/>
      <c r="D125" s="120"/>
      <c r="E125" s="45"/>
      <c r="F125" s="127"/>
      <c r="G125" s="151"/>
      <c r="H125" s="17"/>
      <c r="I125" s="17"/>
      <c r="J125" s="17"/>
      <c r="K125" s="17"/>
      <c r="L125" s="17"/>
      <c r="M125" s="17"/>
      <c r="N125" s="17"/>
    </row>
    <row r="126" spans="1:14" s="96" customFormat="1" ht="13.2" x14ac:dyDescent="0.25">
      <c r="A126" s="201" t="s">
        <v>1136</v>
      </c>
      <c r="B126" s="216" t="s">
        <v>1132</v>
      </c>
      <c r="C126" s="217" t="s">
        <v>1011</v>
      </c>
      <c r="D126" s="120"/>
      <c r="E126" s="45">
        <f t="shared" si="7"/>
        <v>0</v>
      </c>
      <c r="F126" s="127">
        <f t="shared" si="8"/>
        <v>0</v>
      </c>
      <c r="G126" s="151">
        <f>'Etude de cas n°1'!D126</f>
        <v>0</v>
      </c>
      <c r="H126" s="17"/>
      <c r="I126" s="17"/>
      <c r="J126" s="17"/>
      <c r="K126" s="17"/>
      <c r="L126" s="17"/>
      <c r="M126" s="17"/>
      <c r="N126" s="17"/>
    </row>
    <row r="127" spans="1:14" s="99" customFormat="1" ht="13.2" x14ac:dyDescent="0.25">
      <c r="A127" s="201" t="s">
        <v>1137</v>
      </c>
      <c r="B127" s="216" t="s">
        <v>1134</v>
      </c>
      <c r="C127" s="217" t="s">
        <v>1011</v>
      </c>
      <c r="D127" s="120"/>
      <c r="E127" s="45">
        <f t="shared" si="7"/>
        <v>0</v>
      </c>
      <c r="F127" s="127">
        <f t="shared" si="8"/>
        <v>0</v>
      </c>
      <c r="G127" s="151">
        <f>'Etude de cas n°1'!D127</f>
        <v>0</v>
      </c>
      <c r="H127" s="18"/>
      <c r="I127" s="18"/>
      <c r="J127" s="18"/>
      <c r="K127" s="18"/>
      <c r="L127" s="18"/>
      <c r="M127" s="18"/>
      <c r="N127" s="18"/>
    </row>
    <row r="128" spans="1:14" s="99" customFormat="1" ht="13.2" x14ac:dyDescent="0.25">
      <c r="A128" s="202" t="s">
        <v>41</v>
      </c>
      <c r="B128" s="216" t="s">
        <v>1138</v>
      </c>
      <c r="C128" s="217" t="s">
        <v>1011</v>
      </c>
      <c r="D128" s="120"/>
      <c r="E128" s="45">
        <f t="shared" si="7"/>
        <v>0</v>
      </c>
      <c r="F128" s="127">
        <f t="shared" si="8"/>
        <v>0</v>
      </c>
      <c r="G128" s="151">
        <f>'Etude de cas n°1'!D128</f>
        <v>0</v>
      </c>
      <c r="H128" s="18"/>
      <c r="I128" s="18"/>
      <c r="J128" s="18"/>
      <c r="K128" s="18"/>
      <c r="L128" s="18"/>
      <c r="M128" s="18"/>
      <c r="N128" s="18"/>
    </row>
    <row r="129" spans="1:14" s="99" customFormat="1" ht="13.2" x14ac:dyDescent="0.25">
      <c r="A129" s="202" t="s">
        <v>42</v>
      </c>
      <c r="B129" s="216" t="s">
        <v>1139</v>
      </c>
      <c r="C129" s="217" t="s">
        <v>1011</v>
      </c>
      <c r="D129" s="120"/>
      <c r="E129" s="45">
        <f t="shared" si="7"/>
        <v>0</v>
      </c>
      <c r="F129" s="127">
        <f t="shared" si="8"/>
        <v>0</v>
      </c>
      <c r="G129" s="151">
        <f>'Etude de cas n°1'!D129</f>
        <v>0</v>
      </c>
      <c r="H129" s="18"/>
      <c r="I129" s="18"/>
      <c r="J129" s="18"/>
      <c r="K129" s="18"/>
      <c r="L129" s="18"/>
      <c r="M129" s="18"/>
      <c r="N129" s="18"/>
    </row>
    <row r="130" spans="1:14" s="96" customFormat="1" ht="13.2" x14ac:dyDescent="0.25">
      <c r="A130" s="202" t="s">
        <v>43</v>
      </c>
      <c r="B130" s="216" t="s">
        <v>1140</v>
      </c>
      <c r="C130" s="217" t="s">
        <v>1141</v>
      </c>
      <c r="D130" s="120"/>
      <c r="E130" s="45">
        <f t="shared" si="7"/>
        <v>0</v>
      </c>
      <c r="F130" s="127">
        <f t="shared" si="8"/>
        <v>0</v>
      </c>
      <c r="G130" s="151">
        <f>'Etude de cas n°1'!D130</f>
        <v>0</v>
      </c>
      <c r="H130" s="17"/>
      <c r="I130" s="17"/>
      <c r="J130" s="17"/>
      <c r="K130" s="17"/>
      <c r="L130" s="17"/>
      <c r="M130" s="17"/>
      <c r="N130" s="17"/>
    </row>
    <row r="131" spans="1:14" s="96" customFormat="1" ht="13.2" x14ac:dyDescent="0.25">
      <c r="A131" s="202" t="s">
        <v>1142</v>
      </c>
      <c r="B131" s="223" t="s">
        <v>1143</v>
      </c>
      <c r="C131" s="217" t="s">
        <v>1034</v>
      </c>
      <c r="D131" s="120"/>
      <c r="E131" s="45">
        <f t="shared" si="7"/>
        <v>0</v>
      </c>
      <c r="F131" s="127">
        <f t="shared" si="8"/>
        <v>0</v>
      </c>
      <c r="G131" s="151">
        <f>'Etude de cas n°1'!D131</f>
        <v>0</v>
      </c>
      <c r="H131" s="17"/>
      <c r="I131" s="17"/>
      <c r="J131" s="17"/>
      <c r="K131" s="17"/>
      <c r="L131" s="17"/>
      <c r="M131" s="17"/>
      <c r="N131" s="17"/>
    </row>
    <row r="132" spans="1:14" s="96" customFormat="1" ht="13.2" x14ac:dyDescent="0.25">
      <c r="A132" s="202" t="s">
        <v>1144</v>
      </c>
      <c r="B132" s="223" t="s">
        <v>1145</v>
      </c>
      <c r="C132" s="217" t="s">
        <v>1141</v>
      </c>
      <c r="D132" s="120"/>
      <c r="E132" s="45">
        <f t="shared" si="7"/>
        <v>0</v>
      </c>
      <c r="F132" s="127">
        <f t="shared" si="8"/>
        <v>0</v>
      </c>
      <c r="G132" s="151">
        <f>'Etude de cas n°1'!D132</f>
        <v>0</v>
      </c>
      <c r="H132" s="17"/>
      <c r="I132" s="17"/>
      <c r="J132" s="17"/>
      <c r="K132" s="17"/>
      <c r="L132" s="17"/>
      <c r="M132" s="17"/>
      <c r="N132" s="17"/>
    </row>
    <row r="133" spans="1:14" s="96" customFormat="1" ht="13.2" x14ac:dyDescent="0.25">
      <c r="A133" s="202" t="s">
        <v>1146</v>
      </c>
      <c r="B133" s="223" t="s">
        <v>1147</v>
      </c>
      <c r="C133" s="217" t="s">
        <v>1141</v>
      </c>
      <c r="D133" s="120"/>
      <c r="E133" s="45">
        <f t="shared" si="7"/>
        <v>0</v>
      </c>
      <c r="F133" s="127">
        <f t="shared" si="8"/>
        <v>0</v>
      </c>
      <c r="G133" s="151">
        <f>'Etude de cas n°1'!D133</f>
        <v>0</v>
      </c>
      <c r="H133" s="17"/>
      <c r="I133" s="17"/>
      <c r="J133" s="17"/>
      <c r="K133" s="17"/>
      <c r="L133" s="17"/>
      <c r="M133" s="17"/>
      <c r="N133" s="17"/>
    </row>
    <row r="134" spans="1:14" s="96" customFormat="1" ht="13.2" x14ac:dyDescent="0.25">
      <c r="A134" s="202" t="s">
        <v>1148</v>
      </c>
      <c r="B134" s="223" t="s">
        <v>1149</v>
      </c>
      <c r="C134" s="217"/>
      <c r="D134" s="120"/>
      <c r="E134" s="45"/>
      <c r="F134" s="127"/>
      <c r="G134" s="151"/>
      <c r="H134" s="17"/>
      <c r="I134" s="17"/>
      <c r="J134" s="17"/>
      <c r="K134" s="17"/>
      <c r="L134" s="17"/>
      <c r="M134" s="17"/>
      <c r="N134" s="17"/>
    </row>
    <row r="135" spans="1:14" s="96" customFormat="1" ht="13.2" x14ac:dyDescent="0.25">
      <c r="A135" s="202" t="s">
        <v>1150</v>
      </c>
      <c r="B135" s="223" t="s">
        <v>1151</v>
      </c>
      <c r="C135" s="217"/>
      <c r="D135" s="120"/>
      <c r="E135" s="45"/>
      <c r="F135" s="127"/>
      <c r="G135" s="151"/>
      <c r="H135" s="17"/>
      <c r="I135" s="17"/>
      <c r="J135" s="17"/>
      <c r="K135" s="17"/>
      <c r="L135" s="17"/>
      <c r="M135" s="17"/>
      <c r="N135" s="17"/>
    </row>
    <row r="136" spans="1:14" s="96" customFormat="1" ht="13.2" x14ac:dyDescent="0.25">
      <c r="A136" s="202" t="s">
        <v>1152</v>
      </c>
      <c r="B136" s="223" t="s">
        <v>1153</v>
      </c>
      <c r="C136" s="217" t="s">
        <v>1011</v>
      </c>
      <c r="D136" s="120"/>
      <c r="E136" s="45">
        <f t="shared" si="7"/>
        <v>0</v>
      </c>
      <c r="F136" s="127">
        <f t="shared" ref="F136:F153" si="9">D136*E136</f>
        <v>0</v>
      </c>
      <c r="G136" s="151">
        <f>'Etude de cas n°1'!D136</f>
        <v>0</v>
      </c>
      <c r="H136" s="17"/>
      <c r="I136" s="17"/>
      <c r="J136" s="17"/>
      <c r="K136" s="17"/>
      <c r="L136" s="17"/>
      <c r="M136" s="17"/>
      <c r="N136" s="17"/>
    </row>
    <row r="137" spans="1:14" s="96" customFormat="1" ht="13.2" x14ac:dyDescent="0.25">
      <c r="A137" s="202" t="s">
        <v>1154</v>
      </c>
      <c r="B137" s="223" t="s">
        <v>1155</v>
      </c>
      <c r="C137" s="217" t="s">
        <v>1011</v>
      </c>
      <c r="D137" s="120"/>
      <c r="E137" s="45">
        <f t="shared" si="7"/>
        <v>0</v>
      </c>
      <c r="F137" s="127">
        <f t="shared" si="9"/>
        <v>0</v>
      </c>
      <c r="G137" s="151">
        <f>'Etude de cas n°1'!D137</f>
        <v>0</v>
      </c>
      <c r="H137" s="17"/>
      <c r="I137" s="17"/>
      <c r="J137" s="17"/>
      <c r="K137" s="17"/>
      <c r="L137" s="17"/>
      <c r="M137" s="17"/>
      <c r="N137" s="17"/>
    </row>
    <row r="138" spans="1:14" s="96" customFormat="1" ht="13.2" x14ac:dyDescent="0.25">
      <c r="A138" s="202" t="s">
        <v>1156</v>
      </c>
      <c r="B138" s="223" t="s">
        <v>1157</v>
      </c>
      <c r="C138" s="217" t="s">
        <v>1011</v>
      </c>
      <c r="D138" s="120"/>
      <c r="E138" s="45">
        <f t="shared" si="7"/>
        <v>0</v>
      </c>
      <c r="F138" s="127">
        <f t="shared" si="9"/>
        <v>0</v>
      </c>
      <c r="G138" s="151">
        <f>'Etude de cas n°1'!D138</f>
        <v>0</v>
      </c>
      <c r="H138" s="17"/>
      <c r="I138" s="17"/>
      <c r="J138" s="17"/>
      <c r="K138" s="17"/>
      <c r="L138" s="17"/>
      <c r="M138" s="17"/>
      <c r="N138" s="17"/>
    </row>
    <row r="139" spans="1:14" s="96" customFormat="1" ht="13.2" x14ac:dyDescent="0.25">
      <c r="A139" s="202" t="s">
        <v>1158</v>
      </c>
      <c r="B139" s="135" t="s">
        <v>1159</v>
      </c>
      <c r="C139" s="217" t="s">
        <v>1011</v>
      </c>
      <c r="D139" s="120"/>
      <c r="E139" s="45">
        <f t="shared" si="7"/>
        <v>0</v>
      </c>
      <c r="F139" s="127">
        <f t="shared" si="9"/>
        <v>0</v>
      </c>
      <c r="G139" s="151">
        <f>'Etude de cas n°1'!D139</f>
        <v>0</v>
      </c>
      <c r="H139" s="17"/>
      <c r="I139" s="17"/>
      <c r="J139" s="17"/>
      <c r="K139" s="17"/>
      <c r="L139" s="17"/>
      <c r="M139" s="17"/>
      <c r="N139" s="17"/>
    </row>
    <row r="140" spans="1:14" s="96" customFormat="1" ht="13.2" x14ac:dyDescent="0.25">
      <c r="A140" s="202" t="s">
        <v>1160</v>
      </c>
      <c r="B140" s="135" t="s">
        <v>1161</v>
      </c>
      <c r="C140" s="217" t="s">
        <v>1011</v>
      </c>
      <c r="D140" s="120"/>
      <c r="E140" s="45">
        <f t="shared" si="7"/>
        <v>0</v>
      </c>
      <c r="F140" s="127">
        <f t="shared" si="9"/>
        <v>0</v>
      </c>
      <c r="G140" s="151">
        <f>'Etude de cas n°1'!D140</f>
        <v>0</v>
      </c>
      <c r="H140" s="17"/>
      <c r="I140" s="17"/>
      <c r="J140" s="17"/>
      <c r="K140" s="17"/>
      <c r="L140" s="17"/>
      <c r="M140" s="17"/>
      <c r="N140" s="17"/>
    </row>
    <row r="141" spans="1:14" s="96" customFormat="1" ht="13.2" x14ac:dyDescent="0.25">
      <c r="A141" s="202" t="s">
        <v>1162</v>
      </c>
      <c r="B141" s="135" t="s">
        <v>1163</v>
      </c>
      <c r="C141" s="217" t="s">
        <v>1011</v>
      </c>
      <c r="D141" s="120"/>
      <c r="E141" s="45">
        <f t="shared" si="7"/>
        <v>0</v>
      </c>
      <c r="F141" s="127">
        <f t="shared" si="9"/>
        <v>0</v>
      </c>
      <c r="G141" s="151">
        <f>'Etude de cas n°1'!D141</f>
        <v>0</v>
      </c>
      <c r="H141" s="17"/>
      <c r="I141" s="17"/>
      <c r="J141" s="17"/>
      <c r="K141" s="17"/>
      <c r="L141" s="17"/>
      <c r="M141" s="17"/>
      <c r="N141" s="17"/>
    </row>
    <row r="142" spans="1:14" s="96" customFormat="1" ht="13.2" x14ac:dyDescent="0.25">
      <c r="A142" s="202" t="s">
        <v>1164</v>
      </c>
      <c r="B142" s="223" t="s">
        <v>1165</v>
      </c>
      <c r="C142" s="217"/>
      <c r="D142" s="120"/>
      <c r="E142" s="45"/>
      <c r="F142" s="127"/>
      <c r="G142" s="151"/>
      <c r="H142" s="17"/>
      <c r="I142" s="17"/>
      <c r="J142" s="17"/>
      <c r="K142" s="17"/>
      <c r="L142" s="17"/>
      <c r="M142" s="17"/>
      <c r="N142" s="17"/>
    </row>
    <row r="143" spans="1:14" s="96" customFormat="1" ht="13.2" x14ac:dyDescent="0.25">
      <c r="A143" s="202" t="s">
        <v>1166</v>
      </c>
      <c r="B143" s="223" t="s">
        <v>1167</v>
      </c>
      <c r="C143" s="217" t="s">
        <v>1011</v>
      </c>
      <c r="D143" s="120"/>
      <c r="E143" s="45">
        <f t="shared" si="7"/>
        <v>0</v>
      </c>
      <c r="F143" s="127">
        <f t="shared" si="9"/>
        <v>0</v>
      </c>
      <c r="G143" s="151">
        <f>'Etude de cas n°1'!D143</f>
        <v>0</v>
      </c>
      <c r="H143" s="17"/>
      <c r="I143" s="17"/>
      <c r="J143" s="17"/>
      <c r="K143" s="17"/>
      <c r="L143" s="17"/>
      <c r="M143" s="17"/>
      <c r="N143" s="17"/>
    </row>
    <row r="144" spans="1:14" s="96" customFormat="1" ht="13.2" x14ac:dyDescent="0.25">
      <c r="A144" s="202" t="s">
        <v>1168</v>
      </c>
      <c r="B144" s="223" t="s">
        <v>1169</v>
      </c>
      <c r="C144" s="217" t="s">
        <v>1011</v>
      </c>
      <c r="D144" s="120"/>
      <c r="E144" s="45">
        <f t="shared" si="7"/>
        <v>0</v>
      </c>
      <c r="F144" s="127">
        <f t="shared" si="9"/>
        <v>0</v>
      </c>
      <c r="G144" s="151">
        <f>'Etude de cas n°1'!D144</f>
        <v>0</v>
      </c>
      <c r="H144" s="17"/>
      <c r="I144" s="17"/>
      <c r="J144" s="17"/>
      <c r="K144" s="17"/>
      <c r="L144" s="17"/>
      <c r="M144" s="17"/>
      <c r="N144" s="17"/>
    </row>
    <row r="145" spans="1:14" s="96" customFormat="1" ht="13.2" x14ac:dyDescent="0.25">
      <c r="A145" s="202" t="s">
        <v>1170</v>
      </c>
      <c r="B145" s="223" t="s">
        <v>1171</v>
      </c>
      <c r="C145" s="217"/>
      <c r="D145" s="120"/>
      <c r="E145" s="45"/>
      <c r="F145" s="127"/>
      <c r="G145" s="151"/>
      <c r="H145" s="17"/>
      <c r="I145" s="17"/>
      <c r="J145" s="17"/>
      <c r="K145" s="17"/>
      <c r="L145" s="17"/>
      <c r="M145" s="17"/>
      <c r="N145" s="17"/>
    </row>
    <row r="146" spans="1:14" s="96" customFormat="1" ht="13.2" x14ac:dyDescent="0.25">
      <c r="A146" s="202" t="s">
        <v>1172</v>
      </c>
      <c r="B146" s="223" t="s">
        <v>1173</v>
      </c>
      <c r="C146" s="217" t="s">
        <v>1011</v>
      </c>
      <c r="D146" s="120"/>
      <c r="E146" s="45">
        <f t="shared" si="7"/>
        <v>0</v>
      </c>
      <c r="F146" s="127">
        <f t="shared" si="9"/>
        <v>0</v>
      </c>
      <c r="G146" s="151">
        <f>'Etude de cas n°1'!D146</f>
        <v>0</v>
      </c>
      <c r="H146" s="17"/>
      <c r="I146" s="17"/>
      <c r="J146" s="17"/>
      <c r="K146" s="17"/>
      <c r="L146" s="17"/>
      <c r="M146" s="17"/>
      <c r="N146" s="17"/>
    </row>
    <row r="147" spans="1:14" s="96" customFormat="1" ht="13.2" x14ac:dyDescent="0.25">
      <c r="A147" s="202" t="s">
        <v>1174</v>
      </c>
      <c r="B147" s="223" t="s">
        <v>1175</v>
      </c>
      <c r="C147" s="217" t="s">
        <v>1011</v>
      </c>
      <c r="D147" s="120"/>
      <c r="E147" s="45">
        <f t="shared" si="7"/>
        <v>0</v>
      </c>
      <c r="F147" s="127">
        <f t="shared" si="9"/>
        <v>0</v>
      </c>
      <c r="G147" s="151">
        <f>'Etude de cas n°1'!D147</f>
        <v>0</v>
      </c>
      <c r="H147" s="17"/>
      <c r="I147" s="17"/>
      <c r="J147" s="17"/>
      <c r="K147" s="17"/>
      <c r="L147" s="17"/>
      <c r="M147" s="17"/>
      <c r="N147" s="17"/>
    </row>
    <row r="148" spans="1:14" s="96" customFormat="1" ht="13.2" x14ac:dyDescent="0.25">
      <c r="A148" s="202" t="s">
        <v>1176</v>
      </c>
      <c r="B148" s="223" t="s">
        <v>1177</v>
      </c>
      <c r="C148" s="217" t="s">
        <v>1011</v>
      </c>
      <c r="D148" s="120"/>
      <c r="E148" s="45">
        <f t="shared" si="7"/>
        <v>0</v>
      </c>
      <c r="F148" s="127">
        <f t="shared" si="9"/>
        <v>0</v>
      </c>
      <c r="G148" s="151">
        <f>'Etude de cas n°1'!D148</f>
        <v>0</v>
      </c>
      <c r="H148" s="17"/>
      <c r="I148" s="17"/>
      <c r="J148" s="17"/>
      <c r="K148" s="17"/>
      <c r="L148" s="17"/>
      <c r="M148" s="17"/>
      <c r="N148" s="17"/>
    </row>
    <row r="149" spans="1:14" s="96" customFormat="1" ht="13.2" x14ac:dyDescent="0.25">
      <c r="A149" s="202" t="s">
        <v>1178</v>
      </c>
      <c r="B149" s="223" t="s">
        <v>1179</v>
      </c>
      <c r="C149" s="217" t="s">
        <v>1011</v>
      </c>
      <c r="D149" s="120"/>
      <c r="E149" s="45">
        <f t="shared" si="7"/>
        <v>0</v>
      </c>
      <c r="F149" s="127">
        <f t="shared" si="9"/>
        <v>0</v>
      </c>
      <c r="G149" s="151">
        <f>'Etude de cas n°1'!D149</f>
        <v>0</v>
      </c>
      <c r="H149" s="17"/>
      <c r="I149" s="17"/>
      <c r="J149" s="17"/>
      <c r="K149" s="17"/>
      <c r="L149" s="17"/>
      <c r="M149" s="17"/>
      <c r="N149" s="17"/>
    </row>
    <row r="150" spans="1:14" s="96" customFormat="1" ht="13.2" x14ac:dyDescent="0.25">
      <c r="A150" s="202" t="s">
        <v>1180</v>
      </c>
      <c r="B150" s="223" t="s">
        <v>1181</v>
      </c>
      <c r="C150" s="217" t="s">
        <v>1011</v>
      </c>
      <c r="D150" s="120"/>
      <c r="E150" s="45">
        <f t="shared" si="7"/>
        <v>0</v>
      </c>
      <c r="F150" s="127">
        <f t="shared" si="9"/>
        <v>0</v>
      </c>
      <c r="G150" s="151">
        <f>'Etude de cas n°1'!D150</f>
        <v>0</v>
      </c>
      <c r="H150" s="17"/>
      <c r="I150" s="17"/>
      <c r="J150" s="17"/>
      <c r="K150" s="17"/>
      <c r="L150" s="17"/>
      <c r="M150" s="17"/>
      <c r="N150" s="17"/>
    </row>
    <row r="151" spans="1:14" s="96" customFormat="1" ht="13.2" x14ac:dyDescent="0.25">
      <c r="A151" s="202" t="s">
        <v>1182</v>
      </c>
      <c r="B151" s="223" t="s">
        <v>1183</v>
      </c>
      <c r="C151" s="217" t="s">
        <v>1011</v>
      </c>
      <c r="D151" s="120"/>
      <c r="E151" s="45">
        <f t="shared" si="7"/>
        <v>0</v>
      </c>
      <c r="F151" s="127">
        <f t="shared" si="9"/>
        <v>0</v>
      </c>
      <c r="G151" s="151">
        <f>'Etude de cas n°1'!D151</f>
        <v>0</v>
      </c>
      <c r="H151" s="17"/>
      <c r="I151" s="17"/>
      <c r="J151" s="17"/>
      <c r="K151" s="17"/>
      <c r="L151" s="17"/>
      <c r="M151" s="17"/>
      <c r="N151" s="17"/>
    </row>
    <row r="152" spans="1:14" s="96" customFormat="1" ht="13.2" x14ac:dyDescent="0.25">
      <c r="A152" s="202" t="s">
        <v>1184</v>
      </c>
      <c r="B152" s="223" t="s">
        <v>1185</v>
      </c>
      <c r="C152" s="217" t="s">
        <v>1011</v>
      </c>
      <c r="D152" s="120"/>
      <c r="E152" s="45">
        <f t="shared" si="7"/>
        <v>0</v>
      </c>
      <c r="F152" s="127">
        <f t="shared" si="9"/>
        <v>0</v>
      </c>
      <c r="G152" s="151">
        <f>'Etude de cas n°1'!D152</f>
        <v>0</v>
      </c>
      <c r="H152" s="17"/>
      <c r="I152" s="17"/>
      <c r="J152" s="17"/>
      <c r="K152" s="17"/>
      <c r="L152" s="17"/>
      <c r="M152" s="17"/>
      <c r="N152" s="17"/>
    </row>
    <row r="153" spans="1:14" s="96" customFormat="1" ht="13.2" x14ac:dyDescent="0.25">
      <c r="A153" s="202" t="s">
        <v>1186</v>
      </c>
      <c r="B153" s="223" t="s">
        <v>1187</v>
      </c>
      <c r="C153" s="217" t="s">
        <v>1011</v>
      </c>
      <c r="D153" s="120"/>
      <c r="E153" s="45">
        <f t="shared" si="7"/>
        <v>0</v>
      </c>
      <c r="F153" s="127">
        <f t="shared" si="9"/>
        <v>0</v>
      </c>
      <c r="G153" s="151">
        <f>'Etude de cas n°1'!D153</f>
        <v>0</v>
      </c>
      <c r="H153" s="17"/>
      <c r="I153" s="17"/>
      <c r="J153" s="17"/>
      <c r="K153" s="17"/>
      <c r="L153" s="17"/>
      <c r="M153" s="17"/>
      <c r="N153" s="17"/>
    </row>
    <row r="154" spans="1:14" s="99" customFormat="1" ht="13.2" x14ac:dyDescent="0.25">
      <c r="A154" s="202" t="s">
        <v>1188</v>
      </c>
      <c r="B154" s="223" t="s">
        <v>1189</v>
      </c>
      <c r="C154" s="217"/>
      <c r="D154" s="120"/>
      <c r="E154" s="45"/>
      <c r="F154" s="127"/>
      <c r="G154" s="151"/>
      <c r="H154" s="18"/>
      <c r="I154" s="18"/>
      <c r="J154" s="18"/>
      <c r="K154" s="18"/>
      <c r="L154" s="18"/>
      <c r="M154" s="18"/>
      <c r="N154" s="18"/>
    </row>
    <row r="155" spans="1:14" s="99" customFormat="1" ht="13.2" x14ac:dyDescent="0.25">
      <c r="A155" s="202" t="s">
        <v>1190</v>
      </c>
      <c r="B155" s="223" t="s">
        <v>1191</v>
      </c>
      <c r="C155" s="217"/>
      <c r="D155" s="120"/>
      <c r="E155" s="45"/>
      <c r="F155" s="127"/>
      <c r="G155" s="151"/>
      <c r="H155" s="18"/>
      <c r="I155" s="18"/>
      <c r="J155" s="18"/>
      <c r="K155" s="18"/>
      <c r="L155" s="18"/>
      <c r="M155" s="18"/>
      <c r="N155" s="18"/>
    </row>
    <row r="156" spans="1:14" s="99" customFormat="1" ht="13.2" x14ac:dyDescent="0.25">
      <c r="A156" s="202" t="s">
        <v>1192</v>
      </c>
      <c r="B156" s="223" t="s">
        <v>1193</v>
      </c>
      <c r="C156" s="217" t="s">
        <v>1011</v>
      </c>
      <c r="D156" s="120"/>
      <c r="E156" s="45">
        <f t="shared" si="7"/>
        <v>0</v>
      </c>
      <c r="F156" s="127">
        <f>D156*E156</f>
        <v>0</v>
      </c>
      <c r="G156" s="151">
        <f>'Etude de cas n°1'!D156</f>
        <v>0</v>
      </c>
      <c r="H156" s="18"/>
      <c r="I156" s="18"/>
      <c r="J156" s="18"/>
      <c r="K156" s="18"/>
      <c r="L156" s="18"/>
      <c r="M156" s="18"/>
      <c r="N156" s="18"/>
    </row>
    <row r="157" spans="1:14" s="99" customFormat="1" ht="13.2" x14ac:dyDescent="0.25">
      <c r="A157" s="202" t="s">
        <v>1194</v>
      </c>
      <c r="B157" s="223" t="s">
        <v>1195</v>
      </c>
      <c r="C157" s="217" t="s">
        <v>1011</v>
      </c>
      <c r="D157" s="120"/>
      <c r="E157" s="45">
        <f t="shared" si="7"/>
        <v>0</v>
      </c>
      <c r="F157" s="127">
        <f>D157*E157</f>
        <v>0</v>
      </c>
      <c r="G157" s="151">
        <f>'Etude de cas n°1'!D157</f>
        <v>0</v>
      </c>
      <c r="H157" s="18"/>
      <c r="I157" s="18"/>
      <c r="J157" s="18"/>
      <c r="K157" s="18"/>
      <c r="L157" s="18"/>
      <c r="M157" s="18"/>
      <c r="N157" s="18"/>
    </row>
    <row r="158" spans="1:14" s="99" customFormat="1" ht="13.2" x14ac:dyDescent="0.25">
      <c r="A158" s="202" t="s">
        <v>1196</v>
      </c>
      <c r="B158" s="223" t="s">
        <v>1197</v>
      </c>
      <c r="C158" s="217"/>
      <c r="D158" s="120"/>
      <c r="E158" s="45">
        <f t="shared" si="7"/>
        <v>0</v>
      </c>
      <c r="F158" s="127"/>
      <c r="G158" s="151"/>
      <c r="H158" s="18"/>
      <c r="I158" s="18"/>
      <c r="J158" s="18"/>
      <c r="K158" s="18"/>
      <c r="L158" s="18"/>
      <c r="M158" s="18"/>
      <c r="N158" s="18"/>
    </row>
    <row r="159" spans="1:14" s="99" customFormat="1" ht="13.2" x14ac:dyDescent="0.25">
      <c r="A159" s="202" t="s">
        <v>1198</v>
      </c>
      <c r="B159" s="223" t="s">
        <v>1199</v>
      </c>
      <c r="C159" s="217" t="s">
        <v>1011</v>
      </c>
      <c r="D159" s="120"/>
      <c r="E159" s="45">
        <f t="shared" si="7"/>
        <v>0</v>
      </c>
      <c r="F159" s="127">
        <f>D159*E159</f>
        <v>0</v>
      </c>
      <c r="G159" s="151">
        <f>'Etude de cas n°1'!D159</f>
        <v>0</v>
      </c>
      <c r="H159" s="151"/>
      <c r="I159" s="18"/>
      <c r="J159" s="18"/>
      <c r="K159" s="18"/>
      <c r="L159" s="18"/>
      <c r="M159" s="18"/>
      <c r="N159" s="18"/>
    </row>
    <row r="160" spans="1:14" s="96" customFormat="1" ht="13.2" x14ac:dyDescent="0.25">
      <c r="A160" s="202" t="s">
        <v>1200</v>
      </c>
      <c r="B160" s="223" t="s">
        <v>1201</v>
      </c>
      <c r="C160" s="217" t="s">
        <v>1011</v>
      </c>
      <c r="D160" s="120"/>
      <c r="E160" s="45">
        <f t="shared" si="7"/>
        <v>0</v>
      </c>
      <c r="F160" s="127">
        <f>D160*E160</f>
        <v>0</v>
      </c>
      <c r="G160" s="151">
        <f>'Etude de cas n°1'!D160</f>
        <v>0</v>
      </c>
      <c r="H160" s="17"/>
      <c r="I160" s="17"/>
      <c r="J160" s="17"/>
      <c r="K160" s="17"/>
      <c r="L160" s="17"/>
      <c r="M160" s="17"/>
      <c r="N160" s="17"/>
    </row>
    <row r="161" spans="1:14" s="96" customFormat="1" ht="13.2" x14ac:dyDescent="0.25">
      <c r="A161" s="202" t="s">
        <v>1202</v>
      </c>
      <c r="B161" s="223" t="s">
        <v>1203</v>
      </c>
      <c r="C161" s="217"/>
      <c r="D161" s="120"/>
      <c r="E161" s="45"/>
      <c r="F161" s="127"/>
      <c r="G161" s="151"/>
      <c r="H161" s="17"/>
      <c r="I161" s="17"/>
      <c r="J161" s="17"/>
      <c r="K161" s="17"/>
      <c r="L161" s="17"/>
      <c r="M161" s="17"/>
      <c r="N161" s="17"/>
    </row>
    <row r="162" spans="1:14" s="96" customFormat="1" ht="13.2" x14ac:dyDescent="0.25">
      <c r="A162" s="202" t="s">
        <v>1204</v>
      </c>
      <c r="B162" s="223" t="s">
        <v>1205</v>
      </c>
      <c r="C162" s="217" t="s">
        <v>1011</v>
      </c>
      <c r="D162" s="120"/>
      <c r="E162" s="45">
        <f t="shared" si="7"/>
        <v>0</v>
      </c>
      <c r="F162" s="127">
        <f>D162*E162</f>
        <v>0</v>
      </c>
      <c r="G162" s="151">
        <f>'Etude de cas n°1'!D162</f>
        <v>0</v>
      </c>
      <c r="H162" s="17"/>
      <c r="I162" s="17"/>
      <c r="J162" s="17"/>
      <c r="K162" s="17"/>
      <c r="L162" s="17"/>
      <c r="M162" s="17"/>
      <c r="N162" s="17"/>
    </row>
    <row r="163" spans="1:14" s="96" customFormat="1" ht="13.2" x14ac:dyDescent="0.25">
      <c r="A163" s="202" t="s">
        <v>1206</v>
      </c>
      <c r="B163" s="223" t="s">
        <v>1207</v>
      </c>
      <c r="C163" s="217" t="s">
        <v>1141</v>
      </c>
      <c r="D163" s="120"/>
      <c r="E163" s="45">
        <f t="shared" si="7"/>
        <v>0</v>
      </c>
      <c r="F163" s="127">
        <f>D163*E163</f>
        <v>0</v>
      </c>
      <c r="G163" s="151">
        <f>'Etude de cas n°1'!D163</f>
        <v>0</v>
      </c>
      <c r="H163" s="17"/>
      <c r="I163" s="17"/>
      <c r="J163" s="17"/>
      <c r="K163" s="17"/>
      <c r="L163" s="17"/>
      <c r="M163" s="17"/>
      <c r="N163" s="17"/>
    </row>
    <row r="164" spans="1:14" s="96" customFormat="1" ht="13.2" x14ac:dyDescent="0.25">
      <c r="A164" s="202" t="s">
        <v>1208</v>
      </c>
      <c r="B164" s="223" t="s">
        <v>1209</v>
      </c>
      <c r="C164" s="217"/>
      <c r="D164" s="120"/>
      <c r="E164" s="45"/>
      <c r="F164" s="127"/>
      <c r="G164" s="151"/>
      <c r="H164" s="17"/>
      <c r="I164" s="17"/>
      <c r="J164" s="17"/>
      <c r="K164" s="17"/>
      <c r="L164" s="17"/>
      <c r="M164" s="17"/>
      <c r="N164" s="17"/>
    </row>
    <row r="165" spans="1:14" s="96" customFormat="1" ht="13.2" x14ac:dyDescent="0.25">
      <c r="A165" s="202" t="s">
        <v>1210</v>
      </c>
      <c r="B165" s="223" t="s">
        <v>1211</v>
      </c>
      <c r="C165" s="217" t="s">
        <v>1011</v>
      </c>
      <c r="D165" s="120"/>
      <c r="E165" s="45">
        <f t="shared" si="7"/>
        <v>0</v>
      </c>
      <c r="F165" s="127">
        <f>D165*E165</f>
        <v>0</v>
      </c>
      <c r="G165" s="151">
        <f>'Etude de cas n°1'!D165</f>
        <v>0</v>
      </c>
      <c r="H165" s="17"/>
      <c r="I165" s="17"/>
      <c r="J165" s="17"/>
      <c r="K165" s="17"/>
      <c r="L165" s="17"/>
      <c r="M165" s="17"/>
      <c r="N165" s="17"/>
    </row>
    <row r="166" spans="1:14" s="96" customFormat="1" ht="13.2" x14ac:dyDescent="0.25">
      <c r="A166" s="202" t="s">
        <v>1212</v>
      </c>
      <c r="B166" s="223" t="s">
        <v>1213</v>
      </c>
      <c r="C166" s="217" t="s">
        <v>1141</v>
      </c>
      <c r="D166" s="120"/>
      <c r="E166" s="45">
        <f t="shared" si="7"/>
        <v>0</v>
      </c>
      <c r="F166" s="127">
        <f>D166*E166</f>
        <v>0</v>
      </c>
      <c r="G166" s="151">
        <f>'Etude de cas n°1'!D166</f>
        <v>0</v>
      </c>
      <c r="H166" s="17"/>
      <c r="I166" s="17"/>
      <c r="J166" s="17"/>
      <c r="K166" s="17"/>
      <c r="L166" s="17"/>
      <c r="M166" s="17"/>
      <c r="N166" s="17"/>
    </row>
    <row r="167" spans="1:14" s="96" customFormat="1" ht="13.2" x14ac:dyDescent="0.25">
      <c r="A167" s="202" t="s">
        <v>1214</v>
      </c>
      <c r="B167" s="223" t="s">
        <v>1215</v>
      </c>
      <c r="C167" s="217"/>
      <c r="D167" s="120"/>
      <c r="E167" s="45"/>
      <c r="F167" s="127"/>
      <c r="G167" s="151"/>
      <c r="H167" s="17"/>
      <c r="I167" s="17"/>
      <c r="J167" s="17"/>
      <c r="K167" s="17"/>
      <c r="L167" s="17"/>
      <c r="M167" s="17"/>
      <c r="N167" s="17"/>
    </row>
    <row r="168" spans="1:14" s="96" customFormat="1" ht="13.2" x14ac:dyDescent="0.25">
      <c r="A168" s="202" t="s">
        <v>1216</v>
      </c>
      <c r="B168" s="223" t="s">
        <v>1217</v>
      </c>
      <c r="C168" s="217"/>
      <c r="D168" s="120"/>
      <c r="E168" s="45"/>
      <c r="F168" s="127"/>
      <c r="G168" s="151"/>
      <c r="H168" s="17"/>
      <c r="I168" s="17"/>
      <c r="J168" s="17"/>
      <c r="K168" s="17"/>
      <c r="L168" s="17"/>
      <c r="M168" s="17"/>
      <c r="N168" s="17"/>
    </row>
    <row r="169" spans="1:14" s="96" customFormat="1" ht="13.2" x14ac:dyDescent="0.25">
      <c r="A169" s="202" t="s">
        <v>1218</v>
      </c>
      <c r="B169" s="223" t="s">
        <v>1219</v>
      </c>
      <c r="C169" s="217" t="s">
        <v>1011</v>
      </c>
      <c r="D169" s="120"/>
      <c r="E169" s="45">
        <f t="shared" si="7"/>
        <v>0</v>
      </c>
      <c r="F169" s="127">
        <f t="shared" ref="F169:F185" si="10">D169*E169</f>
        <v>0</v>
      </c>
      <c r="G169" s="151">
        <f>'Etude de cas n°1'!D169</f>
        <v>0</v>
      </c>
      <c r="H169" s="17"/>
      <c r="I169" s="17"/>
      <c r="J169" s="17"/>
      <c r="K169" s="17"/>
      <c r="L169" s="17"/>
      <c r="M169" s="17"/>
      <c r="N169" s="17"/>
    </row>
    <row r="170" spans="1:14" s="96" customFormat="1" ht="13.2" x14ac:dyDescent="0.25">
      <c r="A170" s="202" t="s">
        <v>1220</v>
      </c>
      <c r="B170" s="223" t="s">
        <v>1221</v>
      </c>
      <c r="C170" s="217" t="s">
        <v>1011</v>
      </c>
      <c r="D170" s="120"/>
      <c r="E170" s="45">
        <f t="shared" si="7"/>
        <v>0</v>
      </c>
      <c r="F170" s="127">
        <f t="shared" si="10"/>
        <v>0</v>
      </c>
      <c r="G170" s="151">
        <f>'Etude de cas n°1'!D170</f>
        <v>0</v>
      </c>
      <c r="H170" s="17"/>
      <c r="I170" s="17"/>
      <c r="J170" s="17"/>
      <c r="K170" s="17"/>
      <c r="L170" s="17"/>
      <c r="M170" s="17"/>
      <c r="N170" s="17"/>
    </row>
    <row r="171" spans="1:14" s="96" customFormat="1" ht="13.2" x14ac:dyDescent="0.25">
      <c r="A171" s="202" t="s">
        <v>1222</v>
      </c>
      <c r="B171" s="223" t="s">
        <v>1223</v>
      </c>
      <c r="C171" s="217" t="s">
        <v>1011</v>
      </c>
      <c r="D171" s="120"/>
      <c r="E171" s="45">
        <f t="shared" si="7"/>
        <v>0</v>
      </c>
      <c r="F171" s="127">
        <f t="shared" si="10"/>
        <v>0</v>
      </c>
      <c r="G171" s="151">
        <f>'Etude de cas n°1'!D171</f>
        <v>0</v>
      </c>
      <c r="H171" s="17"/>
      <c r="I171" s="17"/>
      <c r="J171" s="17"/>
      <c r="K171" s="17"/>
      <c r="L171" s="17"/>
      <c r="M171" s="17"/>
      <c r="N171" s="17"/>
    </row>
    <row r="172" spans="1:14" s="96" customFormat="1" ht="13.2" x14ac:dyDescent="0.25">
      <c r="A172" s="202" t="s">
        <v>1224</v>
      </c>
      <c r="B172" s="223" t="s">
        <v>1225</v>
      </c>
      <c r="C172" s="217" t="s">
        <v>1011</v>
      </c>
      <c r="D172" s="120"/>
      <c r="E172" s="45">
        <f t="shared" si="7"/>
        <v>0</v>
      </c>
      <c r="F172" s="127">
        <f t="shared" si="10"/>
        <v>0</v>
      </c>
      <c r="G172" s="151">
        <f>'Etude de cas n°1'!D172</f>
        <v>0</v>
      </c>
      <c r="H172" s="17"/>
      <c r="I172" s="17"/>
      <c r="J172" s="17"/>
      <c r="K172" s="17"/>
      <c r="L172" s="17"/>
      <c r="M172" s="17"/>
      <c r="N172" s="17"/>
    </row>
    <row r="173" spans="1:14" s="96" customFormat="1" ht="13.2" x14ac:dyDescent="0.25">
      <c r="A173" s="202" t="s">
        <v>1226</v>
      </c>
      <c r="B173" s="223" t="s">
        <v>1227</v>
      </c>
      <c r="C173" s="217" t="s">
        <v>1011</v>
      </c>
      <c r="D173" s="120"/>
      <c r="E173" s="45">
        <f t="shared" si="7"/>
        <v>0</v>
      </c>
      <c r="F173" s="127">
        <f t="shared" si="10"/>
        <v>0</v>
      </c>
      <c r="G173" s="151">
        <f>'Etude de cas n°1'!D173</f>
        <v>0</v>
      </c>
      <c r="H173" s="17"/>
      <c r="I173" s="17"/>
      <c r="J173" s="17"/>
      <c r="K173" s="17"/>
      <c r="L173" s="17"/>
      <c r="M173" s="17"/>
      <c r="N173" s="17"/>
    </row>
    <row r="174" spans="1:14" s="96" customFormat="1" ht="13.2" x14ac:dyDescent="0.25">
      <c r="A174" s="202" t="s">
        <v>1228</v>
      </c>
      <c r="B174" s="223" t="s">
        <v>4340</v>
      </c>
      <c r="C174" s="217" t="s">
        <v>1011</v>
      </c>
      <c r="D174" s="120"/>
      <c r="E174" s="45">
        <f t="shared" si="7"/>
        <v>0</v>
      </c>
      <c r="F174" s="127">
        <f>D174*E174</f>
        <v>0</v>
      </c>
      <c r="G174" s="151">
        <f>'Etude de cas n°1'!D174</f>
        <v>0</v>
      </c>
      <c r="H174" s="17"/>
      <c r="I174" s="17"/>
      <c r="J174" s="17"/>
      <c r="K174" s="17"/>
      <c r="L174" s="17"/>
      <c r="M174" s="17"/>
      <c r="N174" s="17"/>
    </row>
    <row r="175" spans="1:14" s="96" customFormat="1" ht="13.2" x14ac:dyDescent="0.25">
      <c r="A175" s="202" t="s">
        <v>1229</v>
      </c>
      <c r="B175" s="223" t="s">
        <v>4341</v>
      </c>
      <c r="C175" s="217" t="s">
        <v>1011</v>
      </c>
      <c r="D175" s="120"/>
      <c r="E175" s="45">
        <f t="shared" si="7"/>
        <v>0</v>
      </c>
      <c r="F175" s="127">
        <f>D175*E175</f>
        <v>0</v>
      </c>
      <c r="G175" s="151">
        <f>'Etude de cas n°1'!D175</f>
        <v>0</v>
      </c>
      <c r="H175" s="17"/>
      <c r="I175" s="17"/>
      <c r="J175" s="17"/>
      <c r="K175" s="17"/>
      <c r="L175" s="17"/>
      <c r="M175" s="17"/>
      <c r="N175" s="17"/>
    </row>
    <row r="176" spans="1:14" s="96" customFormat="1" ht="13.2" x14ac:dyDescent="0.25">
      <c r="A176" s="202" t="s">
        <v>1230</v>
      </c>
      <c r="B176" s="216" t="s">
        <v>1231</v>
      </c>
      <c r="C176" s="217" t="s">
        <v>1232</v>
      </c>
      <c r="D176" s="120"/>
      <c r="E176" s="45">
        <f t="shared" si="7"/>
        <v>0</v>
      </c>
      <c r="F176" s="127">
        <f t="shared" si="10"/>
        <v>0</v>
      </c>
      <c r="G176" s="151">
        <f>'Etude de cas n°1'!D176</f>
        <v>0</v>
      </c>
      <c r="H176" s="17"/>
      <c r="I176" s="17"/>
      <c r="J176" s="17"/>
      <c r="K176" s="17"/>
      <c r="L176" s="17"/>
      <c r="M176" s="17"/>
      <c r="N176" s="17"/>
    </row>
    <row r="177" spans="1:14" s="96" customFormat="1" ht="13.2" x14ac:dyDescent="0.25">
      <c r="A177" s="202" t="s">
        <v>1233</v>
      </c>
      <c r="B177" s="216" t="s">
        <v>1234</v>
      </c>
      <c r="C177" s="217" t="s">
        <v>1232</v>
      </c>
      <c r="D177" s="120"/>
      <c r="E177" s="45">
        <f t="shared" si="7"/>
        <v>0</v>
      </c>
      <c r="F177" s="127">
        <f t="shared" si="10"/>
        <v>0</v>
      </c>
      <c r="G177" s="151">
        <f>'Etude de cas n°1'!D177</f>
        <v>0</v>
      </c>
      <c r="H177" s="17"/>
      <c r="I177" s="17"/>
      <c r="J177" s="17"/>
      <c r="K177" s="17"/>
      <c r="L177" s="17"/>
      <c r="M177" s="17"/>
      <c r="N177" s="17"/>
    </row>
    <row r="178" spans="1:14" s="99" customFormat="1" ht="13.2" x14ac:dyDescent="0.25">
      <c r="A178" s="202" t="s">
        <v>1235</v>
      </c>
      <c r="B178" s="216" t="s">
        <v>1236</v>
      </c>
      <c r="C178" s="217" t="s">
        <v>1232</v>
      </c>
      <c r="D178" s="120"/>
      <c r="E178" s="45">
        <f t="shared" si="7"/>
        <v>0</v>
      </c>
      <c r="F178" s="127">
        <f t="shared" si="10"/>
        <v>0</v>
      </c>
      <c r="G178" s="151">
        <f>'Etude de cas n°1'!D178</f>
        <v>0</v>
      </c>
      <c r="H178" s="18"/>
      <c r="I178" s="18"/>
      <c r="J178" s="18"/>
      <c r="K178" s="18"/>
      <c r="L178" s="18"/>
      <c r="M178" s="18"/>
      <c r="N178" s="18"/>
    </row>
    <row r="179" spans="1:14" s="99" customFormat="1" ht="13.2" x14ac:dyDescent="0.25">
      <c r="A179" s="202" t="s">
        <v>1237</v>
      </c>
      <c r="B179" s="216" t="s">
        <v>1238</v>
      </c>
      <c r="C179" s="217" t="s">
        <v>1232</v>
      </c>
      <c r="D179" s="120"/>
      <c r="E179" s="45">
        <f t="shared" si="7"/>
        <v>0</v>
      </c>
      <c r="F179" s="127">
        <f>D179*E179</f>
        <v>0</v>
      </c>
      <c r="G179" s="151">
        <f>'Etude de cas n°1'!D179</f>
        <v>0</v>
      </c>
      <c r="H179" s="18"/>
      <c r="I179" s="18"/>
      <c r="J179" s="18"/>
      <c r="K179" s="18"/>
      <c r="L179" s="18"/>
      <c r="M179" s="18"/>
      <c r="N179" s="18"/>
    </row>
    <row r="180" spans="1:14" s="99" customFormat="1" ht="13.2" x14ac:dyDescent="0.25">
      <c r="A180" s="202" t="s">
        <v>1239</v>
      </c>
      <c r="B180" s="216" t="s">
        <v>1240</v>
      </c>
      <c r="C180" s="217" t="s">
        <v>1232</v>
      </c>
      <c r="D180" s="120"/>
      <c r="E180" s="45">
        <f t="shared" si="7"/>
        <v>0</v>
      </c>
      <c r="F180" s="127">
        <f t="shared" si="10"/>
        <v>0</v>
      </c>
      <c r="G180" s="151">
        <f>'Etude de cas n°1'!D180</f>
        <v>0</v>
      </c>
      <c r="H180" s="18"/>
      <c r="I180" s="18"/>
      <c r="J180" s="18"/>
      <c r="K180" s="18"/>
      <c r="L180" s="18"/>
      <c r="M180" s="18"/>
      <c r="N180" s="18"/>
    </row>
    <row r="181" spans="1:14" s="99" customFormat="1" ht="13.2" x14ac:dyDescent="0.25">
      <c r="A181" s="202" t="s">
        <v>1241</v>
      </c>
      <c r="B181" s="216" t="s">
        <v>1242</v>
      </c>
      <c r="C181" s="217" t="s">
        <v>1141</v>
      </c>
      <c r="D181" s="120"/>
      <c r="E181" s="45">
        <f t="shared" si="7"/>
        <v>0</v>
      </c>
      <c r="F181" s="127">
        <f t="shared" si="10"/>
        <v>0</v>
      </c>
      <c r="G181" s="151">
        <f>'Etude de cas n°1'!D181</f>
        <v>0</v>
      </c>
      <c r="H181" s="18"/>
      <c r="I181" s="18"/>
      <c r="J181" s="18"/>
      <c r="K181" s="18"/>
      <c r="L181" s="18"/>
      <c r="M181" s="18"/>
      <c r="N181" s="18"/>
    </row>
    <row r="182" spans="1:14" s="99" customFormat="1" ht="13.2" x14ac:dyDescent="0.25">
      <c r="A182" s="202" t="s">
        <v>1243</v>
      </c>
      <c r="B182" s="216" t="s">
        <v>1244</v>
      </c>
      <c r="C182" s="217"/>
      <c r="D182" s="120"/>
      <c r="E182" s="45"/>
      <c r="F182" s="127"/>
      <c r="G182" s="151"/>
      <c r="H182" s="18"/>
      <c r="I182" s="18"/>
      <c r="J182" s="18"/>
      <c r="K182" s="18"/>
      <c r="L182" s="18"/>
      <c r="M182" s="18"/>
      <c r="N182" s="18"/>
    </row>
    <row r="183" spans="1:14" s="99" customFormat="1" ht="13.2" x14ac:dyDescent="0.25">
      <c r="A183" s="202" t="s">
        <v>1245</v>
      </c>
      <c r="B183" s="216" t="s">
        <v>1246</v>
      </c>
      <c r="C183" s="217" t="s">
        <v>1141</v>
      </c>
      <c r="D183" s="120"/>
      <c r="E183" s="45">
        <f t="shared" si="7"/>
        <v>0</v>
      </c>
      <c r="F183" s="127">
        <f t="shared" si="10"/>
        <v>0</v>
      </c>
      <c r="G183" s="151">
        <f>'Etude de cas n°1'!D183</f>
        <v>0</v>
      </c>
      <c r="H183" s="18"/>
      <c r="I183" s="18"/>
      <c r="J183" s="18"/>
      <c r="K183" s="18"/>
      <c r="L183" s="18"/>
      <c r="M183" s="18"/>
      <c r="N183" s="18"/>
    </row>
    <row r="184" spans="1:14" s="99" customFormat="1" ht="13.2" x14ac:dyDescent="0.25">
      <c r="A184" s="202" t="s">
        <v>1247</v>
      </c>
      <c r="B184" s="216" t="s">
        <v>1248</v>
      </c>
      <c r="C184" s="217" t="s">
        <v>1141</v>
      </c>
      <c r="D184" s="120"/>
      <c r="E184" s="45">
        <f t="shared" si="7"/>
        <v>0</v>
      </c>
      <c r="F184" s="127">
        <f t="shared" si="10"/>
        <v>0</v>
      </c>
      <c r="G184" s="151">
        <f>'Etude de cas n°1'!D184</f>
        <v>0</v>
      </c>
      <c r="H184" s="18"/>
      <c r="I184" s="18"/>
      <c r="J184" s="18"/>
      <c r="K184" s="18"/>
      <c r="L184" s="18"/>
      <c r="M184" s="18"/>
      <c r="N184" s="18"/>
    </row>
    <row r="185" spans="1:14" s="99" customFormat="1" ht="13.2" x14ac:dyDescent="0.25">
      <c r="A185" s="202" t="s">
        <v>1249</v>
      </c>
      <c r="B185" s="216" t="s">
        <v>1250</v>
      </c>
      <c r="C185" s="217" t="s">
        <v>1141</v>
      </c>
      <c r="D185" s="120"/>
      <c r="E185" s="45">
        <f t="shared" si="7"/>
        <v>0</v>
      </c>
      <c r="F185" s="127">
        <f t="shared" si="10"/>
        <v>0</v>
      </c>
      <c r="G185" s="151">
        <f>'Etude de cas n°1'!D185</f>
        <v>0</v>
      </c>
      <c r="H185" s="18"/>
      <c r="I185" s="18"/>
      <c r="J185" s="18"/>
      <c r="K185" s="18"/>
      <c r="L185" s="18"/>
      <c r="M185" s="18"/>
      <c r="N185" s="18"/>
    </row>
    <row r="186" spans="1:14" s="99" customFormat="1" ht="13.2" x14ac:dyDescent="0.25">
      <c r="A186" s="202" t="s">
        <v>1251</v>
      </c>
      <c r="B186" s="216" t="s">
        <v>1252</v>
      </c>
      <c r="C186" s="217" t="s">
        <v>1011</v>
      </c>
      <c r="D186" s="120"/>
      <c r="E186" s="45">
        <f t="shared" ref="E186:E249" si="11">G186</f>
        <v>0</v>
      </c>
      <c r="F186" s="127">
        <f>D186*E186</f>
        <v>0</v>
      </c>
      <c r="G186" s="151">
        <f>'Etude de cas n°1'!D186</f>
        <v>0</v>
      </c>
      <c r="H186" s="18"/>
      <c r="I186" s="18"/>
      <c r="J186" s="18"/>
      <c r="K186" s="18"/>
      <c r="L186" s="18"/>
      <c r="M186" s="18"/>
      <c r="N186" s="18"/>
    </row>
    <row r="187" spans="1:14" s="99" customFormat="1" ht="13.2" x14ac:dyDescent="0.25">
      <c r="A187" s="202" t="s">
        <v>1253</v>
      </c>
      <c r="B187" s="216" t="s">
        <v>1254</v>
      </c>
      <c r="C187" s="217" t="s">
        <v>1011</v>
      </c>
      <c r="D187" s="120"/>
      <c r="E187" s="45">
        <f t="shared" si="11"/>
        <v>0</v>
      </c>
      <c r="F187" s="127">
        <f>D187*E187</f>
        <v>0</v>
      </c>
      <c r="G187" s="151">
        <f>'Etude de cas n°1'!D187</f>
        <v>0</v>
      </c>
      <c r="H187" s="18"/>
      <c r="I187" s="18"/>
      <c r="J187" s="18"/>
      <c r="K187" s="18"/>
      <c r="L187" s="18"/>
      <c r="M187" s="18"/>
      <c r="N187" s="18"/>
    </row>
    <row r="188" spans="1:14" s="99" customFormat="1" ht="13.2" x14ac:dyDescent="0.25">
      <c r="A188" s="202" t="s">
        <v>1255</v>
      </c>
      <c r="B188" s="216" t="s">
        <v>1256</v>
      </c>
      <c r="C188" s="217" t="s">
        <v>1011</v>
      </c>
      <c r="D188" s="120"/>
      <c r="E188" s="45">
        <f t="shared" si="11"/>
        <v>0</v>
      </c>
      <c r="F188" s="127">
        <f>D188*E188</f>
        <v>0</v>
      </c>
      <c r="G188" s="151">
        <f>'Etude de cas n°1'!D188</f>
        <v>0</v>
      </c>
      <c r="H188" s="18"/>
      <c r="I188" s="18"/>
      <c r="J188" s="18"/>
      <c r="K188" s="18"/>
      <c r="L188" s="18"/>
      <c r="M188" s="18"/>
      <c r="N188" s="18"/>
    </row>
    <row r="189" spans="1:14" s="99" customFormat="1" ht="13.2" x14ac:dyDescent="0.25">
      <c r="A189" s="202" t="s">
        <v>1257</v>
      </c>
      <c r="B189" s="216" t="s">
        <v>1258</v>
      </c>
      <c r="C189" s="217" t="s">
        <v>1141</v>
      </c>
      <c r="D189" s="120"/>
      <c r="E189" s="45">
        <f t="shared" si="11"/>
        <v>0</v>
      </c>
      <c r="F189" s="127">
        <f>D189*E189</f>
        <v>0</v>
      </c>
      <c r="G189" s="151">
        <f>'Etude de cas n°1'!D189</f>
        <v>0</v>
      </c>
      <c r="H189" s="18"/>
      <c r="I189" s="18"/>
      <c r="J189" s="18"/>
      <c r="K189" s="18"/>
      <c r="L189" s="18"/>
      <c r="M189" s="18"/>
      <c r="N189" s="18"/>
    </row>
    <row r="190" spans="1:14" s="99" customFormat="1" ht="13.2" x14ac:dyDescent="0.25">
      <c r="A190" s="27" t="s">
        <v>1259</v>
      </c>
      <c r="B190" s="6" t="s">
        <v>1260</v>
      </c>
      <c r="C190" s="217"/>
      <c r="D190" s="120"/>
      <c r="E190" s="45"/>
      <c r="F190" s="127"/>
      <c r="G190" s="151"/>
      <c r="H190" s="18"/>
      <c r="I190" s="18"/>
      <c r="J190" s="18"/>
      <c r="K190" s="18"/>
      <c r="L190" s="18"/>
      <c r="M190" s="18"/>
      <c r="N190" s="18"/>
    </row>
    <row r="191" spans="1:14" s="96" customFormat="1" ht="13.2" x14ac:dyDescent="0.25">
      <c r="A191" s="78" t="s">
        <v>44</v>
      </c>
      <c r="B191" s="4" t="s">
        <v>1261</v>
      </c>
      <c r="C191" s="217"/>
      <c r="D191" s="120"/>
      <c r="E191" s="45"/>
      <c r="F191" s="127"/>
      <c r="G191" s="151"/>
      <c r="H191" s="17"/>
      <c r="I191" s="17"/>
      <c r="J191" s="17"/>
      <c r="K191" s="17"/>
      <c r="L191" s="17"/>
      <c r="M191" s="17"/>
      <c r="N191" s="17"/>
    </row>
    <row r="192" spans="1:14" s="96" customFormat="1" ht="13.2" x14ac:dyDescent="0.25">
      <c r="A192" s="202" t="s">
        <v>1262</v>
      </c>
      <c r="B192" s="216" t="s">
        <v>1263</v>
      </c>
      <c r="C192" s="217" t="s">
        <v>1011</v>
      </c>
      <c r="D192" s="120"/>
      <c r="E192" s="45">
        <f t="shared" si="11"/>
        <v>0</v>
      </c>
      <c r="F192" s="127">
        <f t="shared" ref="F192:F272" si="12">D192*E192</f>
        <v>0</v>
      </c>
      <c r="G192" s="151">
        <f>'Etude de cas n°1'!D192</f>
        <v>0</v>
      </c>
      <c r="H192" s="17"/>
      <c r="I192" s="17"/>
      <c r="J192" s="17"/>
      <c r="K192" s="17"/>
      <c r="L192" s="17"/>
      <c r="M192" s="17"/>
      <c r="N192" s="17"/>
    </row>
    <row r="193" spans="1:14" s="96" customFormat="1" ht="13.2" x14ac:dyDescent="0.25">
      <c r="A193" s="202" t="s">
        <v>1264</v>
      </c>
      <c r="B193" s="216" t="s">
        <v>1265</v>
      </c>
      <c r="C193" s="217" t="s">
        <v>1011</v>
      </c>
      <c r="D193" s="120"/>
      <c r="E193" s="45">
        <f t="shared" si="11"/>
        <v>36</v>
      </c>
      <c r="F193" s="127">
        <f t="shared" si="12"/>
        <v>0</v>
      </c>
      <c r="G193" s="151">
        <f>'Etude de cas n°1'!D193</f>
        <v>36</v>
      </c>
      <c r="H193" s="17"/>
      <c r="I193" s="17"/>
      <c r="J193" s="17"/>
      <c r="K193" s="17"/>
      <c r="L193" s="17"/>
      <c r="M193" s="17"/>
      <c r="N193" s="17"/>
    </row>
    <row r="194" spans="1:14" s="96" customFormat="1" ht="13.2" x14ac:dyDescent="0.25">
      <c r="A194" s="202" t="s">
        <v>1266</v>
      </c>
      <c r="B194" s="216" t="s">
        <v>1267</v>
      </c>
      <c r="C194" s="217" t="s">
        <v>1011</v>
      </c>
      <c r="D194" s="120"/>
      <c r="E194" s="45">
        <f t="shared" si="11"/>
        <v>0</v>
      </c>
      <c r="F194" s="127">
        <f t="shared" si="12"/>
        <v>0</v>
      </c>
      <c r="G194" s="151">
        <f>'Etude de cas n°1'!D194</f>
        <v>0</v>
      </c>
      <c r="H194" s="17"/>
      <c r="I194" s="17"/>
      <c r="J194" s="17"/>
      <c r="K194" s="17"/>
      <c r="L194" s="17"/>
      <c r="M194" s="17"/>
      <c r="N194" s="17"/>
    </row>
    <row r="195" spans="1:14" s="96" customFormat="1" ht="13.2" x14ac:dyDescent="0.25">
      <c r="A195" s="202" t="s">
        <v>1268</v>
      </c>
      <c r="B195" s="216" t="s">
        <v>1269</v>
      </c>
      <c r="C195" s="217" t="s">
        <v>1011</v>
      </c>
      <c r="D195" s="120"/>
      <c r="E195" s="45">
        <f t="shared" si="11"/>
        <v>0</v>
      </c>
      <c r="F195" s="127">
        <f t="shared" si="12"/>
        <v>0</v>
      </c>
      <c r="G195" s="151">
        <f>'Etude de cas n°1'!D195</f>
        <v>0</v>
      </c>
      <c r="H195" s="17"/>
      <c r="I195" s="17"/>
      <c r="J195" s="17"/>
      <c r="K195" s="17"/>
      <c r="L195" s="17"/>
      <c r="M195" s="17"/>
      <c r="N195" s="17"/>
    </row>
    <row r="196" spans="1:14" s="96" customFormat="1" ht="13.2" x14ac:dyDescent="0.25">
      <c r="A196" s="202" t="s">
        <v>1270</v>
      </c>
      <c r="B196" s="216" t="s">
        <v>1271</v>
      </c>
      <c r="C196" s="217" t="s">
        <v>1011</v>
      </c>
      <c r="D196" s="120"/>
      <c r="E196" s="45">
        <f t="shared" si="11"/>
        <v>0</v>
      </c>
      <c r="F196" s="127">
        <f t="shared" si="12"/>
        <v>0</v>
      </c>
      <c r="G196" s="151">
        <f>'Etude de cas n°1'!D196</f>
        <v>0</v>
      </c>
      <c r="H196" s="17"/>
      <c r="I196" s="17"/>
      <c r="J196" s="17"/>
      <c r="K196" s="17"/>
      <c r="L196" s="17"/>
      <c r="M196" s="17"/>
      <c r="N196" s="17"/>
    </row>
    <row r="197" spans="1:14" s="96" customFormat="1" ht="13.2" x14ac:dyDescent="0.25">
      <c r="A197" s="202" t="s">
        <v>1272</v>
      </c>
      <c r="B197" s="216" t="s">
        <v>1273</v>
      </c>
      <c r="C197" s="217" t="s">
        <v>1034</v>
      </c>
      <c r="D197" s="120"/>
      <c r="E197" s="45">
        <f t="shared" si="11"/>
        <v>21.42</v>
      </c>
      <c r="F197" s="127">
        <f t="shared" si="12"/>
        <v>0</v>
      </c>
      <c r="G197" s="151">
        <f>'Etude de cas n°1'!D197</f>
        <v>21.42</v>
      </c>
      <c r="H197" s="17"/>
      <c r="I197" s="17"/>
      <c r="J197" s="17"/>
      <c r="K197" s="17"/>
      <c r="L197" s="17"/>
      <c r="M197" s="17"/>
      <c r="N197" s="17"/>
    </row>
    <row r="198" spans="1:14" s="96" customFormat="1" ht="13.2" x14ac:dyDescent="0.25">
      <c r="A198" s="202" t="s">
        <v>1274</v>
      </c>
      <c r="B198" s="216" t="s">
        <v>1275</v>
      </c>
      <c r="C198" s="217" t="s">
        <v>1011</v>
      </c>
      <c r="D198" s="120"/>
      <c r="E198" s="45">
        <f t="shared" si="11"/>
        <v>0</v>
      </c>
      <c r="F198" s="127">
        <f t="shared" si="12"/>
        <v>0</v>
      </c>
      <c r="G198" s="151">
        <f>'Etude de cas n°1'!D198</f>
        <v>0</v>
      </c>
      <c r="H198" s="17"/>
      <c r="I198" s="17"/>
      <c r="J198" s="17"/>
      <c r="K198" s="17"/>
      <c r="L198" s="17"/>
      <c r="M198" s="17"/>
      <c r="N198" s="17"/>
    </row>
    <row r="199" spans="1:14" s="96" customFormat="1" ht="13.2" x14ac:dyDescent="0.25">
      <c r="A199" s="202" t="s">
        <v>1276</v>
      </c>
      <c r="B199" s="216" t="s">
        <v>1277</v>
      </c>
      <c r="C199" s="217" t="s">
        <v>1011</v>
      </c>
      <c r="D199" s="120"/>
      <c r="E199" s="45">
        <f t="shared" si="11"/>
        <v>0</v>
      </c>
      <c r="F199" s="127">
        <f t="shared" si="12"/>
        <v>0</v>
      </c>
      <c r="G199" s="151">
        <f>'Etude de cas n°1'!D199</f>
        <v>0</v>
      </c>
      <c r="H199" s="17"/>
      <c r="I199" s="17"/>
      <c r="J199" s="17"/>
      <c r="K199" s="17"/>
      <c r="L199" s="17"/>
      <c r="M199" s="17"/>
      <c r="N199" s="17"/>
    </row>
    <row r="200" spans="1:14" s="99" customFormat="1" ht="13.2" x14ac:dyDescent="0.25">
      <c r="A200" s="202" t="s">
        <v>1278</v>
      </c>
      <c r="B200" s="216" t="s">
        <v>1279</v>
      </c>
      <c r="C200" s="217" t="s">
        <v>1011</v>
      </c>
      <c r="D200" s="120"/>
      <c r="E200" s="45">
        <f t="shared" si="11"/>
        <v>0</v>
      </c>
      <c r="F200" s="127">
        <f t="shared" si="12"/>
        <v>0</v>
      </c>
      <c r="G200" s="151">
        <f>'Etude de cas n°1'!D200</f>
        <v>0</v>
      </c>
      <c r="H200" s="18"/>
      <c r="I200" s="18"/>
      <c r="J200" s="18"/>
      <c r="K200" s="18"/>
      <c r="L200" s="18"/>
      <c r="M200" s="18"/>
      <c r="N200" s="18"/>
    </row>
    <row r="201" spans="1:14" s="96" customFormat="1" ht="13.2" x14ac:dyDescent="0.25">
      <c r="A201" s="202" t="s">
        <v>1280</v>
      </c>
      <c r="B201" s="216" t="s">
        <v>1281</v>
      </c>
      <c r="C201" s="217" t="s">
        <v>1011</v>
      </c>
      <c r="D201" s="120"/>
      <c r="E201" s="45">
        <f t="shared" si="11"/>
        <v>0</v>
      </c>
      <c r="F201" s="127">
        <f t="shared" si="12"/>
        <v>0</v>
      </c>
      <c r="G201" s="151">
        <f>'Etude de cas n°1'!D201</f>
        <v>0</v>
      </c>
      <c r="H201" s="17"/>
      <c r="I201" s="17"/>
      <c r="J201" s="17"/>
      <c r="K201" s="17"/>
      <c r="L201" s="17"/>
      <c r="M201" s="17"/>
      <c r="N201" s="17"/>
    </row>
    <row r="202" spans="1:14" s="99" customFormat="1" ht="13.2" x14ac:dyDescent="0.25">
      <c r="A202" s="202" t="s">
        <v>1282</v>
      </c>
      <c r="B202" s="223" t="s">
        <v>1283</v>
      </c>
      <c r="C202" s="217" t="s">
        <v>1034</v>
      </c>
      <c r="D202" s="120"/>
      <c r="E202" s="45">
        <f t="shared" si="11"/>
        <v>0</v>
      </c>
      <c r="F202" s="127">
        <f t="shared" si="12"/>
        <v>0</v>
      </c>
      <c r="G202" s="151">
        <f>'Etude de cas n°1'!D202</f>
        <v>0</v>
      </c>
      <c r="H202" s="18"/>
      <c r="I202" s="18"/>
      <c r="J202" s="18"/>
      <c r="K202" s="18"/>
      <c r="L202" s="18"/>
      <c r="M202" s="18"/>
      <c r="N202" s="18"/>
    </row>
    <row r="203" spans="1:14" s="99" customFormat="1" ht="13.2" x14ac:dyDescent="0.25">
      <c r="A203" s="202" t="s">
        <v>1284</v>
      </c>
      <c r="B203" s="223" t="s">
        <v>4342</v>
      </c>
      <c r="C203" s="217" t="s">
        <v>1034</v>
      </c>
      <c r="D203" s="120"/>
      <c r="E203" s="45">
        <f t="shared" si="11"/>
        <v>0</v>
      </c>
      <c r="F203" s="127">
        <f>D203*E203</f>
        <v>0</v>
      </c>
      <c r="G203" s="151">
        <f>'Etude de cas n°1'!D203</f>
        <v>0</v>
      </c>
      <c r="H203" s="18"/>
      <c r="I203" s="18"/>
      <c r="J203" s="18"/>
      <c r="K203" s="18"/>
      <c r="L203" s="18"/>
      <c r="M203" s="18"/>
      <c r="N203" s="18"/>
    </row>
    <row r="204" spans="1:14" s="99" customFormat="1" ht="13.2" x14ac:dyDescent="0.25">
      <c r="A204" s="202" t="s">
        <v>1285</v>
      </c>
      <c r="B204" s="223" t="s">
        <v>1286</v>
      </c>
      <c r="C204" s="217" t="s">
        <v>1034</v>
      </c>
      <c r="D204" s="120"/>
      <c r="E204" s="45">
        <f t="shared" si="11"/>
        <v>0</v>
      </c>
      <c r="F204" s="127">
        <f>D204*E204</f>
        <v>0</v>
      </c>
      <c r="G204" s="151">
        <f>'Etude de cas n°1'!D204</f>
        <v>0</v>
      </c>
      <c r="H204" s="18"/>
      <c r="I204" s="18"/>
      <c r="J204" s="18"/>
      <c r="K204" s="18"/>
      <c r="L204" s="18"/>
      <c r="M204" s="18"/>
      <c r="N204" s="18"/>
    </row>
    <row r="205" spans="1:14" s="99" customFormat="1" ht="13.2" x14ac:dyDescent="0.25">
      <c r="A205" s="202" t="s">
        <v>1287</v>
      </c>
      <c r="B205" s="223" t="s">
        <v>1288</v>
      </c>
      <c r="C205" s="217" t="s">
        <v>1011</v>
      </c>
      <c r="D205" s="120"/>
      <c r="E205" s="45">
        <f t="shared" si="11"/>
        <v>0</v>
      </c>
      <c r="F205" s="127">
        <f t="shared" si="12"/>
        <v>0</v>
      </c>
      <c r="G205" s="151">
        <f>'Etude de cas n°1'!D205</f>
        <v>0</v>
      </c>
      <c r="H205" s="18"/>
      <c r="I205" s="18"/>
      <c r="J205" s="18"/>
      <c r="K205" s="18"/>
      <c r="L205" s="18"/>
      <c r="M205" s="18"/>
      <c r="N205" s="18"/>
    </row>
    <row r="206" spans="1:14" s="99" customFormat="1" ht="13.2" x14ac:dyDescent="0.25">
      <c r="A206" s="202" t="s">
        <v>1289</v>
      </c>
      <c r="B206" s="223" t="s">
        <v>1290</v>
      </c>
      <c r="C206" s="217" t="s">
        <v>1011</v>
      </c>
      <c r="D206" s="120"/>
      <c r="E206" s="45">
        <f t="shared" si="11"/>
        <v>0</v>
      </c>
      <c r="F206" s="127">
        <f t="shared" si="12"/>
        <v>0</v>
      </c>
      <c r="G206" s="151">
        <f>'Etude de cas n°1'!D206</f>
        <v>0</v>
      </c>
      <c r="H206" s="18"/>
      <c r="I206" s="18"/>
      <c r="J206" s="18"/>
      <c r="K206" s="18"/>
      <c r="L206" s="18"/>
      <c r="M206" s="18"/>
      <c r="N206" s="18"/>
    </row>
    <row r="207" spans="1:14" s="99" customFormat="1" ht="13.2" x14ac:dyDescent="0.25">
      <c r="A207" s="202" t="s">
        <v>1291</v>
      </c>
      <c r="B207" s="223" t="s">
        <v>1292</v>
      </c>
      <c r="C207" s="217" t="s">
        <v>1011</v>
      </c>
      <c r="D207" s="120"/>
      <c r="E207" s="45">
        <f t="shared" si="11"/>
        <v>0</v>
      </c>
      <c r="F207" s="127">
        <f t="shared" si="12"/>
        <v>0</v>
      </c>
      <c r="G207" s="151">
        <f>'Etude de cas n°1'!D207</f>
        <v>0</v>
      </c>
      <c r="H207" s="18"/>
      <c r="I207" s="18"/>
      <c r="J207" s="18"/>
      <c r="K207" s="18"/>
      <c r="L207" s="18"/>
      <c r="M207" s="18"/>
      <c r="N207" s="18"/>
    </row>
    <row r="208" spans="1:14" s="99" customFormat="1" ht="13.2" x14ac:dyDescent="0.25">
      <c r="A208" s="202" t="s">
        <v>1293</v>
      </c>
      <c r="B208" s="223" t="s">
        <v>1294</v>
      </c>
      <c r="C208" s="217" t="s">
        <v>1011</v>
      </c>
      <c r="D208" s="120"/>
      <c r="E208" s="45">
        <f t="shared" si="11"/>
        <v>0</v>
      </c>
      <c r="F208" s="127">
        <f t="shared" si="12"/>
        <v>0</v>
      </c>
      <c r="G208" s="151">
        <f>'Etude de cas n°1'!D208</f>
        <v>0</v>
      </c>
      <c r="H208" s="18"/>
      <c r="I208" s="18"/>
      <c r="J208" s="18"/>
      <c r="K208" s="18"/>
      <c r="L208" s="18"/>
      <c r="M208" s="18"/>
      <c r="N208" s="18"/>
    </row>
    <row r="209" spans="1:14" s="96" customFormat="1" ht="13.2" x14ac:dyDescent="0.25">
      <c r="A209" s="202" t="s">
        <v>1295</v>
      </c>
      <c r="B209" s="223" t="s">
        <v>1296</v>
      </c>
      <c r="C209" s="217" t="s">
        <v>1011</v>
      </c>
      <c r="D209" s="120"/>
      <c r="E209" s="45">
        <f t="shared" si="11"/>
        <v>0</v>
      </c>
      <c r="F209" s="127">
        <f t="shared" si="12"/>
        <v>0</v>
      </c>
      <c r="G209" s="151">
        <f>'Etude de cas n°1'!D209</f>
        <v>0</v>
      </c>
      <c r="H209" s="17"/>
      <c r="I209" s="17"/>
      <c r="J209" s="17"/>
      <c r="K209" s="17"/>
      <c r="L209" s="17"/>
      <c r="M209" s="17"/>
      <c r="N209" s="17"/>
    </row>
    <row r="210" spans="1:14" s="96" customFormat="1" ht="13.2" x14ac:dyDescent="0.25">
      <c r="A210" s="202" t="s">
        <v>1297</v>
      </c>
      <c r="B210" s="81" t="s">
        <v>1298</v>
      </c>
      <c r="C210" s="217" t="s">
        <v>1034</v>
      </c>
      <c r="D210" s="120"/>
      <c r="E210" s="45">
        <f t="shared" si="11"/>
        <v>0</v>
      </c>
      <c r="F210" s="127">
        <f>D210*E210</f>
        <v>0</v>
      </c>
      <c r="G210" s="151">
        <f>'Etude de cas n°1'!D210</f>
        <v>0</v>
      </c>
      <c r="H210" s="17"/>
      <c r="I210" s="17"/>
      <c r="J210" s="17"/>
      <c r="K210" s="17"/>
      <c r="L210" s="17"/>
      <c r="M210" s="17"/>
      <c r="N210" s="17"/>
    </row>
    <row r="211" spans="1:14" s="96" customFormat="1" ht="13.2" x14ac:dyDescent="0.25">
      <c r="A211" s="202" t="s">
        <v>1299</v>
      </c>
      <c r="B211" s="81" t="s">
        <v>1300</v>
      </c>
      <c r="C211" s="217" t="s">
        <v>1011</v>
      </c>
      <c r="D211" s="120"/>
      <c r="E211" s="45">
        <f t="shared" si="11"/>
        <v>0</v>
      </c>
      <c r="F211" s="127">
        <f>D211*E211</f>
        <v>0</v>
      </c>
      <c r="G211" s="151">
        <f>'Etude de cas n°1'!D211</f>
        <v>0</v>
      </c>
      <c r="H211" s="17"/>
      <c r="I211" s="17"/>
      <c r="J211" s="17"/>
      <c r="K211" s="17"/>
      <c r="L211" s="17"/>
      <c r="M211" s="17"/>
      <c r="N211" s="17"/>
    </row>
    <row r="212" spans="1:14" s="96" customFormat="1" ht="13.2" x14ac:dyDescent="0.25">
      <c r="A212" s="82" t="s">
        <v>45</v>
      </c>
      <c r="B212" s="4" t="s">
        <v>1301</v>
      </c>
      <c r="C212" s="217" t="s">
        <v>1011</v>
      </c>
      <c r="D212" s="120"/>
      <c r="E212" s="45">
        <f t="shared" si="11"/>
        <v>0</v>
      </c>
      <c r="F212" s="127">
        <f t="shared" si="12"/>
        <v>0</v>
      </c>
      <c r="G212" s="151">
        <f>'Etude de cas n°1'!D212</f>
        <v>0</v>
      </c>
      <c r="H212" s="17"/>
      <c r="I212" s="17"/>
      <c r="J212" s="17"/>
      <c r="K212" s="17"/>
      <c r="L212" s="17"/>
      <c r="M212" s="17"/>
      <c r="N212" s="17"/>
    </row>
    <row r="213" spans="1:14" s="95" customFormat="1" ht="13.2" x14ac:dyDescent="0.25">
      <c r="A213" s="82" t="s">
        <v>46</v>
      </c>
      <c r="B213" s="4" t="s">
        <v>1302</v>
      </c>
      <c r="C213" s="217"/>
      <c r="D213" s="120"/>
      <c r="E213" s="45"/>
      <c r="F213" s="127"/>
      <c r="G213" s="151"/>
      <c r="H213" s="221"/>
      <c r="I213" s="221"/>
      <c r="J213" s="221"/>
      <c r="K213" s="221"/>
      <c r="L213" s="221"/>
      <c r="M213" s="221"/>
      <c r="N213" s="221"/>
    </row>
    <row r="214" spans="1:14" s="95" customFormat="1" ht="13.2" x14ac:dyDescent="0.25">
      <c r="A214" s="201" t="s">
        <v>1303</v>
      </c>
      <c r="B214" s="216" t="s">
        <v>1304</v>
      </c>
      <c r="C214" s="217" t="s">
        <v>1011</v>
      </c>
      <c r="D214" s="120"/>
      <c r="E214" s="45">
        <f t="shared" si="11"/>
        <v>2</v>
      </c>
      <c r="F214" s="127">
        <f t="shared" si="12"/>
        <v>0</v>
      </c>
      <c r="G214" s="151">
        <f>'Etude de cas n°1'!D214</f>
        <v>2</v>
      </c>
      <c r="H214" s="221"/>
      <c r="I214" s="221"/>
      <c r="J214" s="221"/>
      <c r="K214" s="221"/>
      <c r="L214" s="221"/>
      <c r="M214" s="221"/>
      <c r="N214" s="221"/>
    </row>
    <row r="215" spans="1:14" s="95" customFormat="1" ht="13.2" x14ac:dyDescent="0.25">
      <c r="A215" s="201" t="s">
        <v>1305</v>
      </c>
      <c r="B215" s="223" t="s">
        <v>1306</v>
      </c>
      <c r="C215" s="217" t="s">
        <v>1011</v>
      </c>
      <c r="D215" s="120"/>
      <c r="E215" s="45">
        <f t="shared" si="11"/>
        <v>1</v>
      </c>
      <c r="F215" s="127">
        <f t="shared" si="12"/>
        <v>0</v>
      </c>
      <c r="G215" s="151">
        <f>'Etude de cas n°1'!D215</f>
        <v>1</v>
      </c>
      <c r="H215" s="221"/>
      <c r="I215" s="221"/>
      <c r="J215" s="221"/>
      <c r="K215" s="221"/>
      <c r="L215" s="221"/>
      <c r="M215" s="221"/>
      <c r="N215" s="221"/>
    </row>
    <row r="216" spans="1:14" s="95" customFormat="1" ht="13.2" x14ac:dyDescent="0.25">
      <c r="A216" s="201" t="s">
        <v>1307</v>
      </c>
      <c r="B216" s="223" t="s">
        <v>1308</v>
      </c>
      <c r="C216" s="225" t="s">
        <v>1011</v>
      </c>
      <c r="D216" s="120"/>
      <c r="E216" s="45">
        <f t="shared" si="11"/>
        <v>0</v>
      </c>
      <c r="F216" s="127">
        <f t="shared" si="12"/>
        <v>0</v>
      </c>
      <c r="G216" s="151">
        <f>'Etude de cas n°1'!D216</f>
        <v>0</v>
      </c>
      <c r="H216" s="221"/>
      <c r="I216" s="221"/>
      <c r="J216" s="221"/>
      <c r="K216" s="221"/>
      <c r="L216" s="221"/>
      <c r="M216" s="221"/>
      <c r="N216" s="221"/>
    </row>
    <row r="217" spans="1:14" s="95" customFormat="1" ht="13.2" x14ac:dyDescent="0.25">
      <c r="A217" s="82" t="s">
        <v>47</v>
      </c>
      <c r="B217" s="4" t="s">
        <v>1309</v>
      </c>
      <c r="C217" s="217" t="s">
        <v>1011</v>
      </c>
      <c r="D217" s="120"/>
      <c r="E217" s="45">
        <f t="shared" si="11"/>
        <v>0</v>
      </c>
      <c r="F217" s="127">
        <f t="shared" si="12"/>
        <v>0</v>
      </c>
      <c r="G217" s="151">
        <f>'Etude de cas n°1'!D217</f>
        <v>0</v>
      </c>
      <c r="H217" s="221"/>
      <c r="I217" s="221"/>
      <c r="J217" s="221"/>
      <c r="K217" s="221"/>
      <c r="L217" s="221"/>
      <c r="M217" s="221"/>
      <c r="N217" s="221"/>
    </row>
    <row r="218" spans="1:14" s="95" customFormat="1" ht="13.2" x14ac:dyDescent="0.25">
      <c r="A218" s="82" t="s">
        <v>48</v>
      </c>
      <c r="B218" s="4" t="s">
        <v>1310</v>
      </c>
      <c r="C218" s="217" t="s">
        <v>1011</v>
      </c>
      <c r="D218" s="120"/>
      <c r="E218" s="45">
        <f t="shared" si="11"/>
        <v>0</v>
      </c>
      <c r="F218" s="127">
        <f t="shared" si="12"/>
        <v>0</v>
      </c>
      <c r="G218" s="151">
        <f>'Etude de cas n°1'!D218</f>
        <v>0</v>
      </c>
      <c r="H218" s="221"/>
      <c r="I218" s="221"/>
      <c r="J218" s="221"/>
      <c r="K218" s="221"/>
      <c r="L218" s="221"/>
      <c r="M218" s="221"/>
      <c r="N218" s="221"/>
    </row>
    <row r="219" spans="1:14" s="96" customFormat="1" ht="13.2" x14ac:dyDescent="0.25">
      <c r="A219" s="82" t="s">
        <v>49</v>
      </c>
      <c r="B219" s="4" t="s">
        <v>1311</v>
      </c>
      <c r="C219" s="217" t="s">
        <v>1011</v>
      </c>
      <c r="D219" s="120"/>
      <c r="E219" s="45">
        <f t="shared" si="11"/>
        <v>0</v>
      </c>
      <c r="F219" s="127">
        <f t="shared" si="12"/>
        <v>0</v>
      </c>
      <c r="G219" s="151">
        <f>'Etude de cas n°1'!D219</f>
        <v>0</v>
      </c>
      <c r="H219" s="17"/>
      <c r="I219" s="17"/>
      <c r="J219" s="17"/>
      <c r="K219" s="17"/>
      <c r="L219" s="17"/>
      <c r="M219" s="17"/>
      <c r="N219" s="17"/>
    </row>
    <row r="220" spans="1:14" s="96" customFormat="1" ht="13.2" x14ac:dyDescent="0.25">
      <c r="A220" s="82" t="s">
        <v>50</v>
      </c>
      <c r="B220" s="4" t="s">
        <v>1312</v>
      </c>
      <c r="C220" s="217"/>
      <c r="D220" s="120"/>
      <c r="E220" s="45"/>
      <c r="F220" s="127"/>
      <c r="G220" s="151"/>
      <c r="H220" s="17"/>
      <c r="I220" s="17"/>
      <c r="J220" s="17"/>
      <c r="K220" s="17"/>
      <c r="L220" s="17"/>
      <c r="M220" s="17"/>
      <c r="N220" s="17"/>
    </row>
    <row r="221" spans="1:14" s="96" customFormat="1" ht="13.2" x14ac:dyDescent="0.25">
      <c r="A221" s="201" t="s">
        <v>1313</v>
      </c>
      <c r="B221" s="192" t="s">
        <v>1314</v>
      </c>
      <c r="C221" s="217" t="s">
        <v>1011</v>
      </c>
      <c r="D221" s="120"/>
      <c r="E221" s="45">
        <f t="shared" si="11"/>
        <v>0</v>
      </c>
      <c r="F221" s="127">
        <f>D221*E221</f>
        <v>0</v>
      </c>
      <c r="G221" s="151">
        <f>'Etude de cas n°1'!D220</f>
        <v>0</v>
      </c>
      <c r="H221" s="17"/>
      <c r="I221" s="17"/>
      <c r="J221" s="17"/>
      <c r="K221" s="17"/>
      <c r="L221" s="17"/>
      <c r="M221" s="17"/>
      <c r="N221" s="17"/>
    </row>
    <row r="222" spans="1:14" s="96" customFormat="1" ht="13.2" x14ac:dyDescent="0.25">
      <c r="A222" s="201" t="s">
        <v>1315</v>
      </c>
      <c r="B222" s="192" t="s">
        <v>1316</v>
      </c>
      <c r="C222" s="217" t="s">
        <v>1011</v>
      </c>
      <c r="D222" s="120"/>
      <c r="E222" s="45">
        <f t="shared" si="11"/>
        <v>0</v>
      </c>
      <c r="F222" s="127">
        <f>D222*E222</f>
        <v>0</v>
      </c>
      <c r="G222" s="151">
        <f>'Etude de cas n°1'!D221</f>
        <v>0</v>
      </c>
      <c r="H222" s="17"/>
      <c r="I222" s="17"/>
      <c r="J222" s="17"/>
      <c r="K222" s="17"/>
      <c r="L222" s="17"/>
      <c r="M222" s="17"/>
      <c r="N222" s="17"/>
    </row>
    <row r="223" spans="1:14" s="96" customFormat="1" ht="13.2" x14ac:dyDescent="0.25">
      <c r="A223" s="201" t="s">
        <v>1317</v>
      </c>
      <c r="B223" s="192" t="s">
        <v>1318</v>
      </c>
      <c r="C223" s="217" t="s">
        <v>1011</v>
      </c>
      <c r="D223" s="120"/>
      <c r="E223" s="45">
        <f t="shared" si="11"/>
        <v>0</v>
      </c>
      <c r="F223" s="127">
        <f>D223*E223</f>
        <v>0</v>
      </c>
      <c r="G223" s="151">
        <f>'Etude de cas n°1'!D222</f>
        <v>0</v>
      </c>
      <c r="H223" s="17"/>
      <c r="I223" s="17"/>
      <c r="J223" s="17"/>
      <c r="K223" s="17"/>
      <c r="L223" s="17"/>
      <c r="M223" s="17"/>
      <c r="N223" s="17"/>
    </row>
    <row r="224" spans="1:14" s="96" customFormat="1" ht="13.2" x14ac:dyDescent="0.25">
      <c r="A224" s="201" t="s">
        <v>1319</v>
      </c>
      <c r="B224" s="192" t="s">
        <v>1320</v>
      </c>
      <c r="C224" s="217" t="s">
        <v>1011</v>
      </c>
      <c r="D224" s="120"/>
      <c r="E224" s="45">
        <f t="shared" si="11"/>
        <v>0</v>
      </c>
      <c r="F224" s="127">
        <f>D224*E224</f>
        <v>0</v>
      </c>
      <c r="G224" s="151">
        <f>'Etude de cas n°1'!D223</f>
        <v>0</v>
      </c>
      <c r="H224" s="17"/>
      <c r="I224" s="17"/>
      <c r="J224" s="17"/>
      <c r="K224" s="17"/>
      <c r="L224" s="17"/>
      <c r="M224" s="17"/>
      <c r="N224" s="17"/>
    </row>
    <row r="225" spans="1:14" s="96" customFormat="1" ht="13.2" x14ac:dyDescent="0.25">
      <c r="A225" s="201" t="s">
        <v>1321</v>
      </c>
      <c r="B225" s="192" t="s">
        <v>1322</v>
      </c>
      <c r="C225" s="217" t="s">
        <v>1011</v>
      </c>
      <c r="D225" s="120"/>
      <c r="E225" s="45">
        <f t="shared" si="11"/>
        <v>0</v>
      </c>
      <c r="F225" s="127">
        <f>D225*E225</f>
        <v>0</v>
      </c>
      <c r="G225" s="151">
        <f>'Etude de cas n°1'!D224</f>
        <v>0</v>
      </c>
      <c r="H225" s="17"/>
      <c r="I225" s="17"/>
      <c r="J225" s="17"/>
      <c r="K225" s="17"/>
      <c r="L225" s="17"/>
      <c r="M225" s="17"/>
      <c r="N225" s="17"/>
    </row>
    <row r="226" spans="1:14" s="96" customFormat="1" ht="13.2" x14ac:dyDescent="0.25">
      <c r="A226" s="201" t="s">
        <v>1323</v>
      </c>
      <c r="B226" s="216" t="s">
        <v>1324</v>
      </c>
      <c r="C226" s="217" t="s">
        <v>1011</v>
      </c>
      <c r="D226" s="120"/>
      <c r="E226" s="45">
        <f t="shared" si="11"/>
        <v>0</v>
      </c>
      <c r="F226" s="127">
        <f t="shared" si="12"/>
        <v>0</v>
      </c>
      <c r="G226" s="151">
        <f>'Etude de cas n°1'!D225</f>
        <v>0</v>
      </c>
      <c r="H226" s="17"/>
      <c r="I226" s="17"/>
      <c r="J226" s="17"/>
      <c r="K226" s="17"/>
      <c r="L226" s="17"/>
      <c r="M226" s="17"/>
      <c r="N226" s="17"/>
    </row>
    <row r="227" spans="1:14" s="96" customFormat="1" ht="13.2" x14ac:dyDescent="0.25">
      <c r="A227" s="201" t="s">
        <v>1325</v>
      </c>
      <c r="B227" s="216" t="s">
        <v>1326</v>
      </c>
      <c r="C227" s="217" t="s">
        <v>1011</v>
      </c>
      <c r="D227" s="120"/>
      <c r="E227" s="45">
        <f t="shared" si="11"/>
        <v>0</v>
      </c>
      <c r="F227" s="127">
        <f t="shared" si="12"/>
        <v>0</v>
      </c>
      <c r="G227" s="151">
        <f>'Etude de cas n°1'!D226</f>
        <v>0</v>
      </c>
      <c r="H227" s="17"/>
      <c r="I227" s="17"/>
      <c r="J227" s="17"/>
      <c r="K227" s="17"/>
      <c r="L227" s="17"/>
      <c r="M227" s="17"/>
      <c r="N227" s="17"/>
    </row>
    <row r="228" spans="1:14" s="96" customFormat="1" ht="13.2" x14ac:dyDescent="0.25">
      <c r="A228" s="201" t="s">
        <v>1327</v>
      </c>
      <c r="B228" s="216" t="s">
        <v>1328</v>
      </c>
      <c r="C228" s="217" t="s">
        <v>1011</v>
      </c>
      <c r="D228" s="120"/>
      <c r="E228" s="45">
        <f t="shared" si="11"/>
        <v>0</v>
      </c>
      <c r="F228" s="127">
        <f t="shared" si="12"/>
        <v>0</v>
      </c>
      <c r="G228" s="151">
        <f>'Etude de cas n°1'!D227</f>
        <v>0</v>
      </c>
      <c r="H228" s="17"/>
      <c r="I228" s="17"/>
      <c r="J228" s="17"/>
      <c r="K228" s="17"/>
      <c r="L228" s="17"/>
      <c r="M228" s="17"/>
      <c r="N228" s="17"/>
    </row>
    <row r="229" spans="1:14" s="96" customFormat="1" ht="13.2" x14ac:dyDescent="0.25">
      <c r="A229" s="201" t="s">
        <v>1329</v>
      </c>
      <c r="B229" s="216" t="s">
        <v>1330</v>
      </c>
      <c r="C229" s="217" t="s">
        <v>1011</v>
      </c>
      <c r="D229" s="120"/>
      <c r="E229" s="45">
        <f t="shared" si="11"/>
        <v>0</v>
      </c>
      <c r="F229" s="127">
        <f t="shared" si="12"/>
        <v>0</v>
      </c>
      <c r="G229" s="151">
        <f>'Etude de cas n°1'!D228</f>
        <v>0</v>
      </c>
      <c r="H229" s="17"/>
      <c r="I229" s="17"/>
      <c r="J229" s="17"/>
      <c r="K229" s="17"/>
      <c r="L229" s="17"/>
      <c r="M229" s="17"/>
      <c r="N229" s="17"/>
    </row>
    <row r="230" spans="1:14" s="96" customFormat="1" ht="13.2" x14ac:dyDescent="0.25">
      <c r="A230" s="201" t="s">
        <v>1331</v>
      </c>
      <c r="B230" s="216" t="s">
        <v>1332</v>
      </c>
      <c r="C230" s="217" t="s">
        <v>1011</v>
      </c>
      <c r="D230" s="120"/>
      <c r="E230" s="45">
        <f t="shared" si="11"/>
        <v>0</v>
      </c>
      <c r="F230" s="127">
        <f t="shared" si="12"/>
        <v>0</v>
      </c>
      <c r="G230" s="151">
        <f>'Etude de cas n°1'!D229</f>
        <v>0</v>
      </c>
      <c r="H230" s="17"/>
      <c r="I230" s="17"/>
      <c r="J230" s="17"/>
      <c r="K230" s="17"/>
      <c r="L230" s="17"/>
      <c r="M230" s="17"/>
      <c r="N230" s="17"/>
    </row>
    <row r="231" spans="1:14" s="96" customFormat="1" ht="13.2" x14ac:dyDescent="0.25">
      <c r="A231" s="201" t="s">
        <v>1333</v>
      </c>
      <c r="B231" s="216" t="s">
        <v>1334</v>
      </c>
      <c r="C231" s="217" t="s">
        <v>1011</v>
      </c>
      <c r="D231" s="120"/>
      <c r="E231" s="45">
        <f t="shared" si="11"/>
        <v>0</v>
      </c>
      <c r="F231" s="127">
        <f t="shared" ref="F231" si="13">D231*E231</f>
        <v>0</v>
      </c>
      <c r="G231" s="151">
        <f>'Etude de cas n°1'!D230</f>
        <v>0</v>
      </c>
      <c r="H231" s="17"/>
      <c r="I231" s="17"/>
      <c r="J231" s="17"/>
      <c r="K231" s="17"/>
      <c r="L231" s="17"/>
      <c r="M231" s="17"/>
      <c r="N231" s="17"/>
    </row>
    <row r="232" spans="1:14" s="96" customFormat="1" ht="13.2" x14ac:dyDescent="0.25">
      <c r="A232" s="201" t="s">
        <v>1335</v>
      </c>
      <c r="B232" s="216" t="s">
        <v>1336</v>
      </c>
      <c r="C232" s="217" t="s">
        <v>1034</v>
      </c>
      <c r="D232" s="120"/>
      <c r="E232" s="45">
        <f t="shared" si="11"/>
        <v>0</v>
      </c>
      <c r="F232" s="127">
        <f t="shared" si="12"/>
        <v>0</v>
      </c>
      <c r="G232" s="151">
        <f>'Etude de cas n°1'!D231</f>
        <v>0</v>
      </c>
      <c r="H232" s="17"/>
      <c r="I232" s="17"/>
      <c r="J232" s="17"/>
      <c r="K232" s="17"/>
      <c r="L232" s="17"/>
      <c r="M232" s="17"/>
      <c r="N232" s="17"/>
    </row>
    <row r="233" spans="1:14" s="95" customFormat="1" ht="13.2" x14ac:dyDescent="0.25">
      <c r="A233" s="201" t="s">
        <v>1337</v>
      </c>
      <c r="B233" s="216" t="s">
        <v>1338</v>
      </c>
      <c r="C233" s="217" t="s">
        <v>1011</v>
      </c>
      <c r="D233" s="120"/>
      <c r="E233" s="45">
        <f t="shared" si="11"/>
        <v>0</v>
      </c>
      <c r="F233" s="127">
        <f t="shared" si="12"/>
        <v>0</v>
      </c>
      <c r="G233" s="151">
        <f>'Etude de cas n°1'!D232</f>
        <v>0</v>
      </c>
      <c r="H233" s="221"/>
      <c r="I233" s="221"/>
      <c r="J233" s="221"/>
      <c r="K233" s="221"/>
      <c r="L233" s="221"/>
      <c r="M233" s="221"/>
      <c r="N233" s="221"/>
    </row>
    <row r="234" spans="1:14" s="94" customFormat="1" ht="13.2" x14ac:dyDescent="0.25">
      <c r="A234" s="201" t="s">
        <v>1339</v>
      </c>
      <c r="B234" s="223" t="s">
        <v>1340</v>
      </c>
      <c r="C234" s="217" t="s">
        <v>1011</v>
      </c>
      <c r="D234" s="120"/>
      <c r="E234" s="45">
        <f t="shared" si="11"/>
        <v>0</v>
      </c>
      <c r="F234" s="127">
        <f t="shared" si="12"/>
        <v>0</v>
      </c>
      <c r="G234" s="151">
        <f>'Etude de cas n°1'!D233</f>
        <v>0</v>
      </c>
      <c r="H234" s="19"/>
      <c r="I234" s="19"/>
      <c r="J234" s="19"/>
      <c r="K234" s="19"/>
      <c r="L234" s="19"/>
      <c r="M234" s="19"/>
      <c r="N234" s="19"/>
    </row>
    <row r="235" spans="1:14" s="94" customFormat="1" ht="13.2" x14ac:dyDescent="0.25">
      <c r="A235" s="201" t="s">
        <v>1341</v>
      </c>
      <c r="B235" s="216" t="s">
        <v>1342</v>
      </c>
      <c r="C235" s="217" t="s">
        <v>1034</v>
      </c>
      <c r="D235" s="120"/>
      <c r="E235" s="45">
        <f t="shared" si="11"/>
        <v>0</v>
      </c>
      <c r="F235" s="127">
        <f t="shared" si="12"/>
        <v>0</v>
      </c>
      <c r="G235" s="151">
        <f>'Etude de cas n°1'!D234</f>
        <v>0</v>
      </c>
      <c r="H235" s="19"/>
      <c r="I235" s="19"/>
      <c r="J235" s="19"/>
      <c r="K235" s="19"/>
      <c r="L235" s="19"/>
      <c r="M235" s="19"/>
      <c r="N235" s="19"/>
    </row>
    <row r="236" spans="1:14" s="97" customFormat="1" ht="13.2" x14ac:dyDescent="0.25">
      <c r="A236" s="201" t="s">
        <v>1343</v>
      </c>
      <c r="B236" s="216" t="s">
        <v>1344</v>
      </c>
      <c r="C236" s="217" t="s">
        <v>1011</v>
      </c>
      <c r="D236" s="120"/>
      <c r="E236" s="45">
        <f t="shared" si="11"/>
        <v>0</v>
      </c>
      <c r="F236" s="127">
        <f t="shared" si="12"/>
        <v>0</v>
      </c>
      <c r="G236" s="151">
        <f>'Etude de cas n°1'!D235</f>
        <v>0</v>
      </c>
      <c r="H236" s="218"/>
      <c r="I236" s="218"/>
      <c r="J236" s="218"/>
      <c r="K236" s="218"/>
      <c r="L236" s="218"/>
      <c r="M236" s="218"/>
      <c r="N236" s="218"/>
    </row>
    <row r="237" spans="1:14" s="97" customFormat="1" ht="13.2" x14ac:dyDescent="0.25">
      <c r="A237" s="201" t="s">
        <v>1345</v>
      </c>
      <c r="B237" s="216" t="s">
        <v>1346</v>
      </c>
      <c r="C237" s="217" t="s">
        <v>1011</v>
      </c>
      <c r="D237" s="120"/>
      <c r="E237" s="45">
        <f t="shared" si="11"/>
        <v>0</v>
      </c>
      <c r="F237" s="127">
        <f t="shared" si="12"/>
        <v>0</v>
      </c>
      <c r="G237" s="151">
        <f>'Etude de cas n°1'!D236</f>
        <v>0</v>
      </c>
      <c r="H237" s="218"/>
      <c r="I237" s="218"/>
      <c r="J237" s="218"/>
      <c r="K237" s="218"/>
      <c r="L237" s="218"/>
      <c r="M237" s="218"/>
      <c r="N237" s="218"/>
    </row>
    <row r="238" spans="1:14" s="97" customFormat="1" ht="13.2" x14ac:dyDescent="0.25">
      <c r="A238" s="201" t="s">
        <v>1347</v>
      </c>
      <c r="B238" s="216" t="s">
        <v>1348</v>
      </c>
      <c r="C238" s="217" t="s">
        <v>1034</v>
      </c>
      <c r="D238" s="120"/>
      <c r="E238" s="45">
        <f t="shared" si="11"/>
        <v>0</v>
      </c>
      <c r="F238" s="127">
        <f t="shared" si="12"/>
        <v>0</v>
      </c>
      <c r="G238" s="151">
        <f>'Etude de cas n°1'!D237</f>
        <v>0</v>
      </c>
      <c r="H238" s="218"/>
      <c r="I238" s="218"/>
      <c r="J238" s="218"/>
      <c r="K238" s="218"/>
      <c r="L238" s="218"/>
      <c r="M238" s="218"/>
      <c r="N238" s="218"/>
    </row>
    <row r="239" spans="1:14" s="97" customFormat="1" ht="13.2" x14ac:dyDescent="0.25">
      <c r="A239" s="201" t="s">
        <v>1349</v>
      </c>
      <c r="B239" s="216" t="s">
        <v>1350</v>
      </c>
      <c r="C239" s="217" t="s">
        <v>1011</v>
      </c>
      <c r="D239" s="120"/>
      <c r="E239" s="45">
        <f t="shared" si="11"/>
        <v>0</v>
      </c>
      <c r="F239" s="127">
        <f t="shared" si="12"/>
        <v>0</v>
      </c>
      <c r="G239" s="151">
        <f>'Etude de cas n°1'!D238</f>
        <v>0</v>
      </c>
      <c r="H239" s="218"/>
      <c r="I239" s="218"/>
      <c r="J239" s="218"/>
      <c r="K239" s="218"/>
      <c r="L239" s="218"/>
      <c r="M239" s="218"/>
      <c r="N239" s="218"/>
    </row>
    <row r="240" spans="1:14" s="97" customFormat="1" ht="13.2" x14ac:dyDescent="0.25">
      <c r="A240" s="201" t="s">
        <v>1351</v>
      </c>
      <c r="B240" s="223" t="s">
        <v>1352</v>
      </c>
      <c r="C240" s="217" t="s">
        <v>1034</v>
      </c>
      <c r="D240" s="120"/>
      <c r="E240" s="45">
        <f t="shared" si="11"/>
        <v>0</v>
      </c>
      <c r="F240" s="127">
        <f t="shared" si="12"/>
        <v>0</v>
      </c>
      <c r="G240" s="151">
        <f>'Etude de cas n°1'!D239</f>
        <v>0</v>
      </c>
      <c r="H240" s="218"/>
      <c r="I240" s="218"/>
      <c r="J240" s="218"/>
      <c r="K240" s="218"/>
      <c r="L240" s="218"/>
      <c r="M240" s="218"/>
      <c r="N240" s="218"/>
    </row>
    <row r="241" spans="1:14" s="97" customFormat="1" ht="13.2" x14ac:dyDescent="0.25">
      <c r="A241" s="201" t="s">
        <v>1353</v>
      </c>
      <c r="B241" s="223" t="s">
        <v>1354</v>
      </c>
      <c r="C241" s="217" t="s">
        <v>1011</v>
      </c>
      <c r="D241" s="120"/>
      <c r="E241" s="45">
        <f t="shared" si="11"/>
        <v>0</v>
      </c>
      <c r="F241" s="127">
        <f t="shared" si="12"/>
        <v>0</v>
      </c>
      <c r="G241" s="151">
        <f>'Etude de cas n°1'!D240</f>
        <v>0</v>
      </c>
      <c r="H241" s="218"/>
      <c r="I241" s="218"/>
      <c r="J241" s="218"/>
      <c r="K241" s="218"/>
      <c r="L241" s="218"/>
      <c r="M241" s="218"/>
      <c r="N241" s="218"/>
    </row>
    <row r="242" spans="1:14" s="97" customFormat="1" ht="13.2" x14ac:dyDescent="0.25">
      <c r="A242" s="201" t="s">
        <v>1355</v>
      </c>
      <c r="B242" s="223" t="s">
        <v>1356</v>
      </c>
      <c r="C242" s="202"/>
      <c r="D242" s="120"/>
      <c r="E242" s="45"/>
      <c r="F242" s="127"/>
      <c r="G242" s="151"/>
      <c r="H242" s="218"/>
      <c r="I242" s="218"/>
      <c r="J242" s="218"/>
      <c r="K242" s="218"/>
      <c r="L242" s="218"/>
      <c r="M242" s="218"/>
      <c r="N242" s="218"/>
    </row>
    <row r="243" spans="1:14" s="97" customFormat="1" ht="13.2" x14ac:dyDescent="0.25">
      <c r="A243" s="201" t="s">
        <v>1357</v>
      </c>
      <c r="B243" s="216" t="s">
        <v>1358</v>
      </c>
      <c r="C243" s="217" t="s">
        <v>1141</v>
      </c>
      <c r="D243" s="120"/>
      <c r="E243" s="45">
        <f t="shared" si="11"/>
        <v>0</v>
      </c>
      <c r="F243" s="127">
        <f t="shared" si="12"/>
        <v>0</v>
      </c>
      <c r="G243" s="151">
        <f>'Etude de cas n°1'!D243</f>
        <v>0</v>
      </c>
      <c r="H243" s="218"/>
      <c r="I243" s="218"/>
      <c r="J243" s="218"/>
      <c r="K243" s="218"/>
      <c r="L243" s="218"/>
      <c r="M243" s="218"/>
      <c r="N243" s="218"/>
    </row>
    <row r="244" spans="1:14" s="97" customFormat="1" ht="13.2" x14ac:dyDescent="0.25">
      <c r="A244" s="201" t="s">
        <v>1359</v>
      </c>
      <c r="B244" s="216" t="s">
        <v>1360</v>
      </c>
      <c r="C244" s="217" t="s">
        <v>1141</v>
      </c>
      <c r="D244" s="120"/>
      <c r="E244" s="45">
        <f t="shared" si="11"/>
        <v>0</v>
      </c>
      <c r="F244" s="127">
        <f t="shared" si="12"/>
        <v>0</v>
      </c>
      <c r="G244" s="151">
        <f>'Etude de cas n°1'!D244</f>
        <v>0</v>
      </c>
      <c r="H244" s="218"/>
      <c r="I244" s="218"/>
      <c r="J244" s="218"/>
      <c r="K244" s="218"/>
      <c r="L244" s="218"/>
      <c r="M244" s="218"/>
      <c r="N244" s="218"/>
    </row>
    <row r="245" spans="1:14" s="97" customFormat="1" ht="13.2" x14ac:dyDescent="0.25">
      <c r="A245" s="82" t="s">
        <v>51</v>
      </c>
      <c r="B245" s="4" t="s">
        <v>1361</v>
      </c>
      <c r="C245" s="217"/>
      <c r="D245" s="120"/>
      <c r="E245" s="45"/>
      <c r="F245" s="127"/>
      <c r="G245" s="151"/>
      <c r="H245" s="218"/>
      <c r="I245" s="218"/>
      <c r="J245" s="218"/>
      <c r="K245" s="218"/>
      <c r="L245" s="218"/>
      <c r="M245" s="218"/>
      <c r="N245" s="218"/>
    </row>
    <row r="246" spans="1:14" s="94" customFormat="1" ht="13.2" x14ac:dyDescent="0.25">
      <c r="A246" s="201" t="s">
        <v>1362</v>
      </c>
      <c r="B246" s="216" t="s">
        <v>1363</v>
      </c>
      <c r="C246" s="217" t="s">
        <v>1011</v>
      </c>
      <c r="D246" s="120"/>
      <c r="E246" s="45">
        <f t="shared" si="11"/>
        <v>0</v>
      </c>
      <c r="F246" s="127">
        <f t="shared" si="12"/>
        <v>0</v>
      </c>
      <c r="G246" s="151">
        <f>'Etude de cas n°1'!D246</f>
        <v>0</v>
      </c>
      <c r="H246" s="19"/>
      <c r="I246" s="19"/>
      <c r="J246" s="19"/>
      <c r="K246" s="19"/>
      <c r="L246" s="19"/>
      <c r="M246" s="19"/>
      <c r="N246" s="19"/>
    </row>
    <row r="247" spans="1:14" s="94" customFormat="1" ht="13.2" x14ac:dyDescent="0.25">
      <c r="A247" s="201" t="s">
        <v>1364</v>
      </c>
      <c r="B247" s="216" t="s">
        <v>1365</v>
      </c>
      <c r="C247" s="217" t="s">
        <v>1011</v>
      </c>
      <c r="D247" s="120"/>
      <c r="E247" s="45">
        <f t="shared" si="11"/>
        <v>0</v>
      </c>
      <c r="F247" s="127">
        <f t="shared" si="12"/>
        <v>0</v>
      </c>
      <c r="G247" s="151">
        <f>'Etude de cas n°1'!D247</f>
        <v>0</v>
      </c>
      <c r="H247" s="19"/>
      <c r="I247" s="19"/>
      <c r="J247" s="19"/>
      <c r="K247" s="19"/>
      <c r="L247" s="19"/>
      <c r="M247" s="19"/>
      <c r="N247" s="19"/>
    </row>
    <row r="248" spans="1:14" s="97" customFormat="1" ht="13.2" x14ac:dyDescent="0.25">
      <c r="A248" s="201" t="s">
        <v>1366</v>
      </c>
      <c r="B248" s="216" t="s">
        <v>1367</v>
      </c>
      <c r="C248" s="217" t="s">
        <v>1011</v>
      </c>
      <c r="D248" s="120"/>
      <c r="E248" s="45">
        <f t="shared" si="11"/>
        <v>0</v>
      </c>
      <c r="F248" s="127">
        <f t="shared" si="12"/>
        <v>0</v>
      </c>
      <c r="G248" s="151">
        <f>'Etude de cas n°1'!D248</f>
        <v>0</v>
      </c>
      <c r="H248" s="218"/>
      <c r="I248" s="218"/>
      <c r="J248" s="218"/>
      <c r="K248" s="218"/>
      <c r="L248" s="218"/>
      <c r="M248" s="218"/>
      <c r="N248" s="218"/>
    </row>
    <row r="249" spans="1:14" s="97" customFormat="1" ht="13.2" x14ac:dyDescent="0.25">
      <c r="A249" s="201" t="s">
        <v>1368</v>
      </c>
      <c r="B249" s="216" t="s">
        <v>1369</v>
      </c>
      <c r="C249" s="217" t="s">
        <v>1011</v>
      </c>
      <c r="D249" s="120"/>
      <c r="E249" s="45">
        <f t="shared" si="11"/>
        <v>0</v>
      </c>
      <c r="F249" s="127">
        <f t="shared" si="12"/>
        <v>0</v>
      </c>
      <c r="G249" s="151">
        <f>'Etude de cas n°1'!D249</f>
        <v>0</v>
      </c>
      <c r="H249" s="218"/>
      <c r="I249" s="218"/>
      <c r="J249" s="218"/>
      <c r="K249" s="218"/>
      <c r="L249" s="218"/>
      <c r="M249" s="218"/>
      <c r="N249" s="218"/>
    </row>
    <row r="250" spans="1:14" s="97" customFormat="1" ht="13.2" x14ac:dyDescent="0.25">
      <c r="A250" s="201" t="s">
        <v>1370</v>
      </c>
      <c r="B250" s="216" t="s">
        <v>1371</v>
      </c>
      <c r="C250" s="217" t="s">
        <v>1011</v>
      </c>
      <c r="D250" s="120"/>
      <c r="E250" s="45">
        <f t="shared" ref="E250:E313" si="14">G250</f>
        <v>0</v>
      </c>
      <c r="F250" s="127">
        <f t="shared" si="12"/>
        <v>0</v>
      </c>
      <c r="G250" s="151">
        <f>'Etude de cas n°1'!D250</f>
        <v>0</v>
      </c>
      <c r="H250" s="218"/>
      <c r="I250" s="218"/>
      <c r="J250" s="218"/>
      <c r="K250" s="218"/>
      <c r="L250" s="218"/>
      <c r="M250" s="218"/>
      <c r="N250" s="218"/>
    </row>
    <row r="251" spans="1:14" s="97" customFormat="1" ht="13.2" x14ac:dyDescent="0.25">
      <c r="A251" s="201" t="s">
        <v>1372</v>
      </c>
      <c r="B251" s="216" t="s">
        <v>1373</v>
      </c>
      <c r="C251" s="217" t="s">
        <v>1011</v>
      </c>
      <c r="D251" s="120"/>
      <c r="E251" s="45">
        <f t="shared" si="14"/>
        <v>0</v>
      </c>
      <c r="F251" s="127">
        <f t="shared" si="12"/>
        <v>0</v>
      </c>
      <c r="G251" s="151">
        <f>'Etude de cas n°1'!D251</f>
        <v>0</v>
      </c>
      <c r="H251" s="218"/>
      <c r="I251" s="218"/>
      <c r="J251" s="218"/>
      <c r="K251" s="218"/>
      <c r="L251" s="218"/>
      <c r="M251" s="218"/>
      <c r="N251" s="218"/>
    </row>
    <row r="252" spans="1:14" s="97" customFormat="1" ht="13.2" x14ac:dyDescent="0.25">
      <c r="A252" s="201" t="s">
        <v>1374</v>
      </c>
      <c r="B252" s="216" t="s">
        <v>1375</v>
      </c>
      <c r="C252" s="217" t="s">
        <v>1011</v>
      </c>
      <c r="D252" s="120"/>
      <c r="E252" s="45">
        <f t="shared" si="14"/>
        <v>0</v>
      </c>
      <c r="F252" s="127">
        <f t="shared" si="12"/>
        <v>0</v>
      </c>
      <c r="G252" s="151">
        <f>'Etude de cas n°1'!D252</f>
        <v>0</v>
      </c>
      <c r="H252" s="218"/>
      <c r="I252" s="218"/>
      <c r="J252" s="218"/>
      <c r="K252" s="218"/>
      <c r="L252" s="218"/>
      <c r="M252" s="218"/>
      <c r="N252" s="218"/>
    </row>
    <row r="253" spans="1:14" s="97" customFormat="1" ht="13.2" x14ac:dyDescent="0.25">
      <c r="A253" s="78" t="s">
        <v>1376</v>
      </c>
      <c r="B253" s="4" t="s">
        <v>1377</v>
      </c>
      <c r="C253" s="217"/>
      <c r="D253" s="120"/>
      <c r="E253" s="45"/>
      <c r="F253" s="127"/>
      <c r="G253" s="151"/>
      <c r="H253" s="218"/>
      <c r="I253" s="218"/>
      <c r="J253" s="218"/>
      <c r="K253" s="218"/>
      <c r="L253" s="218"/>
      <c r="M253" s="218"/>
      <c r="N253" s="218"/>
    </row>
    <row r="254" spans="1:14" s="97" customFormat="1" ht="13.2" x14ac:dyDescent="0.25">
      <c r="A254" s="201" t="s">
        <v>1378</v>
      </c>
      <c r="B254" s="216" t="s">
        <v>1379</v>
      </c>
      <c r="C254" s="217" t="s">
        <v>1011</v>
      </c>
      <c r="D254" s="120"/>
      <c r="E254" s="45">
        <f t="shared" si="14"/>
        <v>0</v>
      </c>
      <c r="F254" s="127">
        <f t="shared" si="12"/>
        <v>0</v>
      </c>
      <c r="G254" s="151">
        <f>'Etude de cas n°1'!D254</f>
        <v>0</v>
      </c>
      <c r="H254" s="218"/>
      <c r="I254" s="218"/>
      <c r="J254" s="218"/>
      <c r="K254" s="218"/>
      <c r="L254" s="218"/>
      <c r="M254" s="218"/>
      <c r="N254" s="218"/>
    </row>
    <row r="255" spans="1:14" s="258" customFormat="1" ht="13.2" x14ac:dyDescent="0.25">
      <c r="A255" s="256" t="s">
        <v>1380</v>
      </c>
      <c r="B255" s="250" t="s">
        <v>1381</v>
      </c>
      <c r="C255" s="217" t="s">
        <v>1011</v>
      </c>
      <c r="D255" s="120"/>
      <c r="E255" s="45">
        <f t="shared" si="14"/>
        <v>0</v>
      </c>
      <c r="F255" s="198">
        <f t="shared" si="12"/>
        <v>0</v>
      </c>
      <c r="G255" s="199">
        <f>'Etude de cas n°1'!D255</f>
        <v>0</v>
      </c>
      <c r="H255" s="257"/>
      <c r="I255" s="257"/>
      <c r="J255" s="257"/>
      <c r="K255" s="257"/>
      <c r="L255" s="257"/>
      <c r="M255" s="257"/>
      <c r="N255" s="257"/>
    </row>
    <row r="256" spans="1:14" s="261" customFormat="1" ht="13.2" x14ac:dyDescent="0.25">
      <c r="A256" s="256" t="s">
        <v>1382</v>
      </c>
      <c r="B256" s="250" t="s">
        <v>4389</v>
      </c>
      <c r="C256" s="217" t="s">
        <v>1011</v>
      </c>
      <c r="D256" s="120"/>
      <c r="E256" s="45">
        <f t="shared" si="14"/>
        <v>0</v>
      </c>
      <c r="F256" s="198">
        <f t="shared" ref="F256" si="15">D256*E256</f>
        <v>0</v>
      </c>
      <c r="G256" s="199">
        <f>'Etude de cas n°1'!D256</f>
        <v>0</v>
      </c>
      <c r="H256" s="260"/>
      <c r="I256" s="260"/>
      <c r="J256" s="260"/>
      <c r="K256" s="260"/>
      <c r="L256" s="260"/>
      <c r="M256" s="260"/>
      <c r="N256" s="260"/>
    </row>
    <row r="257" spans="1:14" s="97" customFormat="1" ht="13.2" x14ac:dyDescent="0.25">
      <c r="A257" s="256" t="s">
        <v>1384</v>
      </c>
      <c r="B257" s="216" t="s">
        <v>1383</v>
      </c>
      <c r="C257" s="217" t="s">
        <v>1011</v>
      </c>
      <c r="D257" s="120"/>
      <c r="E257" s="45">
        <f t="shared" si="14"/>
        <v>0</v>
      </c>
      <c r="F257" s="127">
        <f t="shared" si="12"/>
        <v>0</v>
      </c>
      <c r="G257" s="151">
        <f>'Etude de cas n°1'!D257</f>
        <v>0</v>
      </c>
      <c r="H257" s="218"/>
      <c r="I257" s="218"/>
      <c r="J257" s="218"/>
      <c r="K257" s="218"/>
      <c r="L257" s="218"/>
      <c r="M257" s="218"/>
      <c r="N257" s="218"/>
    </row>
    <row r="258" spans="1:14" s="97" customFormat="1" ht="13.2" x14ac:dyDescent="0.25">
      <c r="A258" s="256" t="s">
        <v>1386</v>
      </c>
      <c r="B258" s="253" t="s">
        <v>1385</v>
      </c>
      <c r="C258" s="217" t="s">
        <v>1011</v>
      </c>
      <c r="D258" s="120"/>
      <c r="E258" s="45">
        <f t="shared" si="14"/>
        <v>0</v>
      </c>
      <c r="F258" s="127">
        <f t="shared" ref="F258:F271" si="16">D258*E258</f>
        <v>0</v>
      </c>
      <c r="G258" s="151">
        <f>'Etude de cas n°1'!D258</f>
        <v>0</v>
      </c>
      <c r="H258" s="218"/>
      <c r="I258" s="218"/>
      <c r="J258" s="218"/>
      <c r="K258" s="218"/>
      <c r="L258" s="218"/>
      <c r="M258" s="218"/>
      <c r="N258" s="218"/>
    </row>
    <row r="259" spans="1:14" s="97" customFormat="1" ht="13.2" x14ac:dyDescent="0.25">
      <c r="A259" s="256" t="s">
        <v>1388</v>
      </c>
      <c r="B259" s="216" t="s">
        <v>1387</v>
      </c>
      <c r="C259" s="217" t="s">
        <v>1011</v>
      </c>
      <c r="D259" s="120"/>
      <c r="E259" s="45">
        <f t="shared" si="14"/>
        <v>0</v>
      </c>
      <c r="F259" s="127">
        <f t="shared" si="16"/>
        <v>0</v>
      </c>
      <c r="G259" s="151">
        <f>'Etude de cas n°1'!D259</f>
        <v>0</v>
      </c>
      <c r="H259" s="218"/>
      <c r="I259" s="218"/>
      <c r="J259" s="218"/>
      <c r="K259" s="218"/>
      <c r="L259" s="218"/>
      <c r="M259" s="218"/>
      <c r="N259" s="218"/>
    </row>
    <row r="260" spans="1:14" s="97" customFormat="1" ht="13.2" x14ac:dyDescent="0.25">
      <c r="A260" s="256" t="s">
        <v>1390</v>
      </c>
      <c r="B260" s="216" t="s">
        <v>1389</v>
      </c>
      <c r="C260" s="217" t="s">
        <v>1011</v>
      </c>
      <c r="D260" s="120"/>
      <c r="E260" s="45">
        <f t="shared" si="14"/>
        <v>0</v>
      </c>
      <c r="F260" s="127">
        <f t="shared" si="16"/>
        <v>0</v>
      </c>
      <c r="G260" s="151">
        <f>'Etude de cas n°1'!D260</f>
        <v>0</v>
      </c>
      <c r="H260" s="218"/>
      <c r="I260" s="218"/>
      <c r="J260" s="218"/>
      <c r="K260" s="218"/>
      <c r="L260" s="218"/>
      <c r="M260" s="218"/>
      <c r="N260" s="218"/>
    </row>
    <row r="261" spans="1:14" s="97" customFormat="1" ht="13.2" x14ac:dyDescent="0.25">
      <c r="A261" s="256" t="s">
        <v>1392</v>
      </c>
      <c r="B261" s="216" t="s">
        <v>1391</v>
      </c>
      <c r="C261" s="217" t="s">
        <v>1011</v>
      </c>
      <c r="D261" s="120"/>
      <c r="E261" s="45">
        <f t="shared" si="14"/>
        <v>0</v>
      </c>
      <c r="F261" s="127">
        <f t="shared" si="16"/>
        <v>0</v>
      </c>
      <c r="G261" s="151">
        <f>'Etude de cas n°1'!D261</f>
        <v>0</v>
      </c>
      <c r="H261" s="218"/>
      <c r="I261" s="218"/>
      <c r="J261" s="218"/>
      <c r="K261" s="218"/>
      <c r="L261" s="218"/>
      <c r="M261" s="218"/>
      <c r="N261" s="218"/>
    </row>
    <row r="262" spans="1:14" s="97" customFormat="1" ht="13.2" x14ac:dyDescent="0.25">
      <c r="A262" s="256" t="s">
        <v>1394</v>
      </c>
      <c r="B262" s="253" t="s">
        <v>1393</v>
      </c>
      <c r="C262" s="217" t="s">
        <v>1011</v>
      </c>
      <c r="D262" s="120"/>
      <c r="E262" s="45">
        <f t="shared" si="14"/>
        <v>0</v>
      </c>
      <c r="F262" s="127">
        <f t="shared" si="16"/>
        <v>0</v>
      </c>
      <c r="G262" s="151">
        <f>'Etude de cas n°1'!D262</f>
        <v>0</v>
      </c>
      <c r="H262" s="218"/>
      <c r="I262" s="218"/>
      <c r="J262" s="218"/>
      <c r="K262" s="218"/>
      <c r="L262" s="218"/>
      <c r="M262" s="218"/>
      <c r="N262" s="218"/>
    </row>
    <row r="263" spans="1:14" s="97" customFormat="1" ht="13.2" x14ac:dyDescent="0.25">
      <c r="A263" s="256" t="s">
        <v>1396</v>
      </c>
      <c r="B263" s="216" t="s">
        <v>1395</v>
      </c>
      <c r="C263" s="217" t="s">
        <v>1011</v>
      </c>
      <c r="D263" s="120"/>
      <c r="E263" s="45">
        <f t="shared" si="14"/>
        <v>0</v>
      </c>
      <c r="F263" s="127">
        <f t="shared" si="16"/>
        <v>0</v>
      </c>
      <c r="G263" s="151">
        <f>'Etude de cas n°1'!D263</f>
        <v>0</v>
      </c>
      <c r="H263" s="218"/>
      <c r="I263" s="218"/>
      <c r="J263" s="218"/>
      <c r="K263" s="218"/>
      <c r="L263" s="218"/>
      <c r="M263" s="218"/>
      <c r="N263" s="218"/>
    </row>
    <row r="264" spans="1:14" s="263" customFormat="1" ht="13.2" x14ac:dyDescent="0.25">
      <c r="A264" s="256" t="s">
        <v>1397</v>
      </c>
      <c r="B264" s="216" t="s">
        <v>4358</v>
      </c>
      <c r="C264" s="238" t="s">
        <v>1011</v>
      </c>
      <c r="D264" s="249"/>
      <c r="E264" s="45">
        <f t="shared" si="14"/>
        <v>0</v>
      </c>
      <c r="F264" s="198">
        <f t="shared" ref="F264" si="17">D264*E264</f>
        <v>0</v>
      </c>
      <c r="G264" s="151">
        <f>'Etude de cas n°1'!D264</f>
        <v>0</v>
      </c>
      <c r="H264" s="262"/>
      <c r="I264" s="262"/>
      <c r="J264" s="262"/>
      <c r="K264" s="262"/>
      <c r="L264" s="262"/>
      <c r="M264" s="262"/>
      <c r="N264" s="262"/>
    </row>
    <row r="265" spans="1:14" s="96" customFormat="1" ht="13.2" x14ac:dyDescent="0.25">
      <c r="A265" s="256" t="s">
        <v>1399</v>
      </c>
      <c r="B265" s="216" t="s">
        <v>1398</v>
      </c>
      <c r="C265" s="217" t="s">
        <v>1011</v>
      </c>
      <c r="D265" s="120"/>
      <c r="E265" s="45">
        <f t="shared" si="14"/>
        <v>0</v>
      </c>
      <c r="F265" s="127">
        <f t="shared" si="16"/>
        <v>0</v>
      </c>
      <c r="G265" s="151">
        <f>'Etude de cas n°1'!D265</f>
        <v>0</v>
      </c>
      <c r="H265" s="17"/>
      <c r="I265" s="17"/>
      <c r="J265" s="17"/>
      <c r="K265" s="17"/>
      <c r="L265" s="17"/>
      <c r="M265" s="17"/>
      <c r="N265" s="17"/>
    </row>
    <row r="266" spans="1:14" s="96" customFormat="1" ht="13.2" x14ac:dyDescent="0.25">
      <c r="A266" s="256" t="s">
        <v>1401</v>
      </c>
      <c r="B266" s="254" t="s">
        <v>1400</v>
      </c>
      <c r="C266" s="217" t="s">
        <v>1011</v>
      </c>
      <c r="D266" s="120"/>
      <c r="E266" s="45">
        <f t="shared" si="14"/>
        <v>0</v>
      </c>
      <c r="F266" s="127">
        <f t="shared" si="16"/>
        <v>0</v>
      </c>
      <c r="G266" s="151">
        <f>'Etude de cas n°1'!D266</f>
        <v>0</v>
      </c>
      <c r="H266" s="17"/>
      <c r="I266" s="17"/>
      <c r="J266" s="17"/>
      <c r="K266" s="17"/>
      <c r="L266" s="17"/>
      <c r="M266" s="17"/>
      <c r="N266" s="17"/>
    </row>
    <row r="267" spans="1:14" s="96" customFormat="1" ht="26.4" x14ac:dyDescent="0.25">
      <c r="A267" s="256" t="s">
        <v>1403</v>
      </c>
      <c r="B267" s="275" t="s">
        <v>4390</v>
      </c>
      <c r="C267" s="217" t="s">
        <v>1011</v>
      </c>
      <c r="D267" s="120"/>
      <c r="E267" s="45">
        <f t="shared" si="14"/>
        <v>0</v>
      </c>
      <c r="F267" s="127">
        <f t="shared" ref="F267" si="18">D267*E267</f>
        <v>0</v>
      </c>
      <c r="G267" s="151">
        <f>'Etude de cas n°1'!D267</f>
        <v>0</v>
      </c>
      <c r="H267" s="17"/>
      <c r="I267" s="17"/>
      <c r="J267" s="17"/>
      <c r="K267" s="17"/>
      <c r="L267" s="17"/>
      <c r="M267" s="17"/>
      <c r="N267" s="17"/>
    </row>
    <row r="268" spans="1:14" s="96" customFormat="1" ht="13.2" x14ac:dyDescent="0.25">
      <c r="A268" s="256" t="s">
        <v>1405</v>
      </c>
      <c r="B268" s="216" t="s">
        <v>1402</v>
      </c>
      <c r="C268" s="217" t="s">
        <v>1011</v>
      </c>
      <c r="D268" s="120"/>
      <c r="E268" s="45">
        <f t="shared" si="14"/>
        <v>0</v>
      </c>
      <c r="F268" s="127">
        <f t="shared" si="16"/>
        <v>0</v>
      </c>
      <c r="G268" s="151">
        <f>'Etude de cas n°1'!D268</f>
        <v>0</v>
      </c>
      <c r="H268" s="17"/>
      <c r="I268" s="17"/>
      <c r="J268" s="17"/>
      <c r="K268" s="17"/>
      <c r="L268" s="17"/>
      <c r="M268" s="17"/>
      <c r="N268" s="17"/>
    </row>
    <row r="269" spans="1:14" s="94" customFormat="1" ht="13.2" x14ac:dyDescent="0.25">
      <c r="A269" s="256" t="s">
        <v>1407</v>
      </c>
      <c r="B269" s="216" t="s">
        <v>1404</v>
      </c>
      <c r="C269" s="217" t="s">
        <v>1011</v>
      </c>
      <c r="D269" s="120"/>
      <c r="E269" s="45">
        <f t="shared" si="14"/>
        <v>0</v>
      </c>
      <c r="F269" s="127">
        <f t="shared" si="16"/>
        <v>0</v>
      </c>
      <c r="G269" s="151">
        <f>'Etude de cas n°1'!D269</f>
        <v>0</v>
      </c>
      <c r="H269" s="19"/>
      <c r="I269" s="19"/>
      <c r="J269" s="19"/>
      <c r="K269" s="19"/>
      <c r="L269" s="19"/>
      <c r="M269" s="19"/>
      <c r="N269" s="19"/>
    </row>
    <row r="270" spans="1:14" s="94" customFormat="1" ht="13.2" x14ac:dyDescent="0.25">
      <c r="A270" s="256" t="s">
        <v>1409</v>
      </c>
      <c r="B270" s="216" t="s">
        <v>1406</v>
      </c>
      <c r="C270" s="217" t="s">
        <v>1011</v>
      </c>
      <c r="D270" s="120"/>
      <c r="E270" s="45">
        <f t="shared" si="14"/>
        <v>0</v>
      </c>
      <c r="F270" s="127">
        <f t="shared" si="16"/>
        <v>0</v>
      </c>
      <c r="G270" s="151">
        <f>'Etude de cas n°1'!D270</f>
        <v>0</v>
      </c>
      <c r="H270" s="19"/>
      <c r="I270" s="19"/>
      <c r="J270" s="19"/>
      <c r="K270" s="19"/>
      <c r="L270" s="19"/>
      <c r="M270" s="19"/>
      <c r="N270" s="19"/>
    </row>
    <row r="271" spans="1:14" s="94" customFormat="1" ht="13.2" x14ac:dyDescent="0.25">
      <c r="A271" s="256" t="s">
        <v>1411</v>
      </c>
      <c r="B271" s="253" t="s">
        <v>1408</v>
      </c>
      <c r="C271" s="217" t="s">
        <v>1011</v>
      </c>
      <c r="D271" s="120"/>
      <c r="E271" s="45">
        <f t="shared" si="14"/>
        <v>0</v>
      </c>
      <c r="F271" s="127">
        <f t="shared" si="16"/>
        <v>0</v>
      </c>
      <c r="G271" s="151">
        <f>'Etude de cas n°1'!D271</f>
        <v>0</v>
      </c>
      <c r="H271" s="19"/>
      <c r="I271" s="19"/>
      <c r="J271" s="19"/>
      <c r="K271" s="19"/>
      <c r="L271" s="19"/>
      <c r="M271" s="19"/>
      <c r="N271" s="19"/>
    </row>
    <row r="272" spans="1:14" s="94" customFormat="1" ht="13.2" x14ac:dyDescent="0.25">
      <c r="A272" s="256" t="s">
        <v>1413</v>
      </c>
      <c r="B272" s="216" t="s">
        <v>1410</v>
      </c>
      <c r="C272" s="217" t="s">
        <v>1011</v>
      </c>
      <c r="D272" s="120"/>
      <c r="E272" s="45">
        <f t="shared" si="14"/>
        <v>0</v>
      </c>
      <c r="F272" s="127">
        <f t="shared" si="12"/>
        <v>0</v>
      </c>
      <c r="G272" s="151">
        <f>'Etude de cas n°1'!D272</f>
        <v>0</v>
      </c>
      <c r="H272" s="19"/>
      <c r="I272" s="19"/>
      <c r="J272" s="19"/>
      <c r="K272" s="19"/>
      <c r="L272" s="19"/>
      <c r="M272" s="19"/>
      <c r="N272" s="19"/>
    </row>
    <row r="273" spans="1:14" s="274" customFormat="1" ht="13.2" x14ac:dyDescent="0.25">
      <c r="A273" s="256" t="s">
        <v>1415</v>
      </c>
      <c r="B273" s="250" t="s">
        <v>1412</v>
      </c>
      <c r="C273" s="238" t="s">
        <v>1011</v>
      </c>
      <c r="D273" s="249"/>
      <c r="E273" s="45">
        <f t="shared" si="14"/>
        <v>0</v>
      </c>
      <c r="F273" s="198">
        <f t="shared" ref="F273:F374" si="19">D273*E273</f>
        <v>0</v>
      </c>
      <c r="G273" s="151">
        <f>'Etude de cas n°1'!D273</f>
        <v>0</v>
      </c>
      <c r="H273" s="273"/>
      <c r="I273" s="273"/>
      <c r="J273" s="273"/>
      <c r="K273" s="273"/>
      <c r="L273" s="273"/>
      <c r="M273" s="273"/>
      <c r="N273" s="273"/>
    </row>
    <row r="274" spans="1:14" s="94" customFormat="1" ht="13.2" x14ac:dyDescent="0.25">
      <c r="A274" s="256" t="s">
        <v>1417</v>
      </c>
      <c r="B274" s="216" t="s">
        <v>1414</v>
      </c>
      <c r="C274" s="217" t="s">
        <v>1011</v>
      </c>
      <c r="D274" s="120"/>
      <c r="E274" s="45">
        <f t="shared" si="14"/>
        <v>0</v>
      </c>
      <c r="F274" s="127">
        <f t="shared" si="19"/>
        <v>0</v>
      </c>
      <c r="G274" s="151">
        <f>'Etude de cas n°1'!D274</f>
        <v>0</v>
      </c>
      <c r="H274" s="19"/>
      <c r="I274" s="19"/>
      <c r="J274" s="19"/>
      <c r="K274" s="19"/>
      <c r="L274" s="19"/>
      <c r="M274" s="19"/>
      <c r="N274" s="19"/>
    </row>
    <row r="275" spans="1:14" s="94" customFormat="1" ht="13.2" x14ac:dyDescent="0.25">
      <c r="A275" s="256" t="s">
        <v>1419</v>
      </c>
      <c r="B275" s="216" t="s">
        <v>1416</v>
      </c>
      <c r="C275" s="217" t="s">
        <v>1011</v>
      </c>
      <c r="D275" s="120"/>
      <c r="E275" s="45">
        <f t="shared" si="14"/>
        <v>0</v>
      </c>
      <c r="F275" s="127">
        <f t="shared" si="19"/>
        <v>0</v>
      </c>
      <c r="G275" s="151">
        <f>'Etude de cas n°1'!D275</f>
        <v>0</v>
      </c>
      <c r="H275" s="19"/>
      <c r="I275" s="19"/>
      <c r="J275" s="19"/>
      <c r="K275" s="19"/>
      <c r="L275" s="19"/>
      <c r="M275" s="19"/>
      <c r="N275" s="19"/>
    </row>
    <row r="276" spans="1:14" s="272" customFormat="1" ht="13.2" x14ac:dyDescent="0.25">
      <c r="A276" s="256" t="s">
        <v>1421</v>
      </c>
      <c r="B276" s="250" t="s">
        <v>1418</v>
      </c>
      <c r="C276" s="238" t="s">
        <v>1011</v>
      </c>
      <c r="D276" s="249"/>
      <c r="E276" s="45">
        <f t="shared" si="14"/>
        <v>0</v>
      </c>
      <c r="F276" s="198">
        <f t="shared" si="19"/>
        <v>0</v>
      </c>
      <c r="G276" s="151">
        <f>'Etude de cas n°1'!D276</f>
        <v>0</v>
      </c>
      <c r="H276" s="271"/>
      <c r="I276" s="271"/>
      <c r="J276" s="271"/>
      <c r="K276" s="271"/>
      <c r="L276" s="271"/>
      <c r="M276" s="271"/>
      <c r="N276" s="271"/>
    </row>
    <row r="277" spans="1:14" s="96" customFormat="1" ht="13.2" x14ac:dyDescent="0.25">
      <c r="A277" s="256" t="s">
        <v>1423</v>
      </c>
      <c r="B277" s="216" t="s">
        <v>1420</v>
      </c>
      <c r="C277" s="217" t="s">
        <v>1011</v>
      </c>
      <c r="D277" s="120"/>
      <c r="E277" s="45">
        <f t="shared" si="14"/>
        <v>0</v>
      </c>
      <c r="F277" s="127">
        <f t="shared" si="19"/>
        <v>0</v>
      </c>
      <c r="G277" s="151">
        <f>'Etude de cas n°1'!D277</f>
        <v>0</v>
      </c>
      <c r="H277" s="17"/>
      <c r="I277" s="17"/>
      <c r="J277" s="17"/>
      <c r="K277" s="17"/>
      <c r="L277" s="17"/>
      <c r="M277" s="17"/>
      <c r="N277" s="17"/>
    </row>
    <row r="278" spans="1:14" s="263" customFormat="1" ht="13.2" x14ac:dyDescent="0.25">
      <c r="A278" s="256" t="s">
        <v>1425</v>
      </c>
      <c r="B278" s="250" t="s">
        <v>4388</v>
      </c>
      <c r="C278" s="217" t="s">
        <v>1011</v>
      </c>
      <c r="D278" s="120"/>
      <c r="E278" s="45">
        <f t="shared" si="14"/>
        <v>0</v>
      </c>
      <c r="F278" s="127">
        <f t="shared" ref="F278:F280" si="20">D278*E278</f>
        <v>0</v>
      </c>
      <c r="G278" s="151">
        <f>'Etude de cas n°1'!D278</f>
        <v>0</v>
      </c>
      <c r="H278" s="262"/>
      <c r="I278" s="262"/>
      <c r="J278" s="262"/>
      <c r="K278" s="262"/>
      <c r="L278" s="262"/>
      <c r="M278" s="262"/>
      <c r="N278" s="262"/>
    </row>
    <row r="279" spans="1:14" s="263" customFormat="1" ht="26.4" x14ac:dyDescent="0.25">
      <c r="A279" s="256" t="s">
        <v>1427</v>
      </c>
      <c r="B279" s="250" t="s">
        <v>4387</v>
      </c>
      <c r="C279" s="217" t="s">
        <v>1011</v>
      </c>
      <c r="D279" s="120"/>
      <c r="E279" s="45">
        <f t="shared" si="14"/>
        <v>0</v>
      </c>
      <c r="F279" s="127">
        <f t="shared" si="20"/>
        <v>0</v>
      </c>
      <c r="G279" s="151">
        <f>'Etude de cas n°1'!D279</f>
        <v>0</v>
      </c>
      <c r="H279" s="262"/>
      <c r="I279" s="262"/>
      <c r="J279" s="262"/>
      <c r="K279" s="262"/>
      <c r="L279" s="262"/>
      <c r="M279" s="262"/>
      <c r="N279" s="262"/>
    </row>
    <row r="280" spans="1:14" s="263" customFormat="1" ht="13.2" x14ac:dyDescent="0.25">
      <c r="A280" s="256" t="s">
        <v>1429</v>
      </c>
      <c r="B280" s="250" t="s">
        <v>4386</v>
      </c>
      <c r="C280" s="217" t="s">
        <v>1011</v>
      </c>
      <c r="D280" s="120"/>
      <c r="E280" s="45">
        <f t="shared" si="14"/>
        <v>0</v>
      </c>
      <c r="F280" s="127">
        <f t="shared" si="20"/>
        <v>0</v>
      </c>
      <c r="G280" s="151">
        <f>'Etude de cas n°1'!D280</f>
        <v>0</v>
      </c>
      <c r="H280" s="262"/>
      <c r="I280" s="262"/>
      <c r="J280" s="262"/>
      <c r="K280" s="262"/>
      <c r="L280" s="262"/>
      <c r="M280" s="262"/>
      <c r="N280" s="262"/>
    </row>
    <row r="281" spans="1:14" s="96" customFormat="1" ht="13.2" x14ac:dyDescent="0.25">
      <c r="A281" s="256" t="s">
        <v>1431</v>
      </c>
      <c r="B281" s="253" t="s">
        <v>1422</v>
      </c>
      <c r="C281" s="217" t="s">
        <v>1011</v>
      </c>
      <c r="D281" s="120"/>
      <c r="E281" s="45">
        <f t="shared" si="14"/>
        <v>0</v>
      </c>
      <c r="F281" s="127">
        <f>D281*E281</f>
        <v>0</v>
      </c>
      <c r="G281" s="151">
        <f>'Etude de cas n°1'!D281</f>
        <v>0</v>
      </c>
      <c r="H281" s="17"/>
      <c r="I281" s="17"/>
      <c r="J281" s="17"/>
      <c r="K281" s="17"/>
      <c r="L281" s="17"/>
      <c r="M281" s="17"/>
      <c r="N281" s="17"/>
    </row>
    <row r="282" spans="1:14" s="99" customFormat="1" ht="13.2" x14ac:dyDescent="0.25">
      <c r="A282" s="256" t="s">
        <v>1433</v>
      </c>
      <c r="B282" s="216" t="s">
        <v>1424</v>
      </c>
      <c r="C282" s="217" t="s">
        <v>1011</v>
      </c>
      <c r="D282" s="120"/>
      <c r="E282" s="45">
        <f t="shared" si="14"/>
        <v>0</v>
      </c>
      <c r="F282" s="127">
        <f t="shared" si="19"/>
        <v>0</v>
      </c>
      <c r="G282" s="151">
        <f>'Etude de cas n°1'!D282</f>
        <v>0</v>
      </c>
      <c r="H282" s="18"/>
      <c r="I282" s="18"/>
      <c r="J282" s="18"/>
      <c r="K282" s="18"/>
      <c r="L282" s="18"/>
      <c r="M282" s="18"/>
      <c r="N282" s="18"/>
    </row>
    <row r="283" spans="1:14" s="99" customFormat="1" ht="13.2" x14ac:dyDescent="0.25">
      <c r="A283" s="256" t="s">
        <v>1435</v>
      </c>
      <c r="B283" s="216" t="s">
        <v>1426</v>
      </c>
      <c r="C283" s="217" t="s">
        <v>1011</v>
      </c>
      <c r="D283" s="120"/>
      <c r="E283" s="45">
        <f t="shared" si="14"/>
        <v>0</v>
      </c>
      <c r="F283" s="127">
        <f t="shared" si="19"/>
        <v>0</v>
      </c>
      <c r="G283" s="151">
        <f>'Etude de cas n°1'!D283</f>
        <v>0</v>
      </c>
      <c r="H283" s="18"/>
      <c r="I283" s="18"/>
      <c r="J283" s="18"/>
      <c r="K283" s="18"/>
      <c r="L283" s="18"/>
      <c r="M283" s="18"/>
      <c r="N283" s="18"/>
    </row>
    <row r="284" spans="1:14" s="99" customFormat="1" ht="13.2" x14ac:dyDescent="0.25">
      <c r="A284" s="256" t="s">
        <v>1437</v>
      </c>
      <c r="B284" s="216" t="s">
        <v>1428</v>
      </c>
      <c r="C284" s="217" t="s">
        <v>1011</v>
      </c>
      <c r="D284" s="120"/>
      <c r="E284" s="45">
        <f t="shared" si="14"/>
        <v>0</v>
      </c>
      <c r="F284" s="127">
        <f t="shared" si="19"/>
        <v>0</v>
      </c>
      <c r="G284" s="151">
        <f>'Etude de cas n°1'!D284</f>
        <v>0</v>
      </c>
      <c r="H284" s="18"/>
      <c r="I284" s="18"/>
      <c r="J284" s="18"/>
      <c r="K284" s="18"/>
      <c r="L284" s="18"/>
      <c r="M284" s="18"/>
      <c r="N284" s="18"/>
    </row>
    <row r="285" spans="1:14" s="99" customFormat="1" ht="13.2" x14ac:dyDescent="0.25">
      <c r="A285" s="256" t="s">
        <v>1439</v>
      </c>
      <c r="B285" s="192" t="s">
        <v>1430</v>
      </c>
      <c r="C285" s="217" t="s">
        <v>1011</v>
      </c>
      <c r="D285" s="120"/>
      <c r="E285" s="45">
        <f t="shared" si="14"/>
        <v>0</v>
      </c>
      <c r="F285" s="127">
        <f>D285*E285</f>
        <v>0</v>
      </c>
      <c r="G285" s="151">
        <f>'Etude de cas n°1'!D285</f>
        <v>0</v>
      </c>
      <c r="H285" s="18"/>
      <c r="I285" s="18"/>
      <c r="J285" s="18"/>
      <c r="K285" s="18"/>
      <c r="L285" s="18"/>
      <c r="M285" s="18"/>
      <c r="N285" s="18"/>
    </row>
    <row r="286" spans="1:14" s="99" customFormat="1" ht="13.2" x14ac:dyDescent="0.25">
      <c r="A286" s="256" t="s">
        <v>1441</v>
      </c>
      <c r="B286" s="192" t="s">
        <v>1432</v>
      </c>
      <c r="C286" s="217" t="s">
        <v>1011</v>
      </c>
      <c r="D286" s="120"/>
      <c r="E286" s="45">
        <f t="shared" si="14"/>
        <v>0</v>
      </c>
      <c r="F286" s="127">
        <f>D286*E286</f>
        <v>0</v>
      </c>
      <c r="G286" s="151">
        <f>'Etude de cas n°1'!D286</f>
        <v>0</v>
      </c>
      <c r="H286" s="18"/>
      <c r="I286" s="18"/>
      <c r="J286" s="18"/>
      <c r="K286" s="18"/>
      <c r="L286" s="18"/>
      <c r="M286" s="18"/>
      <c r="N286" s="18"/>
    </row>
    <row r="287" spans="1:14" s="99" customFormat="1" ht="13.2" x14ac:dyDescent="0.25">
      <c r="A287" s="256" t="s">
        <v>1443</v>
      </c>
      <c r="B287" s="192" t="s">
        <v>1434</v>
      </c>
      <c r="C287" s="217" t="s">
        <v>1011</v>
      </c>
      <c r="D287" s="120"/>
      <c r="E287" s="45">
        <f t="shared" si="14"/>
        <v>0</v>
      </c>
      <c r="F287" s="127">
        <f>D287*E287</f>
        <v>0</v>
      </c>
      <c r="G287" s="151">
        <f>'Etude de cas n°1'!D287</f>
        <v>0</v>
      </c>
      <c r="H287" s="18"/>
      <c r="I287" s="18"/>
      <c r="J287" s="18"/>
      <c r="K287" s="18"/>
      <c r="L287" s="18"/>
      <c r="M287" s="18"/>
      <c r="N287" s="18"/>
    </row>
    <row r="288" spans="1:14" s="99" customFormat="1" ht="13.2" x14ac:dyDescent="0.25">
      <c r="A288" s="256" t="s">
        <v>1445</v>
      </c>
      <c r="B288" s="216" t="s">
        <v>1436</v>
      </c>
      <c r="C288" s="217" t="s">
        <v>1034</v>
      </c>
      <c r="D288" s="120"/>
      <c r="E288" s="45">
        <f t="shared" si="14"/>
        <v>0</v>
      </c>
      <c r="F288" s="127">
        <f t="shared" si="19"/>
        <v>0</v>
      </c>
      <c r="G288" s="151">
        <f>'Etude de cas n°1'!D288</f>
        <v>0</v>
      </c>
      <c r="H288" s="18"/>
      <c r="I288" s="18"/>
      <c r="J288" s="18"/>
      <c r="K288" s="18"/>
      <c r="L288" s="18"/>
      <c r="M288" s="18"/>
      <c r="N288" s="18"/>
    </row>
    <row r="289" spans="1:14" s="99" customFormat="1" ht="13.2" x14ac:dyDescent="0.25">
      <c r="A289" s="256" t="s">
        <v>1447</v>
      </c>
      <c r="B289" s="216" t="s">
        <v>1438</v>
      </c>
      <c r="C289" s="217" t="s">
        <v>1034</v>
      </c>
      <c r="D289" s="120"/>
      <c r="E289" s="45">
        <f t="shared" si="14"/>
        <v>0</v>
      </c>
      <c r="F289" s="127">
        <f t="shared" si="19"/>
        <v>0</v>
      </c>
      <c r="G289" s="151">
        <f>'Etude de cas n°1'!D289</f>
        <v>0</v>
      </c>
      <c r="H289" s="18"/>
      <c r="I289" s="18"/>
      <c r="J289" s="18"/>
      <c r="K289" s="18"/>
      <c r="L289" s="18"/>
      <c r="M289" s="18"/>
      <c r="N289" s="18"/>
    </row>
    <row r="290" spans="1:14" s="99" customFormat="1" ht="13.2" x14ac:dyDescent="0.25">
      <c r="A290" s="256" t="s">
        <v>1449</v>
      </c>
      <c r="B290" s="216" t="s">
        <v>1440</v>
      </c>
      <c r="C290" s="217" t="s">
        <v>1034</v>
      </c>
      <c r="D290" s="120"/>
      <c r="E290" s="45">
        <f t="shared" si="14"/>
        <v>0</v>
      </c>
      <c r="F290" s="127">
        <f t="shared" si="19"/>
        <v>0</v>
      </c>
      <c r="G290" s="151">
        <f>'Etude de cas n°1'!D290</f>
        <v>0</v>
      </c>
      <c r="H290" s="18"/>
      <c r="I290" s="18"/>
      <c r="J290" s="18"/>
      <c r="K290" s="18"/>
      <c r="L290" s="18"/>
      <c r="M290" s="18"/>
      <c r="N290" s="18"/>
    </row>
    <row r="291" spans="1:14" s="265" customFormat="1" ht="13.2" x14ac:dyDescent="0.25">
      <c r="A291" s="256" t="s">
        <v>1451</v>
      </c>
      <c r="B291" s="250" t="s">
        <v>4378</v>
      </c>
      <c r="C291" s="217" t="s">
        <v>1034</v>
      </c>
      <c r="D291" s="120"/>
      <c r="E291" s="45">
        <f t="shared" si="14"/>
        <v>0</v>
      </c>
      <c r="F291" s="127">
        <f t="shared" ref="F291:F295" si="21">D291*E291</f>
        <v>0</v>
      </c>
      <c r="G291" s="151">
        <f>'Etude de cas n°1'!D291</f>
        <v>0</v>
      </c>
      <c r="H291" s="264"/>
      <c r="I291" s="264"/>
      <c r="J291" s="264"/>
      <c r="K291" s="264"/>
      <c r="L291" s="264"/>
      <c r="M291" s="264"/>
      <c r="N291" s="264"/>
    </row>
    <row r="292" spans="1:14" s="265" customFormat="1" ht="13.2" x14ac:dyDescent="0.25">
      <c r="A292" s="256" t="s">
        <v>1453</v>
      </c>
      <c r="B292" s="250" t="s">
        <v>4380</v>
      </c>
      <c r="C292" s="217" t="s">
        <v>1034</v>
      </c>
      <c r="D292" s="120"/>
      <c r="E292" s="45">
        <f t="shared" si="14"/>
        <v>0</v>
      </c>
      <c r="F292" s="127">
        <f t="shared" si="21"/>
        <v>0</v>
      </c>
      <c r="G292" s="151">
        <f>'Etude de cas n°1'!D292</f>
        <v>0</v>
      </c>
      <c r="H292" s="264"/>
      <c r="I292" s="264"/>
      <c r="J292" s="264"/>
      <c r="K292" s="264"/>
      <c r="L292" s="264"/>
      <c r="M292" s="264"/>
      <c r="N292" s="264"/>
    </row>
    <row r="293" spans="1:14" s="265" customFormat="1" ht="13.2" x14ac:dyDescent="0.25">
      <c r="A293" s="256" t="s">
        <v>1455</v>
      </c>
      <c r="B293" s="250" t="s">
        <v>4379</v>
      </c>
      <c r="C293" s="217" t="s">
        <v>1034</v>
      </c>
      <c r="D293" s="120"/>
      <c r="E293" s="45">
        <f t="shared" si="14"/>
        <v>0</v>
      </c>
      <c r="F293" s="127">
        <f t="shared" si="21"/>
        <v>0</v>
      </c>
      <c r="G293" s="151">
        <f>'Etude de cas n°1'!D293</f>
        <v>0</v>
      </c>
      <c r="H293" s="264"/>
      <c r="I293" s="264"/>
      <c r="J293" s="264"/>
      <c r="K293" s="264"/>
      <c r="L293" s="264"/>
      <c r="M293" s="264"/>
      <c r="N293" s="264"/>
    </row>
    <row r="294" spans="1:14" s="265" customFormat="1" ht="13.2" x14ac:dyDescent="0.25">
      <c r="A294" s="256" t="s">
        <v>1457</v>
      </c>
      <c r="B294" s="250" t="s">
        <v>4381</v>
      </c>
      <c r="C294" s="217" t="s">
        <v>1034</v>
      </c>
      <c r="D294" s="120"/>
      <c r="E294" s="45">
        <f t="shared" si="14"/>
        <v>0</v>
      </c>
      <c r="F294" s="127">
        <f t="shared" si="21"/>
        <v>0</v>
      </c>
      <c r="G294" s="151">
        <f>'Etude de cas n°1'!D294</f>
        <v>0</v>
      </c>
      <c r="H294" s="264"/>
      <c r="I294" s="264"/>
      <c r="J294" s="264"/>
      <c r="K294" s="264"/>
      <c r="L294" s="264"/>
      <c r="M294" s="264"/>
      <c r="N294" s="264"/>
    </row>
    <row r="295" spans="1:14" s="265" customFormat="1" ht="13.2" x14ac:dyDescent="0.25">
      <c r="A295" s="256" t="s">
        <v>1459</v>
      </c>
      <c r="B295" s="250" t="s">
        <v>4382</v>
      </c>
      <c r="C295" s="217" t="s">
        <v>1034</v>
      </c>
      <c r="D295" s="120"/>
      <c r="E295" s="45">
        <f t="shared" si="14"/>
        <v>0</v>
      </c>
      <c r="F295" s="127">
        <f t="shared" si="21"/>
        <v>0</v>
      </c>
      <c r="G295" s="151">
        <f>'Etude de cas n°1'!D295</f>
        <v>0</v>
      </c>
      <c r="H295" s="264"/>
      <c r="I295" s="264"/>
      <c r="J295" s="264"/>
      <c r="K295" s="264"/>
      <c r="L295" s="264"/>
      <c r="M295" s="264"/>
      <c r="N295" s="264"/>
    </row>
    <row r="296" spans="1:14" s="99" customFormat="1" ht="13.2" x14ac:dyDescent="0.25">
      <c r="A296" s="256" t="s">
        <v>1461</v>
      </c>
      <c r="B296" s="216" t="s">
        <v>1442</v>
      </c>
      <c r="C296" s="217" t="s">
        <v>1034</v>
      </c>
      <c r="D296" s="120"/>
      <c r="E296" s="45">
        <f t="shared" si="14"/>
        <v>0</v>
      </c>
      <c r="F296" s="127">
        <f t="shared" si="19"/>
        <v>0</v>
      </c>
      <c r="G296" s="151">
        <f>'Etude de cas n°1'!D296</f>
        <v>0</v>
      </c>
      <c r="H296" s="18"/>
      <c r="I296" s="18"/>
      <c r="J296" s="18"/>
      <c r="K296" s="18"/>
      <c r="L296" s="18"/>
      <c r="M296" s="18"/>
      <c r="N296" s="18"/>
    </row>
    <row r="297" spans="1:14" s="265" customFormat="1" ht="13.2" x14ac:dyDescent="0.25">
      <c r="A297" s="256" t="s">
        <v>1463</v>
      </c>
      <c r="B297" s="250" t="s">
        <v>4359</v>
      </c>
      <c r="C297" s="217" t="s">
        <v>1034</v>
      </c>
      <c r="D297" s="120"/>
      <c r="E297" s="45">
        <f t="shared" si="14"/>
        <v>0</v>
      </c>
      <c r="F297" s="127">
        <f t="shared" ref="F297:F300" si="22">D297*E297</f>
        <v>0</v>
      </c>
      <c r="G297" s="151">
        <f>'Etude de cas n°1'!D297</f>
        <v>0</v>
      </c>
      <c r="H297" s="264"/>
      <c r="I297" s="264"/>
      <c r="J297" s="264"/>
      <c r="K297" s="264"/>
      <c r="L297" s="264"/>
      <c r="M297" s="264"/>
      <c r="N297" s="264"/>
    </row>
    <row r="298" spans="1:14" s="265" customFormat="1" ht="13.2" x14ac:dyDescent="0.25">
      <c r="A298" s="256" t="s">
        <v>1465</v>
      </c>
      <c r="B298" s="250" t="s">
        <v>4360</v>
      </c>
      <c r="C298" s="217" t="s">
        <v>1034</v>
      </c>
      <c r="D298" s="120"/>
      <c r="E298" s="45">
        <f t="shared" si="14"/>
        <v>0</v>
      </c>
      <c r="F298" s="127">
        <f t="shared" si="22"/>
        <v>0</v>
      </c>
      <c r="G298" s="151">
        <f>'Etude de cas n°1'!D298</f>
        <v>0</v>
      </c>
      <c r="H298" s="264"/>
      <c r="I298" s="264"/>
      <c r="J298" s="264"/>
      <c r="K298" s="264"/>
      <c r="L298" s="264"/>
      <c r="M298" s="264"/>
      <c r="N298" s="264"/>
    </row>
    <row r="299" spans="1:14" s="265" customFormat="1" ht="13.2" x14ac:dyDescent="0.25">
      <c r="A299" s="256" t="s">
        <v>1467</v>
      </c>
      <c r="B299" s="250" t="s">
        <v>4383</v>
      </c>
      <c r="C299" s="217" t="s">
        <v>1034</v>
      </c>
      <c r="D299" s="120"/>
      <c r="E299" s="45">
        <f t="shared" si="14"/>
        <v>0</v>
      </c>
      <c r="F299" s="127">
        <f t="shared" si="22"/>
        <v>0</v>
      </c>
      <c r="G299" s="151">
        <f>'Etude de cas n°1'!D299</f>
        <v>0</v>
      </c>
      <c r="H299" s="264"/>
      <c r="I299" s="264"/>
      <c r="J299" s="264"/>
      <c r="K299" s="264"/>
      <c r="L299" s="264"/>
      <c r="M299" s="264"/>
      <c r="N299" s="264"/>
    </row>
    <row r="300" spans="1:14" s="265" customFormat="1" ht="13.2" x14ac:dyDescent="0.25">
      <c r="A300" s="256" t="s">
        <v>1469</v>
      </c>
      <c r="B300" s="250" t="s">
        <v>4384</v>
      </c>
      <c r="C300" s="217" t="s">
        <v>1034</v>
      </c>
      <c r="D300" s="120"/>
      <c r="E300" s="45">
        <f t="shared" si="14"/>
        <v>0</v>
      </c>
      <c r="F300" s="127">
        <f t="shared" si="22"/>
        <v>0</v>
      </c>
      <c r="G300" s="151">
        <f>'Etude de cas n°1'!D300</f>
        <v>0</v>
      </c>
      <c r="H300" s="264"/>
      <c r="I300" s="264"/>
      <c r="J300" s="264"/>
      <c r="K300" s="264"/>
      <c r="L300" s="264"/>
      <c r="M300" s="264"/>
      <c r="N300" s="264"/>
    </row>
    <row r="301" spans="1:14" s="99" customFormat="1" ht="13.2" x14ac:dyDescent="0.25">
      <c r="A301" s="256" t="s">
        <v>1471</v>
      </c>
      <c r="B301" s="216" t="s">
        <v>1444</v>
      </c>
      <c r="C301" s="217" t="s">
        <v>1034</v>
      </c>
      <c r="D301" s="120"/>
      <c r="E301" s="45">
        <f t="shared" si="14"/>
        <v>0</v>
      </c>
      <c r="F301" s="127">
        <f t="shared" si="19"/>
        <v>0</v>
      </c>
      <c r="G301" s="151">
        <f>'Etude de cas n°1'!D301</f>
        <v>0</v>
      </c>
      <c r="H301" s="18"/>
      <c r="I301" s="18"/>
      <c r="J301" s="18"/>
      <c r="K301" s="18"/>
      <c r="L301" s="18"/>
      <c r="M301" s="18"/>
      <c r="N301" s="18"/>
    </row>
    <row r="302" spans="1:14" s="99" customFormat="1" ht="13.2" x14ac:dyDescent="0.25">
      <c r="A302" s="256" t="s">
        <v>1473</v>
      </c>
      <c r="B302" s="216" t="s">
        <v>1446</v>
      </c>
      <c r="C302" s="217" t="s">
        <v>1034</v>
      </c>
      <c r="D302" s="120"/>
      <c r="E302" s="45">
        <f t="shared" si="14"/>
        <v>0</v>
      </c>
      <c r="F302" s="127">
        <f t="shared" si="19"/>
        <v>0</v>
      </c>
      <c r="G302" s="151">
        <f>'Etude de cas n°1'!D302</f>
        <v>0</v>
      </c>
      <c r="H302" s="18"/>
      <c r="I302" s="18"/>
      <c r="J302" s="18"/>
      <c r="K302" s="18"/>
      <c r="L302" s="18"/>
      <c r="M302" s="18"/>
      <c r="N302" s="18"/>
    </row>
    <row r="303" spans="1:14" s="99" customFormat="1" ht="13.2" x14ac:dyDescent="0.25">
      <c r="A303" s="256" t="s">
        <v>1475</v>
      </c>
      <c r="B303" s="255" t="s">
        <v>1448</v>
      </c>
      <c r="C303" s="217" t="s">
        <v>1034</v>
      </c>
      <c r="D303" s="120"/>
      <c r="E303" s="45">
        <f t="shared" si="14"/>
        <v>0</v>
      </c>
      <c r="F303" s="127">
        <f>D303*E303</f>
        <v>0</v>
      </c>
      <c r="G303" s="151">
        <f>'Etude de cas n°1'!D303</f>
        <v>0</v>
      </c>
      <c r="H303" s="18"/>
      <c r="I303" s="18"/>
      <c r="J303" s="18"/>
      <c r="K303" s="18"/>
      <c r="L303" s="18"/>
      <c r="M303" s="18"/>
      <c r="N303" s="18"/>
    </row>
    <row r="304" spans="1:14" s="99" customFormat="1" ht="13.2" x14ac:dyDescent="0.25">
      <c r="A304" s="256" t="s">
        <v>4363</v>
      </c>
      <c r="B304" s="255" t="s">
        <v>1450</v>
      </c>
      <c r="C304" s="217" t="s">
        <v>1034</v>
      </c>
      <c r="D304" s="120"/>
      <c r="E304" s="45">
        <f t="shared" si="14"/>
        <v>0</v>
      </c>
      <c r="F304" s="127">
        <f>D304*E304</f>
        <v>0</v>
      </c>
      <c r="G304" s="151">
        <f>'Etude de cas n°1'!D304</f>
        <v>0</v>
      </c>
      <c r="H304" s="18"/>
      <c r="I304" s="18"/>
      <c r="J304" s="18"/>
      <c r="K304" s="18"/>
      <c r="L304" s="18"/>
      <c r="M304" s="18"/>
      <c r="N304" s="18"/>
    </row>
    <row r="305" spans="1:14" s="265" customFormat="1" ht="13.2" x14ac:dyDescent="0.25">
      <c r="A305" s="256" t="s">
        <v>4364</v>
      </c>
      <c r="B305" s="276" t="s">
        <v>4361</v>
      </c>
      <c r="C305" s="217" t="s">
        <v>1034</v>
      </c>
      <c r="D305" s="120"/>
      <c r="E305" s="45">
        <f t="shared" si="14"/>
        <v>0</v>
      </c>
      <c r="F305" s="127">
        <f>D305*E305</f>
        <v>0</v>
      </c>
      <c r="G305" s="151">
        <f>'Etude de cas n°1'!D305</f>
        <v>0</v>
      </c>
      <c r="H305" s="264"/>
      <c r="I305" s="264"/>
      <c r="J305" s="264"/>
      <c r="K305" s="264"/>
      <c r="L305" s="264"/>
      <c r="M305" s="264"/>
      <c r="N305" s="264"/>
    </row>
    <row r="306" spans="1:14" s="99" customFormat="1" ht="13.2" x14ac:dyDescent="0.25">
      <c r="A306" s="256" t="s">
        <v>4365</v>
      </c>
      <c r="B306" s="216" t="s">
        <v>1452</v>
      </c>
      <c r="C306" s="217" t="s">
        <v>1011</v>
      </c>
      <c r="D306" s="120"/>
      <c r="E306" s="45">
        <f t="shared" si="14"/>
        <v>0</v>
      </c>
      <c r="F306" s="127">
        <f t="shared" si="19"/>
        <v>0</v>
      </c>
      <c r="G306" s="151">
        <f>'Etude de cas n°1'!D306</f>
        <v>0</v>
      </c>
      <c r="H306" s="18"/>
      <c r="I306" s="18"/>
      <c r="J306" s="18"/>
      <c r="K306" s="18"/>
      <c r="L306" s="18"/>
      <c r="M306" s="18"/>
      <c r="N306" s="18"/>
    </row>
    <row r="307" spans="1:14" s="99" customFormat="1" ht="13.2" x14ac:dyDescent="0.25">
      <c r="A307" s="256" t="s">
        <v>4366</v>
      </c>
      <c r="B307" s="216" t="s">
        <v>1454</v>
      </c>
      <c r="C307" s="217" t="s">
        <v>1011</v>
      </c>
      <c r="D307" s="120"/>
      <c r="E307" s="45">
        <f t="shared" si="14"/>
        <v>0</v>
      </c>
      <c r="F307" s="127">
        <f t="shared" si="19"/>
        <v>0</v>
      </c>
      <c r="G307" s="151">
        <f>'Etude de cas n°1'!D307</f>
        <v>0</v>
      </c>
      <c r="H307" s="18"/>
      <c r="I307" s="18"/>
      <c r="J307" s="18"/>
      <c r="K307" s="18"/>
      <c r="L307" s="18"/>
      <c r="M307" s="18"/>
      <c r="N307" s="18"/>
    </row>
    <row r="308" spans="1:14" s="99" customFormat="1" ht="13.2" x14ac:dyDescent="0.25">
      <c r="A308" s="256" t="s">
        <v>4367</v>
      </c>
      <c r="B308" s="216" t="s">
        <v>1456</v>
      </c>
      <c r="C308" s="217" t="s">
        <v>1011</v>
      </c>
      <c r="D308" s="120"/>
      <c r="E308" s="45">
        <f t="shared" si="14"/>
        <v>0</v>
      </c>
      <c r="F308" s="127">
        <f>D308*E308</f>
        <v>0</v>
      </c>
      <c r="G308" s="151">
        <f>'Etude de cas n°1'!D308</f>
        <v>0</v>
      </c>
      <c r="H308" s="18"/>
      <c r="I308" s="18"/>
      <c r="J308" s="18"/>
      <c r="K308" s="18"/>
      <c r="L308" s="18"/>
      <c r="M308" s="18"/>
      <c r="N308" s="18"/>
    </row>
    <row r="309" spans="1:14" s="99" customFormat="1" ht="13.2" x14ac:dyDescent="0.25">
      <c r="A309" s="256" t="s">
        <v>4368</v>
      </c>
      <c r="B309" s="216" t="s">
        <v>1458</v>
      </c>
      <c r="C309" s="217" t="s">
        <v>1011</v>
      </c>
      <c r="D309" s="120"/>
      <c r="E309" s="45">
        <f t="shared" si="14"/>
        <v>0</v>
      </c>
      <c r="F309" s="127">
        <f>D309*E309</f>
        <v>0</v>
      </c>
      <c r="G309" s="151">
        <f>'Etude de cas n°1'!D309</f>
        <v>0</v>
      </c>
      <c r="H309" s="18"/>
      <c r="I309" s="18"/>
      <c r="J309" s="18"/>
      <c r="K309" s="18"/>
      <c r="L309" s="18"/>
      <c r="M309" s="18"/>
      <c r="N309" s="18"/>
    </row>
    <row r="310" spans="1:14" s="99" customFormat="1" ht="13.2" x14ac:dyDescent="0.25">
      <c r="A310" s="256" t="s">
        <v>4369</v>
      </c>
      <c r="B310" s="216" t="s">
        <v>1460</v>
      </c>
      <c r="C310" s="217" t="s">
        <v>1011</v>
      </c>
      <c r="D310" s="120"/>
      <c r="E310" s="45">
        <f t="shared" si="14"/>
        <v>0</v>
      </c>
      <c r="F310" s="127">
        <f t="shared" si="19"/>
        <v>0</v>
      </c>
      <c r="G310" s="151">
        <f>'Etude de cas n°1'!D310</f>
        <v>0</v>
      </c>
      <c r="H310" s="18"/>
      <c r="I310" s="18"/>
      <c r="J310" s="18"/>
      <c r="K310" s="18"/>
      <c r="L310" s="18"/>
      <c r="M310" s="18"/>
      <c r="N310" s="18"/>
    </row>
    <row r="311" spans="1:14" s="99" customFormat="1" ht="13.2" x14ac:dyDescent="0.25">
      <c r="A311" s="256" t="s">
        <v>4370</v>
      </c>
      <c r="B311" s="216" t="s">
        <v>1462</v>
      </c>
      <c r="C311" s="217" t="s">
        <v>1011</v>
      </c>
      <c r="D311" s="120"/>
      <c r="E311" s="45">
        <f t="shared" si="14"/>
        <v>0</v>
      </c>
      <c r="F311" s="127">
        <f t="shared" si="19"/>
        <v>0</v>
      </c>
      <c r="G311" s="151">
        <f>'Etude de cas n°1'!D311</f>
        <v>0</v>
      </c>
      <c r="H311" s="18"/>
      <c r="I311" s="18"/>
      <c r="J311" s="18"/>
      <c r="K311" s="18"/>
      <c r="L311" s="18"/>
      <c r="M311" s="18"/>
      <c r="N311" s="18"/>
    </row>
    <row r="312" spans="1:14" s="265" customFormat="1" ht="13.2" x14ac:dyDescent="0.25">
      <c r="A312" s="256" t="s">
        <v>4371</v>
      </c>
      <c r="B312" s="250" t="s">
        <v>4385</v>
      </c>
      <c r="C312" s="217" t="s">
        <v>1011</v>
      </c>
      <c r="D312" s="120"/>
      <c r="E312" s="45">
        <f t="shared" si="14"/>
        <v>0</v>
      </c>
      <c r="F312" s="127">
        <f t="shared" ref="F312" si="23">D312*E312</f>
        <v>0</v>
      </c>
      <c r="G312" s="151">
        <f>'Etude de cas n°1'!D312</f>
        <v>0</v>
      </c>
      <c r="H312" s="264"/>
      <c r="I312" s="264"/>
      <c r="J312" s="264"/>
      <c r="K312" s="264"/>
      <c r="L312" s="264"/>
      <c r="M312" s="264"/>
      <c r="N312" s="264"/>
    </row>
    <row r="313" spans="1:14" s="99" customFormat="1" ht="13.2" x14ac:dyDescent="0.25">
      <c r="A313" s="256" t="s">
        <v>4372</v>
      </c>
      <c r="B313" s="216" t="s">
        <v>1464</v>
      </c>
      <c r="C313" s="217" t="s">
        <v>1034</v>
      </c>
      <c r="D313" s="120"/>
      <c r="E313" s="45">
        <f t="shared" si="14"/>
        <v>0</v>
      </c>
      <c r="F313" s="127">
        <f t="shared" si="19"/>
        <v>0</v>
      </c>
      <c r="G313" s="151">
        <f>'Etude de cas n°1'!D313</f>
        <v>0</v>
      </c>
      <c r="H313" s="18"/>
      <c r="I313" s="18"/>
      <c r="J313" s="18"/>
      <c r="K313" s="18"/>
      <c r="L313" s="18"/>
      <c r="M313" s="18"/>
      <c r="N313" s="18"/>
    </row>
    <row r="314" spans="1:14" s="96" customFormat="1" ht="13.2" x14ac:dyDescent="0.25">
      <c r="A314" s="256" t="s">
        <v>4373</v>
      </c>
      <c r="B314" s="216" t="s">
        <v>1466</v>
      </c>
      <c r="C314" s="217" t="s">
        <v>1011</v>
      </c>
      <c r="D314" s="120"/>
      <c r="E314" s="45">
        <f t="shared" ref="E314:E377" si="24">G314</f>
        <v>0</v>
      </c>
      <c r="F314" s="127">
        <f t="shared" si="19"/>
        <v>0</v>
      </c>
      <c r="G314" s="151">
        <f>'Etude de cas n°1'!D314</f>
        <v>0</v>
      </c>
      <c r="H314" s="17"/>
      <c r="I314" s="17"/>
      <c r="J314" s="17"/>
      <c r="K314" s="17"/>
      <c r="L314" s="17"/>
      <c r="M314" s="17"/>
      <c r="N314" s="17"/>
    </row>
    <row r="315" spans="1:14" s="96" customFormat="1" ht="13.2" x14ac:dyDescent="0.25">
      <c r="A315" s="256" t="s">
        <v>4374</v>
      </c>
      <c r="B315" s="223" t="s">
        <v>1468</v>
      </c>
      <c r="C315" s="217" t="s">
        <v>1034</v>
      </c>
      <c r="D315" s="120"/>
      <c r="E315" s="45">
        <f t="shared" si="24"/>
        <v>0</v>
      </c>
      <c r="F315" s="127">
        <f t="shared" si="19"/>
        <v>0</v>
      </c>
      <c r="G315" s="151">
        <f>'Etude de cas n°1'!D315</f>
        <v>0</v>
      </c>
      <c r="H315" s="17"/>
      <c r="I315" s="17"/>
      <c r="J315" s="17"/>
      <c r="K315" s="17"/>
      <c r="L315" s="17"/>
      <c r="M315" s="17"/>
      <c r="N315" s="17"/>
    </row>
    <row r="316" spans="1:14" s="99" customFormat="1" ht="13.2" x14ac:dyDescent="0.25">
      <c r="A316" s="256" t="s">
        <v>4375</v>
      </c>
      <c r="B316" s="216" t="s">
        <v>1470</v>
      </c>
      <c r="C316" s="217" t="s">
        <v>1011</v>
      </c>
      <c r="D316" s="120"/>
      <c r="E316" s="45">
        <f t="shared" si="24"/>
        <v>0</v>
      </c>
      <c r="F316" s="127">
        <f t="shared" si="19"/>
        <v>0</v>
      </c>
      <c r="G316" s="151">
        <f>'Etude de cas n°1'!D316</f>
        <v>0</v>
      </c>
      <c r="H316" s="18"/>
      <c r="I316" s="18"/>
      <c r="J316" s="18"/>
      <c r="K316" s="18"/>
      <c r="L316" s="18"/>
      <c r="M316" s="18"/>
      <c r="N316" s="18"/>
    </row>
    <row r="317" spans="1:14" s="99" customFormat="1" ht="13.2" x14ac:dyDescent="0.25">
      <c r="A317" s="256" t="s">
        <v>4376</v>
      </c>
      <c r="B317" s="216" t="s">
        <v>1472</v>
      </c>
      <c r="C317" s="217" t="s">
        <v>1011</v>
      </c>
      <c r="D317" s="120"/>
      <c r="E317" s="45">
        <f t="shared" si="24"/>
        <v>0</v>
      </c>
      <c r="F317" s="127">
        <f>D317*E317</f>
        <v>0</v>
      </c>
      <c r="G317" s="151">
        <f>'Etude de cas n°1'!D317</f>
        <v>0</v>
      </c>
      <c r="H317" s="18"/>
      <c r="I317" s="18"/>
      <c r="J317" s="18"/>
      <c r="K317" s="18"/>
      <c r="L317" s="18"/>
      <c r="M317" s="18"/>
      <c r="N317" s="18"/>
    </row>
    <row r="318" spans="1:14" s="99" customFormat="1" ht="13.2" x14ac:dyDescent="0.25">
      <c r="A318" s="256" t="s">
        <v>4377</v>
      </c>
      <c r="B318" s="216" t="s">
        <v>1474</v>
      </c>
      <c r="C318" s="217" t="s">
        <v>1011</v>
      </c>
      <c r="D318" s="120"/>
      <c r="E318" s="45">
        <f t="shared" si="24"/>
        <v>0</v>
      </c>
      <c r="F318" s="127">
        <f>D318*E318</f>
        <v>0</v>
      </c>
      <c r="G318" s="151">
        <f>'Etude de cas n°1'!D318</f>
        <v>0</v>
      </c>
      <c r="H318" s="18"/>
      <c r="I318" s="18"/>
      <c r="J318" s="18"/>
      <c r="K318" s="18"/>
      <c r="L318" s="18"/>
      <c r="M318" s="18"/>
      <c r="N318" s="18"/>
    </row>
    <row r="319" spans="1:14" s="99" customFormat="1" ht="13.2" x14ac:dyDescent="0.25">
      <c r="A319" s="256" t="s">
        <v>4392</v>
      </c>
      <c r="B319" s="216" t="s">
        <v>1476</v>
      </c>
      <c r="C319" s="217"/>
      <c r="D319" s="120"/>
      <c r="E319" s="45"/>
      <c r="F319" s="127"/>
      <c r="G319" s="151"/>
      <c r="H319" s="18"/>
      <c r="I319" s="18"/>
      <c r="J319" s="18"/>
      <c r="K319" s="18"/>
      <c r="L319" s="18"/>
      <c r="M319" s="18"/>
      <c r="N319" s="18"/>
    </row>
    <row r="320" spans="1:14" s="99" customFormat="1" ht="13.2" x14ac:dyDescent="0.25">
      <c r="A320" s="124" t="s">
        <v>4393</v>
      </c>
      <c r="B320" s="125" t="s">
        <v>1477</v>
      </c>
      <c r="C320" s="217" t="s">
        <v>1141</v>
      </c>
      <c r="D320" s="120"/>
      <c r="E320" s="45">
        <f t="shared" si="24"/>
        <v>0</v>
      </c>
      <c r="F320" s="127">
        <f t="shared" si="19"/>
        <v>0</v>
      </c>
      <c r="G320" s="151">
        <f>'Etude de cas n°1'!D320</f>
        <v>0</v>
      </c>
      <c r="H320" s="18"/>
      <c r="I320" s="18"/>
      <c r="J320" s="18"/>
      <c r="K320" s="18"/>
      <c r="L320" s="18"/>
      <c r="M320" s="18"/>
      <c r="N320" s="18"/>
    </row>
    <row r="321" spans="1:14" s="99" customFormat="1" ht="13.2" x14ac:dyDescent="0.25">
      <c r="A321" s="124" t="s">
        <v>4394</v>
      </c>
      <c r="B321" s="125" t="s">
        <v>1478</v>
      </c>
      <c r="C321" s="217" t="s">
        <v>1141</v>
      </c>
      <c r="D321" s="120"/>
      <c r="E321" s="45">
        <f t="shared" si="24"/>
        <v>0</v>
      </c>
      <c r="F321" s="127">
        <f t="shared" si="19"/>
        <v>0</v>
      </c>
      <c r="G321" s="151">
        <f>'Etude de cas n°1'!D321</f>
        <v>0</v>
      </c>
      <c r="H321" s="18"/>
      <c r="I321" s="18"/>
      <c r="J321" s="18"/>
      <c r="K321" s="18"/>
      <c r="L321" s="18"/>
      <c r="M321" s="18"/>
      <c r="N321" s="18"/>
    </row>
    <row r="322" spans="1:14" s="99" customFormat="1" ht="13.2" x14ac:dyDescent="0.25">
      <c r="A322" s="78" t="s">
        <v>1479</v>
      </c>
      <c r="B322" s="244" t="s">
        <v>1480</v>
      </c>
      <c r="C322" s="217" t="s">
        <v>1034</v>
      </c>
      <c r="D322" s="120"/>
      <c r="E322" s="45">
        <f t="shared" si="24"/>
        <v>0</v>
      </c>
      <c r="F322" s="127">
        <f>D322*E322</f>
        <v>0</v>
      </c>
      <c r="G322" s="151">
        <f>'Etude de cas n°1'!D322</f>
        <v>0</v>
      </c>
      <c r="H322" s="18"/>
      <c r="I322" s="18"/>
      <c r="J322" s="18"/>
      <c r="K322" s="18"/>
      <c r="L322" s="18"/>
      <c r="M322" s="18"/>
      <c r="N322" s="18"/>
    </row>
    <row r="323" spans="1:14" s="99" customFormat="1" ht="13.2" x14ac:dyDescent="0.25">
      <c r="A323" s="78" t="s">
        <v>1481</v>
      </c>
      <c r="B323" s="3" t="s">
        <v>1482</v>
      </c>
      <c r="C323" s="217"/>
      <c r="D323" s="120"/>
      <c r="E323" s="45"/>
      <c r="F323" s="127"/>
      <c r="G323" s="151"/>
      <c r="H323" s="18"/>
      <c r="I323" s="18"/>
      <c r="J323" s="18"/>
      <c r="K323" s="18"/>
      <c r="L323" s="18"/>
      <c r="M323" s="18"/>
      <c r="N323" s="18"/>
    </row>
    <row r="324" spans="1:14" s="99" customFormat="1" ht="13.2" x14ac:dyDescent="0.25">
      <c r="A324" s="201" t="s">
        <v>1483</v>
      </c>
      <c r="B324" s="125" t="s">
        <v>1484</v>
      </c>
      <c r="C324" s="217" t="s">
        <v>1034</v>
      </c>
      <c r="D324" s="120"/>
      <c r="E324" s="45">
        <f t="shared" si="24"/>
        <v>0</v>
      </c>
      <c r="F324" s="127">
        <f>D324*E324</f>
        <v>0</v>
      </c>
      <c r="G324" s="151">
        <f>'Etude de cas n°1'!D324</f>
        <v>0</v>
      </c>
      <c r="H324" s="18"/>
      <c r="I324" s="18"/>
      <c r="J324" s="18"/>
      <c r="K324" s="18"/>
      <c r="L324" s="18"/>
      <c r="M324" s="18"/>
      <c r="N324" s="18"/>
    </row>
    <row r="325" spans="1:14" s="99" customFormat="1" ht="13.2" x14ac:dyDescent="0.25">
      <c r="A325" s="201" t="s">
        <v>1485</v>
      </c>
      <c r="B325" s="125" t="s">
        <v>1486</v>
      </c>
      <c r="C325" s="217" t="s">
        <v>1034</v>
      </c>
      <c r="D325" s="120"/>
      <c r="E325" s="45">
        <f t="shared" si="24"/>
        <v>0</v>
      </c>
      <c r="F325" s="127">
        <f>D325*E325</f>
        <v>0</v>
      </c>
      <c r="G325" s="151">
        <f>'Etude de cas n°1'!D325</f>
        <v>0</v>
      </c>
      <c r="H325" s="18"/>
      <c r="I325" s="18"/>
      <c r="J325" s="18"/>
      <c r="K325" s="18"/>
      <c r="L325" s="18"/>
      <c r="M325" s="18"/>
      <c r="N325" s="18"/>
    </row>
    <row r="326" spans="1:14" s="99" customFormat="1" ht="13.2" x14ac:dyDescent="0.25">
      <c r="A326" s="201" t="s">
        <v>1487</v>
      </c>
      <c r="B326" s="125" t="s">
        <v>1488</v>
      </c>
      <c r="C326" s="217" t="s">
        <v>1034</v>
      </c>
      <c r="D326" s="120"/>
      <c r="E326" s="45">
        <f t="shared" si="24"/>
        <v>0</v>
      </c>
      <c r="F326" s="127">
        <f>D326*E326</f>
        <v>0</v>
      </c>
      <c r="G326" s="151">
        <f>'Etude de cas n°1'!D326</f>
        <v>0</v>
      </c>
      <c r="H326" s="18"/>
      <c r="I326" s="18"/>
      <c r="J326" s="18"/>
      <c r="K326" s="18"/>
      <c r="L326" s="18"/>
      <c r="M326" s="18"/>
      <c r="N326" s="18"/>
    </row>
    <row r="327" spans="1:14" s="99" customFormat="1" ht="13.2" x14ac:dyDescent="0.25">
      <c r="A327" s="201" t="s">
        <v>1489</v>
      </c>
      <c r="B327" s="125" t="s">
        <v>1490</v>
      </c>
      <c r="C327" s="217" t="s">
        <v>1034</v>
      </c>
      <c r="D327" s="120"/>
      <c r="E327" s="45">
        <f t="shared" si="24"/>
        <v>0</v>
      </c>
      <c r="F327" s="127">
        <f>D327*E327</f>
        <v>0</v>
      </c>
      <c r="G327" s="151">
        <f>'Etude de cas n°1'!D327</f>
        <v>0</v>
      </c>
      <c r="H327" s="18"/>
      <c r="I327" s="18"/>
      <c r="J327" s="18"/>
      <c r="K327" s="18"/>
      <c r="L327" s="18"/>
      <c r="M327" s="18"/>
      <c r="N327" s="18"/>
    </row>
    <row r="328" spans="1:14" s="99" customFormat="1" ht="13.2" x14ac:dyDescent="0.25">
      <c r="A328" s="82" t="s">
        <v>1491</v>
      </c>
      <c r="B328" s="3" t="s">
        <v>1492</v>
      </c>
      <c r="C328" s="217" t="s">
        <v>1011</v>
      </c>
      <c r="D328" s="120"/>
      <c r="E328" s="45">
        <f t="shared" si="24"/>
        <v>0</v>
      </c>
      <c r="F328" s="127">
        <f>D328*E328</f>
        <v>0</v>
      </c>
      <c r="G328" s="151">
        <f>'Etude de cas n°1'!D328</f>
        <v>0</v>
      </c>
      <c r="H328" s="18"/>
      <c r="I328" s="18"/>
      <c r="J328" s="18"/>
      <c r="K328" s="18"/>
      <c r="L328" s="18"/>
      <c r="M328" s="18"/>
      <c r="N328" s="18"/>
    </row>
    <row r="329" spans="1:14" s="99" customFormat="1" ht="13.2" x14ac:dyDescent="0.25">
      <c r="A329" s="78" t="s">
        <v>1493</v>
      </c>
      <c r="B329" s="4" t="s">
        <v>1494</v>
      </c>
      <c r="C329" s="217"/>
      <c r="D329" s="120"/>
      <c r="E329" s="45"/>
      <c r="F329" s="127"/>
      <c r="G329" s="151"/>
      <c r="H329" s="18"/>
      <c r="I329" s="18"/>
      <c r="J329" s="18"/>
      <c r="K329" s="18"/>
      <c r="L329" s="18"/>
      <c r="M329" s="18"/>
      <c r="N329" s="18"/>
    </row>
    <row r="330" spans="1:14" s="99" customFormat="1" ht="16.5" customHeight="1" x14ac:dyDescent="0.25">
      <c r="A330" s="201" t="s">
        <v>1495</v>
      </c>
      <c r="B330" s="223" t="s">
        <v>1496</v>
      </c>
      <c r="C330" s="217" t="s">
        <v>1011</v>
      </c>
      <c r="D330" s="120"/>
      <c r="E330" s="45">
        <f t="shared" si="24"/>
        <v>0</v>
      </c>
      <c r="F330" s="127">
        <f t="shared" si="19"/>
        <v>0</v>
      </c>
      <c r="G330" s="151">
        <f>'Etude de cas n°1'!D330</f>
        <v>0</v>
      </c>
      <c r="H330" s="18"/>
      <c r="I330" s="18"/>
      <c r="J330" s="18"/>
      <c r="K330" s="18"/>
      <c r="L330" s="18"/>
      <c r="M330" s="18"/>
      <c r="N330" s="18"/>
    </row>
    <row r="331" spans="1:14" s="99" customFormat="1" ht="13.2" x14ac:dyDescent="0.25">
      <c r="A331" s="201" t="s">
        <v>1497</v>
      </c>
      <c r="B331" s="223" t="s">
        <v>1498</v>
      </c>
      <c r="C331" s="217" t="s">
        <v>1011</v>
      </c>
      <c r="D331" s="120"/>
      <c r="E331" s="45">
        <f t="shared" si="24"/>
        <v>0</v>
      </c>
      <c r="F331" s="127">
        <f t="shared" si="19"/>
        <v>0</v>
      </c>
      <c r="G331" s="151">
        <f>'Etude de cas n°1'!D331</f>
        <v>0</v>
      </c>
      <c r="H331" s="18"/>
      <c r="I331" s="18"/>
      <c r="J331" s="18"/>
      <c r="K331" s="18"/>
      <c r="L331" s="18"/>
      <c r="M331" s="18"/>
      <c r="N331" s="18"/>
    </row>
    <row r="332" spans="1:14" s="99" customFormat="1" ht="13.2" x14ac:dyDescent="0.25">
      <c r="A332" s="201" t="s">
        <v>1499</v>
      </c>
      <c r="B332" s="223" t="s">
        <v>1500</v>
      </c>
      <c r="C332" s="217" t="s">
        <v>1011</v>
      </c>
      <c r="D332" s="120"/>
      <c r="E332" s="45">
        <f t="shared" si="24"/>
        <v>0</v>
      </c>
      <c r="F332" s="127">
        <f t="shared" si="19"/>
        <v>0</v>
      </c>
      <c r="G332" s="151">
        <f>'Etude de cas n°1'!D332</f>
        <v>0</v>
      </c>
      <c r="H332" s="18"/>
      <c r="I332" s="18"/>
      <c r="J332" s="18"/>
      <c r="K332" s="18"/>
      <c r="L332" s="18"/>
      <c r="M332" s="18"/>
      <c r="N332" s="18"/>
    </row>
    <row r="333" spans="1:14" s="99" customFormat="1" ht="13.2" x14ac:dyDescent="0.25">
      <c r="A333" s="201" t="s">
        <v>1501</v>
      </c>
      <c r="B333" s="223" t="s">
        <v>1502</v>
      </c>
      <c r="C333" s="217" t="s">
        <v>1011</v>
      </c>
      <c r="D333" s="120"/>
      <c r="E333" s="45">
        <f t="shared" si="24"/>
        <v>0</v>
      </c>
      <c r="F333" s="127">
        <f t="shared" si="19"/>
        <v>0</v>
      </c>
      <c r="G333" s="151">
        <f>'Etude de cas n°1'!D333</f>
        <v>0</v>
      </c>
      <c r="H333" s="18"/>
      <c r="I333" s="18"/>
      <c r="J333" s="18"/>
      <c r="K333" s="18"/>
      <c r="L333" s="18"/>
      <c r="M333" s="18"/>
      <c r="N333" s="18"/>
    </row>
    <row r="334" spans="1:14" s="94" customFormat="1" ht="13.2" x14ac:dyDescent="0.25">
      <c r="A334" s="201" t="s">
        <v>1503</v>
      </c>
      <c r="B334" s="223" t="s">
        <v>1504</v>
      </c>
      <c r="C334" s="217" t="s">
        <v>1011</v>
      </c>
      <c r="D334" s="120"/>
      <c r="E334" s="45">
        <f t="shared" si="24"/>
        <v>0</v>
      </c>
      <c r="F334" s="127">
        <f t="shared" si="19"/>
        <v>0</v>
      </c>
      <c r="G334" s="151">
        <f>'Etude de cas n°1'!D334</f>
        <v>0</v>
      </c>
      <c r="H334" s="19"/>
      <c r="I334" s="19"/>
      <c r="J334" s="19"/>
      <c r="K334" s="19"/>
      <c r="L334" s="19"/>
      <c r="M334" s="19"/>
      <c r="N334" s="19"/>
    </row>
    <row r="335" spans="1:14" s="94" customFormat="1" ht="13.2" x14ac:dyDescent="0.25">
      <c r="A335" s="201" t="s">
        <v>1505</v>
      </c>
      <c r="B335" s="223" t="s">
        <v>1506</v>
      </c>
      <c r="C335" s="217" t="s">
        <v>1011</v>
      </c>
      <c r="D335" s="120"/>
      <c r="E335" s="45">
        <f t="shared" si="24"/>
        <v>0</v>
      </c>
      <c r="F335" s="127">
        <f t="shared" si="19"/>
        <v>0</v>
      </c>
      <c r="G335" s="151">
        <f>'Etude de cas n°1'!D335</f>
        <v>0</v>
      </c>
      <c r="H335" s="19"/>
      <c r="I335" s="19"/>
      <c r="J335" s="19"/>
      <c r="K335" s="19"/>
      <c r="L335" s="19"/>
      <c r="M335" s="19"/>
      <c r="N335" s="19"/>
    </row>
    <row r="336" spans="1:14" s="94" customFormat="1" ht="13.2" x14ac:dyDescent="0.25">
      <c r="A336" s="201" t="s">
        <v>1507</v>
      </c>
      <c r="B336" s="223" t="s">
        <v>1508</v>
      </c>
      <c r="C336" s="217" t="s">
        <v>1011</v>
      </c>
      <c r="D336" s="120"/>
      <c r="E336" s="45">
        <f t="shared" si="24"/>
        <v>0</v>
      </c>
      <c r="F336" s="127">
        <f t="shared" si="19"/>
        <v>0</v>
      </c>
      <c r="G336" s="151">
        <f>'Etude de cas n°1'!D336</f>
        <v>0</v>
      </c>
      <c r="H336" s="19"/>
      <c r="I336" s="19"/>
      <c r="J336" s="19"/>
      <c r="K336" s="19"/>
      <c r="L336" s="19"/>
      <c r="M336" s="19"/>
      <c r="N336" s="19"/>
    </row>
    <row r="337" spans="1:14" s="94" customFormat="1" ht="13.2" x14ac:dyDescent="0.25">
      <c r="A337" s="201" t="s">
        <v>1509</v>
      </c>
      <c r="B337" s="223" t="s">
        <v>1510</v>
      </c>
      <c r="C337" s="217" t="s">
        <v>1011</v>
      </c>
      <c r="D337" s="120"/>
      <c r="E337" s="45">
        <f t="shared" si="24"/>
        <v>0</v>
      </c>
      <c r="F337" s="127">
        <f t="shared" si="19"/>
        <v>0</v>
      </c>
      <c r="G337" s="151">
        <f>'Etude de cas n°1'!D337</f>
        <v>0</v>
      </c>
      <c r="H337" s="19"/>
      <c r="I337" s="19"/>
      <c r="J337" s="19"/>
      <c r="K337" s="19"/>
      <c r="L337" s="19"/>
      <c r="M337" s="19"/>
      <c r="N337" s="19"/>
    </row>
    <row r="338" spans="1:14" s="94" customFormat="1" ht="13.2" x14ac:dyDescent="0.25">
      <c r="A338" s="201" t="s">
        <v>1511</v>
      </c>
      <c r="B338" s="223" t="s">
        <v>1512</v>
      </c>
      <c r="C338" s="217" t="s">
        <v>1011</v>
      </c>
      <c r="D338" s="120"/>
      <c r="E338" s="45">
        <f t="shared" si="24"/>
        <v>0</v>
      </c>
      <c r="F338" s="127">
        <f t="shared" si="19"/>
        <v>0</v>
      </c>
      <c r="G338" s="151">
        <f>'Etude de cas n°1'!D338</f>
        <v>0</v>
      </c>
      <c r="H338" s="19"/>
      <c r="I338" s="19"/>
      <c r="J338" s="19"/>
      <c r="K338" s="19"/>
      <c r="L338" s="19"/>
      <c r="M338" s="19"/>
      <c r="N338" s="19"/>
    </row>
    <row r="339" spans="1:14" s="94" customFormat="1" ht="13.2" x14ac:dyDescent="0.25">
      <c r="A339" s="201" t="s">
        <v>1513</v>
      </c>
      <c r="B339" s="223" t="s">
        <v>1514</v>
      </c>
      <c r="C339" s="217" t="s">
        <v>1011</v>
      </c>
      <c r="D339" s="120"/>
      <c r="E339" s="45">
        <f t="shared" si="24"/>
        <v>0</v>
      </c>
      <c r="F339" s="127">
        <f t="shared" si="19"/>
        <v>0</v>
      </c>
      <c r="G339" s="151">
        <f>'Etude de cas n°1'!D339</f>
        <v>0</v>
      </c>
      <c r="H339" s="19"/>
      <c r="I339" s="19"/>
      <c r="J339" s="19"/>
      <c r="K339" s="19"/>
      <c r="L339" s="19"/>
      <c r="M339" s="19"/>
      <c r="N339" s="19"/>
    </row>
    <row r="340" spans="1:14" s="94" customFormat="1" ht="13.2" x14ac:dyDescent="0.25">
      <c r="A340" s="201" t="s">
        <v>1515</v>
      </c>
      <c r="B340" s="216" t="s">
        <v>1516</v>
      </c>
      <c r="C340" s="217" t="s">
        <v>1011</v>
      </c>
      <c r="D340" s="120"/>
      <c r="E340" s="45">
        <f t="shared" si="24"/>
        <v>0</v>
      </c>
      <c r="F340" s="127">
        <f t="shared" si="19"/>
        <v>0</v>
      </c>
      <c r="G340" s="151">
        <f>'Etude de cas n°1'!D340</f>
        <v>0</v>
      </c>
      <c r="H340" s="19"/>
      <c r="I340" s="19"/>
      <c r="J340" s="19"/>
      <c r="K340" s="19"/>
      <c r="L340" s="19"/>
      <c r="M340" s="19"/>
      <c r="N340" s="19"/>
    </row>
    <row r="341" spans="1:14" s="94" customFormat="1" ht="13.2" x14ac:dyDescent="0.25">
      <c r="A341" s="201" t="s">
        <v>1517</v>
      </c>
      <c r="B341" s="216" t="s">
        <v>1518</v>
      </c>
      <c r="C341" s="217" t="s">
        <v>1011</v>
      </c>
      <c r="D341" s="120"/>
      <c r="E341" s="45">
        <f t="shared" si="24"/>
        <v>0</v>
      </c>
      <c r="F341" s="127">
        <f t="shared" si="19"/>
        <v>0</v>
      </c>
      <c r="G341" s="151">
        <f>'Etude de cas n°1'!D341</f>
        <v>0</v>
      </c>
      <c r="H341" s="19"/>
      <c r="I341" s="19"/>
      <c r="J341" s="19"/>
      <c r="K341" s="19"/>
      <c r="L341" s="19"/>
      <c r="M341" s="19"/>
      <c r="N341" s="19"/>
    </row>
    <row r="342" spans="1:14" s="94" customFormat="1" ht="13.2" x14ac:dyDescent="0.25">
      <c r="A342" s="201" t="s">
        <v>1519</v>
      </c>
      <c r="B342" s="216" t="s">
        <v>1520</v>
      </c>
      <c r="C342" s="217" t="s">
        <v>1011</v>
      </c>
      <c r="D342" s="120"/>
      <c r="E342" s="45">
        <f t="shared" si="24"/>
        <v>0</v>
      </c>
      <c r="F342" s="127">
        <f t="shared" si="19"/>
        <v>0</v>
      </c>
      <c r="G342" s="151">
        <f>'Etude de cas n°1'!D342</f>
        <v>0</v>
      </c>
      <c r="H342" s="19"/>
      <c r="I342" s="19"/>
      <c r="J342" s="19"/>
      <c r="K342" s="19"/>
      <c r="L342" s="19"/>
      <c r="M342" s="19"/>
      <c r="N342" s="19"/>
    </row>
    <row r="343" spans="1:14" s="94" customFormat="1" ht="13.2" x14ac:dyDescent="0.25">
      <c r="A343" s="78" t="s">
        <v>1521</v>
      </c>
      <c r="B343" s="6" t="s">
        <v>1522</v>
      </c>
      <c r="C343" s="217" t="s">
        <v>1141</v>
      </c>
      <c r="D343" s="120"/>
      <c r="E343" s="45">
        <f t="shared" si="24"/>
        <v>0</v>
      </c>
      <c r="F343" s="127">
        <f t="shared" si="19"/>
        <v>0</v>
      </c>
      <c r="G343" s="151">
        <f>'Etude de cas n°1'!D343</f>
        <v>0</v>
      </c>
      <c r="H343" s="19"/>
      <c r="I343" s="19"/>
      <c r="J343" s="19"/>
      <c r="K343" s="19"/>
      <c r="L343" s="19"/>
      <c r="M343" s="19"/>
      <c r="N343" s="19"/>
    </row>
    <row r="344" spans="1:14" s="94" customFormat="1" ht="13.2" x14ac:dyDescent="0.25">
      <c r="A344" s="78" t="s">
        <v>1523</v>
      </c>
      <c r="B344" s="6" t="s">
        <v>1524</v>
      </c>
      <c r="C344" s="217"/>
      <c r="D344" s="120"/>
      <c r="E344" s="45"/>
      <c r="F344" s="127"/>
      <c r="G344" s="151"/>
      <c r="H344" s="19"/>
      <c r="I344" s="19"/>
      <c r="J344" s="19"/>
      <c r="K344" s="19"/>
      <c r="L344" s="19"/>
      <c r="M344" s="19"/>
      <c r="N344" s="19"/>
    </row>
    <row r="345" spans="1:14" s="94" customFormat="1" ht="13.5" customHeight="1" x14ac:dyDescent="0.25">
      <c r="A345" s="201" t="s">
        <v>1525</v>
      </c>
      <c r="B345" s="223" t="s">
        <v>1526</v>
      </c>
      <c r="C345" s="217" t="s">
        <v>1141</v>
      </c>
      <c r="D345" s="120"/>
      <c r="E345" s="45">
        <f t="shared" si="24"/>
        <v>0</v>
      </c>
      <c r="F345" s="127">
        <f t="shared" si="19"/>
        <v>0</v>
      </c>
      <c r="G345" s="151">
        <f>'Etude de cas n°1'!D345</f>
        <v>0</v>
      </c>
      <c r="H345" s="19"/>
      <c r="I345" s="19"/>
      <c r="J345" s="19"/>
      <c r="K345" s="19"/>
      <c r="L345" s="19"/>
      <c r="M345" s="19"/>
      <c r="N345" s="19"/>
    </row>
    <row r="346" spans="1:14" s="94" customFormat="1" ht="13.2" x14ac:dyDescent="0.25">
      <c r="A346" s="201" t="s">
        <v>1527</v>
      </c>
      <c r="B346" s="223" t="s">
        <v>1528</v>
      </c>
      <c r="C346" s="217" t="s">
        <v>1141</v>
      </c>
      <c r="D346" s="120"/>
      <c r="E346" s="45">
        <f t="shared" si="24"/>
        <v>0</v>
      </c>
      <c r="F346" s="127">
        <f t="shared" si="19"/>
        <v>0</v>
      </c>
      <c r="G346" s="151">
        <f>'Etude de cas n°1'!D346</f>
        <v>0</v>
      </c>
      <c r="H346" s="19"/>
      <c r="I346" s="19"/>
      <c r="J346" s="19"/>
      <c r="K346" s="19"/>
      <c r="L346" s="19"/>
      <c r="M346" s="19"/>
      <c r="N346" s="19"/>
    </row>
    <row r="347" spans="1:14" s="94" customFormat="1" ht="13.2" x14ac:dyDescent="0.25">
      <c r="A347" s="78" t="s">
        <v>1529</v>
      </c>
      <c r="B347" s="245" t="s">
        <v>1531</v>
      </c>
      <c r="C347" s="217" t="s">
        <v>1141</v>
      </c>
      <c r="D347" s="120"/>
      <c r="E347" s="45">
        <f t="shared" si="24"/>
        <v>0</v>
      </c>
      <c r="F347" s="127">
        <f t="shared" ref="F347" si="25">D347*E347</f>
        <v>0</v>
      </c>
      <c r="G347" s="151">
        <f>'Etude de cas n°1'!D347</f>
        <v>0</v>
      </c>
      <c r="H347" s="19"/>
      <c r="I347" s="19"/>
      <c r="J347" s="19"/>
      <c r="K347" s="19"/>
      <c r="L347" s="19"/>
      <c r="M347" s="19"/>
      <c r="N347" s="19"/>
    </row>
    <row r="348" spans="1:14" s="94" customFormat="1" ht="13.2" x14ac:dyDescent="0.25">
      <c r="A348" s="78" t="s">
        <v>1530</v>
      </c>
      <c r="B348" s="245" t="s">
        <v>1533</v>
      </c>
      <c r="C348" s="217" t="s">
        <v>1141</v>
      </c>
      <c r="D348" s="120"/>
      <c r="E348" s="45">
        <f t="shared" si="24"/>
        <v>0</v>
      </c>
      <c r="F348" s="127">
        <f t="shared" ref="F348" si="26">D348*E348</f>
        <v>0</v>
      </c>
      <c r="G348" s="151">
        <f>'Etude de cas n°1'!D348</f>
        <v>0</v>
      </c>
      <c r="H348" s="19"/>
      <c r="I348" s="19"/>
      <c r="J348" s="19"/>
      <c r="K348" s="19"/>
      <c r="L348" s="19"/>
      <c r="M348" s="19"/>
      <c r="N348" s="19"/>
    </row>
    <row r="349" spans="1:14" s="94" customFormat="1" ht="13.2" x14ac:dyDescent="0.25">
      <c r="A349" s="78" t="s">
        <v>1532</v>
      </c>
      <c r="B349" s="27" t="s">
        <v>1535</v>
      </c>
      <c r="C349" s="217" t="s">
        <v>1011</v>
      </c>
      <c r="D349" s="120"/>
      <c r="E349" s="45">
        <f t="shared" si="24"/>
        <v>0</v>
      </c>
      <c r="F349" s="127">
        <f>D349*E349</f>
        <v>0</v>
      </c>
      <c r="G349" s="151">
        <f>'Etude de cas n°1'!D349</f>
        <v>0</v>
      </c>
      <c r="H349" s="19"/>
      <c r="I349" s="19"/>
      <c r="J349" s="19"/>
      <c r="K349" s="19"/>
      <c r="L349" s="19"/>
      <c r="M349" s="19"/>
      <c r="N349" s="19"/>
    </row>
    <row r="350" spans="1:14" s="94" customFormat="1" ht="13.2" x14ac:dyDescent="0.25">
      <c r="A350" s="78" t="s">
        <v>1534</v>
      </c>
      <c r="B350" s="3" t="s">
        <v>1537</v>
      </c>
      <c r="C350" s="217" t="s">
        <v>1034</v>
      </c>
      <c r="D350" s="120"/>
      <c r="E350" s="45">
        <f t="shared" si="24"/>
        <v>0</v>
      </c>
      <c r="F350" s="127">
        <f>D350*E350</f>
        <v>0</v>
      </c>
      <c r="G350" s="151">
        <f>'Etude de cas n°1'!D350</f>
        <v>0</v>
      </c>
      <c r="H350" s="19"/>
      <c r="I350" s="19"/>
      <c r="J350" s="19"/>
      <c r="K350" s="19"/>
      <c r="L350" s="19"/>
      <c r="M350" s="19"/>
      <c r="N350" s="19"/>
    </row>
    <row r="351" spans="1:14" s="94" customFormat="1" ht="13.2" x14ac:dyDescent="0.25">
      <c r="A351" s="78" t="s">
        <v>1536</v>
      </c>
      <c r="B351" s="3" t="s">
        <v>1539</v>
      </c>
      <c r="C351" s="217" t="s">
        <v>1011</v>
      </c>
      <c r="D351" s="120"/>
      <c r="E351" s="45">
        <f t="shared" si="24"/>
        <v>0</v>
      </c>
      <c r="F351" s="127">
        <f>D351*E351</f>
        <v>0</v>
      </c>
      <c r="G351" s="151">
        <f>'Etude de cas n°1'!D351</f>
        <v>0</v>
      </c>
      <c r="H351" s="19"/>
      <c r="I351" s="19"/>
      <c r="J351" s="19"/>
      <c r="K351" s="19"/>
      <c r="L351" s="19"/>
      <c r="M351" s="19"/>
      <c r="N351" s="19"/>
    </row>
    <row r="352" spans="1:14" s="94" customFormat="1" ht="13.2" x14ac:dyDescent="0.25">
      <c r="A352" s="78" t="s">
        <v>1538</v>
      </c>
      <c r="B352" s="6" t="s">
        <v>1541</v>
      </c>
      <c r="C352" s="217" t="s">
        <v>1011</v>
      </c>
      <c r="D352" s="120"/>
      <c r="E352" s="45">
        <f t="shared" si="24"/>
        <v>0</v>
      </c>
      <c r="F352" s="127">
        <f t="shared" si="19"/>
        <v>0</v>
      </c>
      <c r="G352" s="151">
        <f>'Etude de cas n°1'!D352</f>
        <v>0</v>
      </c>
      <c r="H352" s="19"/>
      <c r="I352" s="19"/>
      <c r="J352" s="19"/>
      <c r="K352" s="19"/>
      <c r="L352" s="19"/>
      <c r="M352" s="19"/>
      <c r="N352" s="19"/>
    </row>
    <row r="353" spans="1:14" s="94" customFormat="1" ht="13.2" x14ac:dyDescent="0.25">
      <c r="A353" s="78" t="s">
        <v>1540</v>
      </c>
      <c r="B353" s="6" t="s">
        <v>1543</v>
      </c>
      <c r="C353" s="217" t="s">
        <v>1011</v>
      </c>
      <c r="D353" s="120"/>
      <c r="E353" s="45">
        <f t="shared" si="24"/>
        <v>0</v>
      </c>
      <c r="F353" s="127">
        <f t="shared" si="19"/>
        <v>0</v>
      </c>
      <c r="G353" s="151">
        <f>'Etude de cas n°1'!D353</f>
        <v>0</v>
      </c>
      <c r="H353" s="19"/>
      <c r="I353" s="19"/>
      <c r="J353" s="19"/>
      <c r="K353" s="19"/>
      <c r="L353" s="19"/>
      <c r="M353" s="19"/>
      <c r="N353" s="19"/>
    </row>
    <row r="354" spans="1:14" s="94" customFormat="1" ht="13.2" x14ac:dyDescent="0.25">
      <c r="A354" s="78" t="s">
        <v>1542</v>
      </c>
      <c r="B354" s="6" t="s">
        <v>1545</v>
      </c>
      <c r="C354" s="217" t="s">
        <v>1011</v>
      </c>
      <c r="D354" s="120"/>
      <c r="E354" s="45">
        <f t="shared" si="24"/>
        <v>0</v>
      </c>
      <c r="F354" s="127">
        <f t="shared" si="19"/>
        <v>0</v>
      </c>
      <c r="G354" s="151">
        <f>'Etude de cas n°1'!D354</f>
        <v>0</v>
      </c>
      <c r="H354" s="19"/>
      <c r="I354" s="19"/>
      <c r="J354" s="19"/>
      <c r="K354" s="19"/>
      <c r="L354" s="19"/>
      <c r="M354" s="19"/>
      <c r="N354" s="19"/>
    </row>
    <row r="355" spans="1:14" s="94" customFormat="1" ht="13.2" x14ac:dyDescent="0.25">
      <c r="A355" s="78" t="s">
        <v>1544</v>
      </c>
      <c r="B355" s="3" t="s">
        <v>1547</v>
      </c>
      <c r="C355" s="217" t="s">
        <v>1011</v>
      </c>
      <c r="D355" s="120"/>
      <c r="E355" s="45">
        <f t="shared" si="24"/>
        <v>0</v>
      </c>
      <c r="F355" s="127">
        <f>D355*E355</f>
        <v>0</v>
      </c>
      <c r="G355" s="151">
        <f>'Etude de cas n°1'!D355</f>
        <v>0</v>
      </c>
      <c r="H355" s="19"/>
      <c r="I355" s="19"/>
      <c r="J355" s="19"/>
      <c r="K355" s="19"/>
      <c r="L355" s="19"/>
      <c r="M355" s="19"/>
      <c r="N355" s="19"/>
    </row>
    <row r="356" spans="1:14" s="94" customFormat="1" ht="13.2" x14ac:dyDescent="0.25">
      <c r="A356" s="78" t="s">
        <v>1546</v>
      </c>
      <c r="B356" s="3" t="s">
        <v>1548</v>
      </c>
      <c r="C356" s="217" t="s">
        <v>1011</v>
      </c>
      <c r="D356" s="120"/>
      <c r="E356" s="45">
        <f t="shared" si="24"/>
        <v>0</v>
      </c>
      <c r="F356" s="127">
        <f>D356*E356</f>
        <v>0</v>
      </c>
      <c r="G356" s="151">
        <f>'Etude de cas n°1'!D356</f>
        <v>0</v>
      </c>
      <c r="H356" s="19"/>
      <c r="I356" s="19"/>
      <c r="J356" s="19"/>
      <c r="K356" s="19"/>
      <c r="L356" s="19"/>
      <c r="M356" s="19"/>
      <c r="N356" s="19"/>
    </row>
    <row r="357" spans="1:14" s="97" customFormat="1" ht="13.2" x14ac:dyDescent="0.25">
      <c r="A357" s="27" t="s">
        <v>1549</v>
      </c>
      <c r="B357" s="6" t="s">
        <v>1550</v>
      </c>
      <c r="C357" s="217"/>
      <c r="D357" s="120"/>
      <c r="E357" s="45"/>
      <c r="F357" s="127"/>
      <c r="G357" s="151"/>
      <c r="H357" s="218"/>
      <c r="I357" s="218"/>
      <c r="J357" s="218"/>
      <c r="K357" s="218"/>
      <c r="L357" s="218"/>
      <c r="M357" s="218"/>
      <c r="N357" s="218"/>
    </row>
    <row r="358" spans="1:14" s="97" customFormat="1" ht="13.2" x14ac:dyDescent="0.25">
      <c r="A358" s="202" t="s">
        <v>52</v>
      </c>
      <c r="B358" s="216" t="s">
        <v>1551</v>
      </c>
      <c r="C358" s="217" t="s">
        <v>984</v>
      </c>
      <c r="D358" s="120"/>
      <c r="E358" s="45">
        <f t="shared" si="24"/>
        <v>0</v>
      </c>
      <c r="F358" s="127">
        <f t="shared" si="19"/>
        <v>0</v>
      </c>
      <c r="G358" s="151">
        <f>'Etude de cas n°1'!D358</f>
        <v>0</v>
      </c>
      <c r="H358" s="218"/>
      <c r="I358" s="218"/>
      <c r="J358" s="218"/>
      <c r="K358" s="218"/>
      <c r="L358" s="218"/>
      <c r="M358" s="218"/>
      <c r="N358" s="218"/>
    </row>
    <row r="359" spans="1:14" s="97" customFormat="1" ht="13.2" x14ac:dyDescent="0.25">
      <c r="A359" s="202" t="s">
        <v>53</v>
      </c>
      <c r="B359" s="216" t="s">
        <v>1552</v>
      </c>
      <c r="C359" s="217"/>
      <c r="D359" s="120"/>
      <c r="E359" s="45">
        <f t="shared" si="24"/>
        <v>0</v>
      </c>
      <c r="F359" s="127"/>
      <c r="G359" s="151"/>
      <c r="H359" s="218"/>
      <c r="I359" s="218"/>
      <c r="J359" s="218"/>
      <c r="K359" s="218"/>
      <c r="L359" s="218"/>
      <c r="M359" s="218"/>
      <c r="N359" s="218"/>
    </row>
    <row r="360" spans="1:14" s="97" customFormat="1" ht="13.2" x14ac:dyDescent="0.25">
      <c r="A360" s="202" t="s">
        <v>1553</v>
      </c>
      <c r="B360" s="216" t="s">
        <v>1554</v>
      </c>
      <c r="C360" s="217" t="s">
        <v>1034</v>
      </c>
      <c r="D360" s="120"/>
      <c r="E360" s="45">
        <f t="shared" si="24"/>
        <v>0</v>
      </c>
      <c r="F360" s="127">
        <f t="shared" si="19"/>
        <v>0</v>
      </c>
      <c r="G360" s="151">
        <f>'Etude de cas n°1'!D360</f>
        <v>0</v>
      </c>
      <c r="H360" s="218"/>
      <c r="I360" s="218"/>
      <c r="J360" s="218"/>
      <c r="K360" s="218"/>
      <c r="L360" s="218"/>
      <c r="M360" s="218"/>
      <c r="N360" s="218"/>
    </row>
    <row r="361" spans="1:14" s="94" customFormat="1" ht="14.25" customHeight="1" x14ac:dyDescent="0.25">
      <c r="A361" s="202" t="s">
        <v>1555</v>
      </c>
      <c r="B361" s="216" t="s">
        <v>1556</v>
      </c>
      <c r="C361" s="217" t="s">
        <v>1141</v>
      </c>
      <c r="D361" s="120"/>
      <c r="E361" s="45">
        <f t="shared" si="24"/>
        <v>0</v>
      </c>
      <c r="F361" s="127">
        <f t="shared" si="19"/>
        <v>0</v>
      </c>
      <c r="G361" s="151">
        <f>'Etude de cas n°1'!D361</f>
        <v>0</v>
      </c>
      <c r="H361" s="19"/>
      <c r="I361" s="19"/>
      <c r="J361" s="19"/>
      <c r="K361" s="19"/>
      <c r="L361" s="19"/>
      <c r="M361" s="19"/>
      <c r="N361" s="19"/>
    </row>
    <row r="362" spans="1:14" s="97" customFormat="1" ht="13.2" x14ac:dyDescent="0.25">
      <c r="A362" s="202" t="s">
        <v>1557</v>
      </c>
      <c r="B362" s="216" t="s">
        <v>1558</v>
      </c>
      <c r="C362" s="217" t="s">
        <v>1011</v>
      </c>
      <c r="D362" s="120"/>
      <c r="E362" s="45">
        <f t="shared" si="24"/>
        <v>0</v>
      </c>
      <c r="F362" s="127">
        <f t="shared" si="19"/>
        <v>0</v>
      </c>
      <c r="G362" s="151">
        <f>'Etude de cas n°1'!D362</f>
        <v>0</v>
      </c>
      <c r="H362" s="218"/>
      <c r="I362" s="218"/>
      <c r="J362" s="218"/>
      <c r="K362" s="218"/>
      <c r="L362" s="218"/>
      <c r="M362" s="218"/>
      <c r="N362" s="218"/>
    </row>
    <row r="363" spans="1:14" s="97" customFormat="1" ht="13.2" x14ac:dyDescent="0.25">
      <c r="A363" s="202" t="s">
        <v>54</v>
      </c>
      <c r="B363" s="216" t="s">
        <v>1559</v>
      </c>
      <c r="C363" s="217"/>
      <c r="D363" s="120"/>
      <c r="E363" s="45"/>
      <c r="F363" s="127"/>
      <c r="G363" s="151"/>
      <c r="H363" s="218"/>
      <c r="I363" s="218"/>
      <c r="J363" s="218"/>
      <c r="K363" s="218"/>
      <c r="L363" s="218"/>
      <c r="M363" s="218"/>
      <c r="N363" s="218"/>
    </row>
    <row r="364" spans="1:14" s="94" customFormat="1" ht="14.25" customHeight="1" x14ac:dyDescent="0.25">
      <c r="A364" s="202" t="s">
        <v>1560</v>
      </c>
      <c r="B364" s="216" t="s">
        <v>1561</v>
      </c>
      <c r="C364" s="217" t="s">
        <v>1034</v>
      </c>
      <c r="D364" s="120"/>
      <c r="E364" s="45">
        <f t="shared" si="24"/>
        <v>0</v>
      </c>
      <c r="F364" s="127">
        <f t="shared" si="19"/>
        <v>0</v>
      </c>
      <c r="G364" s="151">
        <f>'Etude de cas n°1'!D364</f>
        <v>0</v>
      </c>
      <c r="H364" s="19"/>
      <c r="I364" s="19"/>
      <c r="J364" s="19"/>
      <c r="K364" s="19"/>
      <c r="L364" s="19"/>
      <c r="M364" s="19"/>
      <c r="N364" s="19"/>
    </row>
    <row r="365" spans="1:14" s="97" customFormat="1" ht="13.2" x14ac:dyDescent="0.25">
      <c r="A365" s="202" t="s">
        <v>1562</v>
      </c>
      <c r="B365" s="216" t="s">
        <v>1563</v>
      </c>
      <c r="C365" s="217" t="s">
        <v>1141</v>
      </c>
      <c r="D365" s="120"/>
      <c r="E365" s="45">
        <f t="shared" si="24"/>
        <v>0</v>
      </c>
      <c r="F365" s="127">
        <f t="shared" si="19"/>
        <v>0</v>
      </c>
      <c r="G365" s="151">
        <f>'Etude de cas n°1'!D365</f>
        <v>0</v>
      </c>
      <c r="H365" s="218"/>
      <c r="I365" s="218"/>
      <c r="J365" s="218"/>
      <c r="K365" s="218"/>
      <c r="L365" s="218"/>
      <c r="M365" s="218"/>
      <c r="N365" s="218"/>
    </row>
    <row r="366" spans="1:14" s="97" customFormat="1" ht="13.2" x14ac:dyDescent="0.25">
      <c r="A366" s="202" t="s">
        <v>1564</v>
      </c>
      <c r="B366" s="216" t="s">
        <v>1565</v>
      </c>
      <c r="C366" s="217" t="s">
        <v>1011</v>
      </c>
      <c r="D366" s="120"/>
      <c r="E366" s="45">
        <f t="shared" si="24"/>
        <v>0</v>
      </c>
      <c r="F366" s="127">
        <f t="shared" si="19"/>
        <v>0</v>
      </c>
      <c r="G366" s="151">
        <f>'Etude de cas n°1'!D366</f>
        <v>0</v>
      </c>
      <c r="H366" s="218"/>
      <c r="I366" s="218"/>
      <c r="J366" s="218"/>
      <c r="K366" s="218"/>
      <c r="L366" s="218"/>
      <c r="M366" s="218"/>
      <c r="N366" s="218"/>
    </row>
    <row r="367" spans="1:14" s="94" customFormat="1" ht="13.2" x14ac:dyDescent="0.25">
      <c r="A367" s="202" t="s">
        <v>55</v>
      </c>
      <c r="B367" s="216" t="s">
        <v>1566</v>
      </c>
      <c r="C367" s="217"/>
      <c r="D367" s="120"/>
      <c r="E367" s="45"/>
      <c r="F367" s="127"/>
      <c r="G367" s="151"/>
      <c r="H367" s="19"/>
      <c r="I367" s="19"/>
      <c r="J367" s="19"/>
      <c r="K367" s="19"/>
      <c r="L367" s="19"/>
      <c r="M367" s="19"/>
      <c r="N367" s="19"/>
    </row>
    <row r="368" spans="1:14" s="97" customFormat="1" ht="13.2" x14ac:dyDescent="0.25">
      <c r="A368" s="202" t="s">
        <v>1567</v>
      </c>
      <c r="B368" s="216" t="s">
        <v>1568</v>
      </c>
      <c r="C368" s="217" t="s">
        <v>1034</v>
      </c>
      <c r="D368" s="120"/>
      <c r="E368" s="45">
        <f t="shared" si="24"/>
        <v>0</v>
      </c>
      <c r="F368" s="127">
        <f t="shared" si="19"/>
        <v>0</v>
      </c>
      <c r="G368" s="151">
        <f>'Etude de cas n°1'!D368</f>
        <v>0</v>
      </c>
      <c r="H368" s="218"/>
      <c r="I368" s="218"/>
      <c r="J368" s="218"/>
      <c r="K368" s="218"/>
      <c r="L368" s="218"/>
      <c r="M368" s="218"/>
      <c r="N368" s="218"/>
    </row>
    <row r="369" spans="1:14" s="97" customFormat="1" ht="13.2" x14ac:dyDescent="0.25">
      <c r="A369" s="202" t="s">
        <v>1569</v>
      </c>
      <c r="B369" s="216" t="s">
        <v>1570</v>
      </c>
      <c r="C369" s="217" t="s">
        <v>1034</v>
      </c>
      <c r="D369" s="120"/>
      <c r="E369" s="45">
        <f t="shared" si="24"/>
        <v>0</v>
      </c>
      <c r="F369" s="127">
        <f t="shared" si="19"/>
        <v>0</v>
      </c>
      <c r="G369" s="151">
        <f>'Etude de cas n°1'!D369</f>
        <v>0</v>
      </c>
      <c r="H369" s="218"/>
      <c r="I369" s="218"/>
      <c r="J369" s="218"/>
      <c r="K369" s="218"/>
      <c r="L369" s="218"/>
      <c r="M369" s="218"/>
      <c r="N369" s="218"/>
    </row>
    <row r="370" spans="1:14" s="97" customFormat="1" ht="13.2" x14ac:dyDescent="0.25">
      <c r="A370" s="202" t="s">
        <v>1571</v>
      </c>
      <c r="B370" s="216" t="s">
        <v>1572</v>
      </c>
      <c r="C370" s="217" t="s">
        <v>1034</v>
      </c>
      <c r="D370" s="120"/>
      <c r="E370" s="45">
        <f t="shared" si="24"/>
        <v>0</v>
      </c>
      <c r="F370" s="127">
        <f t="shared" si="19"/>
        <v>0</v>
      </c>
      <c r="G370" s="151">
        <f>'Etude de cas n°1'!D370</f>
        <v>0</v>
      </c>
      <c r="H370" s="218"/>
      <c r="I370" s="218"/>
      <c r="J370" s="218"/>
      <c r="K370" s="218"/>
      <c r="L370" s="218"/>
      <c r="M370" s="218"/>
      <c r="N370" s="218"/>
    </row>
    <row r="371" spans="1:14" s="97" customFormat="1" ht="13.2" x14ac:dyDescent="0.25">
      <c r="A371" s="202" t="s">
        <v>1573</v>
      </c>
      <c r="B371" s="216" t="s">
        <v>1574</v>
      </c>
      <c r="C371" s="217" t="s">
        <v>1034</v>
      </c>
      <c r="D371" s="120"/>
      <c r="E371" s="45">
        <f t="shared" si="24"/>
        <v>0</v>
      </c>
      <c r="F371" s="127">
        <f t="shared" si="19"/>
        <v>0</v>
      </c>
      <c r="G371" s="151">
        <f>'Etude de cas n°1'!D371</f>
        <v>0</v>
      </c>
      <c r="H371" s="218"/>
      <c r="I371" s="218"/>
      <c r="J371" s="218"/>
      <c r="K371" s="218"/>
      <c r="L371" s="218"/>
      <c r="M371" s="218"/>
      <c r="N371" s="218"/>
    </row>
    <row r="372" spans="1:14" s="94" customFormat="1" ht="13.2" x14ac:dyDescent="0.25">
      <c r="A372" s="202" t="s">
        <v>1575</v>
      </c>
      <c r="B372" s="216" t="s">
        <v>1576</v>
      </c>
      <c r="C372" s="217" t="s">
        <v>1034</v>
      </c>
      <c r="D372" s="120"/>
      <c r="E372" s="45">
        <f t="shared" si="24"/>
        <v>0</v>
      </c>
      <c r="F372" s="127">
        <f t="shared" si="19"/>
        <v>0</v>
      </c>
      <c r="G372" s="151">
        <f>'Etude de cas n°1'!D372</f>
        <v>0</v>
      </c>
      <c r="H372" s="19"/>
      <c r="I372" s="19"/>
      <c r="J372" s="19"/>
      <c r="K372" s="19"/>
      <c r="L372" s="19"/>
      <c r="M372" s="19"/>
      <c r="N372" s="19"/>
    </row>
    <row r="373" spans="1:14" s="94" customFormat="1" ht="13.2" x14ac:dyDescent="0.25">
      <c r="A373" s="202" t="s">
        <v>1577</v>
      </c>
      <c r="B373" s="216" t="s">
        <v>1578</v>
      </c>
      <c r="C373" s="217" t="s">
        <v>1034</v>
      </c>
      <c r="D373" s="120"/>
      <c r="E373" s="45">
        <f t="shared" si="24"/>
        <v>0</v>
      </c>
      <c r="F373" s="127">
        <f t="shared" si="19"/>
        <v>0</v>
      </c>
      <c r="G373" s="151">
        <f>'Etude de cas n°1'!D373</f>
        <v>0</v>
      </c>
      <c r="H373" s="19"/>
      <c r="I373" s="19"/>
      <c r="J373" s="19"/>
      <c r="K373" s="19"/>
      <c r="L373" s="19"/>
      <c r="M373" s="19"/>
      <c r="N373" s="19"/>
    </row>
    <row r="374" spans="1:14" s="94" customFormat="1" ht="13.2" x14ac:dyDescent="0.25">
      <c r="A374" s="202" t="s">
        <v>1579</v>
      </c>
      <c r="B374" s="216" t="s">
        <v>1580</v>
      </c>
      <c r="C374" s="217" t="s">
        <v>1011</v>
      </c>
      <c r="D374" s="120"/>
      <c r="E374" s="45">
        <f t="shared" si="24"/>
        <v>0</v>
      </c>
      <c r="F374" s="127">
        <f t="shared" si="19"/>
        <v>0</v>
      </c>
      <c r="G374" s="151">
        <f>'Etude de cas n°1'!D374</f>
        <v>0</v>
      </c>
      <c r="H374" s="19"/>
      <c r="I374" s="19"/>
      <c r="J374" s="19"/>
      <c r="K374" s="19"/>
      <c r="L374" s="19"/>
      <c r="M374" s="19"/>
      <c r="N374" s="19"/>
    </row>
    <row r="375" spans="1:14" s="94" customFormat="1" ht="13.2" x14ac:dyDescent="0.25">
      <c r="A375" s="202" t="s">
        <v>1581</v>
      </c>
      <c r="B375" s="216" t="s">
        <v>1582</v>
      </c>
      <c r="C375" s="217" t="s">
        <v>1141</v>
      </c>
      <c r="D375" s="120"/>
      <c r="E375" s="45">
        <f t="shared" si="24"/>
        <v>0</v>
      </c>
      <c r="F375" s="127">
        <f t="shared" ref="F375:F382" si="27">D375*E375</f>
        <v>0</v>
      </c>
      <c r="G375" s="151">
        <f>'Etude de cas n°1'!D375</f>
        <v>0</v>
      </c>
      <c r="H375" s="19"/>
      <c r="I375" s="19"/>
      <c r="J375" s="19"/>
      <c r="K375" s="19"/>
      <c r="L375" s="19"/>
      <c r="M375" s="19"/>
      <c r="N375" s="19"/>
    </row>
    <row r="376" spans="1:14" s="94" customFormat="1" ht="13.2" x14ac:dyDescent="0.25">
      <c r="A376" s="202" t="s">
        <v>1583</v>
      </c>
      <c r="B376" s="216" t="s">
        <v>1584</v>
      </c>
      <c r="C376" s="217" t="s">
        <v>1011</v>
      </c>
      <c r="D376" s="120"/>
      <c r="E376" s="45">
        <f t="shared" si="24"/>
        <v>0</v>
      </c>
      <c r="F376" s="127">
        <f t="shared" si="27"/>
        <v>0</v>
      </c>
      <c r="G376" s="151">
        <f>'Etude de cas n°1'!D376</f>
        <v>0</v>
      </c>
      <c r="H376" s="19"/>
      <c r="I376" s="19"/>
      <c r="J376" s="19"/>
      <c r="K376" s="19"/>
      <c r="L376" s="19"/>
      <c r="M376" s="19"/>
      <c r="N376" s="19"/>
    </row>
    <row r="377" spans="1:14" s="94" customFormat="1" ht="13.2" x14ac:dyDescent="0.25">
      <c r="A377" s="202" t="s">
        <v>1585</v>
      </c>
      <c r="B377" s="216" t="s">
        <v>1586</v>
      </c>
      <c r="C377" s="217" t="s">
        <v>1141</v>
      </c>
      <c r="D377" s="120"/>
      <c r="E377" s="45">
        <f t="shared" si="24"/>
        <v>0</v>
      </c>
      <c r="F377" s="127">
        <f t="shared" si="27"/>
        <v>0</v>
      </c>
      <c r="G377" s="151">
        <f>'Etude de cas n°1'!D377</f>
        <v>0</v>
      </c>
      <c r="H377" s="19"/>
      <c r="I377" s="19"/>
      <c r="J377" s="19"/>
      <c r="K377" s="19"/>
      <c r="L377" s="19"/>
      <c r="M377" s="19"/>
      <c r="N377" s="19"/>
    </row>
    <row r="378" spans="1:14" s="94" customFormat="1" ht="13.2" x14ac:dyDescent="0.25">
      <c r="A378" s="202" t="s">
        <v>1587</v>
      </c>
      <c r="B378" s="216" t="s">
        <v>1588</v>
      </c>
      <c r="C378" s="217" t="s">
        <v>1034</v>
      </c>
      <c r="D378" s="120"/>
      <c r="E378" s="45">
        <f t="shared" ref="E378:E425" si="28">G378</f>
        <v>0</v>
      </c>
      <c r="F378" s="127">
        <f t="shared" si="27"/>
        <v>0</v>
      </c>
      <c r="G378" s="151">
        <f>'Etude de cas n°1'!D378</f>
        <v>0</v>
      </c>
      <c r="H378" s="19"/>
      <c r="I378" s="19"/>
      <c r="J378" s="19"/>
      <c r="K378" s="19"/>
      <c r="L378" s="19"/>
      <c r="M378" s="19"/>
      <c r="N378" s="19"/>
    </row>
    <row r="379" spans="1:14" s="94" customFormat="1" ht="13.2" x14ac:dyDescent="0.25">
      <c r="A379" s="202" t="s">
        <v>1589</v>
      </c>
      <c r="B379" s="216" t="s">
        <v>1590</v>
      </c>
      <c r="C379" s="217" t="s">
        <v>1034</v>
      </c>
      <c r="D379" s="120"/>
      <c r="E379" s="45">
        <f t="shared" si="28"/>
        <v>0</v>
      </c>
      <c r="F379" s="127">
        <f t="shared" si="27"/>
        <v>0</v>
      </c>
      <c r="G379" s="151">
        <f>'Etude de cas n°1'!D379</f>
        <v>0</v>
      </c>
      <c r="H379" s="19"/>
      <c r="I379" s="19"/>
      <c r="J379" s="19"/>
      <c r="K379" s="19"/>
      <c r="L379" s="19"/>
      <c r="M379" s="19"/>
      <c r="N379" s="19"/>
    </row>
    <row r="380" spans="1:14" s="94" customFormat="1" ht="13.2" x14ac:dyDescent="0.25">
      <c r="A380" s="202" t="s">
        <v>1591</v>
      </c>
      <c r="B380" s="216" t="s">
        <v>1592</v>
      </c>
      <c r="C380" s="217" t="s">
        <v>1011</v>
      </c>
      <c r="D380" s="120"/>
      <c r="E380" s="45">
        <f t="shared" si="28"/>
        <v>0</v>
      </c>
      <c r="F380" s="127">
        <f t="shared" si="27"/>
        <v>0</v>
      </c>
      <c r="G380" s="151">
        <f>'Etude de cas n°1'!D380</f>
        <v>0</v>
      </c>
      <c r="H380" s="19"/>
      <c r="I380" s="19"/>
      <c r="J380" s="19"/>
      <c r="K380" s="19"/>
      <c r="L380" s="19"/>
      <c r="M380" s="19"/>
      <c r="N380" s="19"/>
    </row>
    <row r="381" spans="1:14" s="94" customFormat="1" ht="13.2" x14ac:dyDescent="0.25">
      <c r="A381" s="202" t="s">
        <v>1593</v>
      </c>
      <c r="B381" s="216" t="s">
        <v>1594</v>
      </c>
      <c r="C381" s="217" t="s">
        <v>1011</v>
      </c>
      <c r="D381" s="120"/>
      <c r="E381" s="45">
        <f t="shared" si="28"/>
        <v>0</v>
      </c>
      <c r="F381" s="127">
        <f t="shared" si="27"/>
        <v>0</v>
      </c>
      <c r="G381" s="151">
        <f>'Etude de cas n°1'!D381</f>
        <v>0</v>
      </c>
      <c r="H381" s="19"/>
      <c r="I381" s="19"/>
      <c r="J381" s="19"/>
      <c r="K381" s="19"/>
      <c r="L381" s="19"/>
      <c r="M381" s="19"/>
      <c r="N381" s="19"/>
    </row>
    <row r="382" spans="1:14" s="94" customFormat="1" ht="13.2" x14ac:dyDescent="0.25">
      <c r="A382" s="202" t="s">
        <v>1595</v>
      </c>
      <c r="B382" s="216" t="s">
        <v>1596</v>
      </c>
      <c r="C382" s="217" t="s">
        <v>1011</v>
      </c>
      <c r="D382" s="120"/>
      <c r="E382" s="45">
        <f t="shared" si="28"/>
        <v>0</v>
      </c>
      <c r="F382" s="127">
        <f t="shared" si="27"/>
        <v>0</v>
      </c>
      <c r="G382" s="151">
        <f>'Etude de cas n°1'!D382</f>
        <v>0</v>
      </c>
      <c r="H382" s="19"/>
      <c r="I382" s="19"/>
      <c r="J382" s="19"/>
      <c r="K382" s="19"/>
      <c r="L382" s="19"/>
      <c r="M382" s="19"/>
      <c r="N382" s="19"/>
    </row>
    <row r="383" spans="1:14" s="94" customFormat="1" ht="13.2" x14ac:dyDescent="0.25">
      <c r="A383" s="202"/>
      <c r="B383" s="216"/>
      <c r="C383" s="217"/>
      <c r="D383" s="120"/>
      <c r="E383" s="45"/>
      <c r="F383" s="127"/>
      <c r="G383" s="151"/>
      <c r="H383" s="19"/>
      <c r="I383" s="19"/>
      <c r="J383" s="19"/>
      <c r="K383" s="19"/>
      <c r="L383" s="19"/>
      <c r="M383" s="19"/>
      <c r="N383" s="19"/>
    </row>
    <row r="384" spans="1:14" s="94" customFormat="1" ht="26.4" x14ac:dyDescent="0.25">
      <c r="A384" s="202"/>
      <c r="B384" s="122" t="s">
        <v>1597</v>
      </c>
      <c r="C384" s="217"/>
      <c r="D384" s="120"/>
      <c r="E384" s="45"/>
      <c r="F384" s="158">
        <f>SUM(F120:F382)</f>
        <v>0</v>
      </c>
      <c r="G384" s="151"/>
      <c r="H384" s="19"/>
      <c r="I384" s="19"/>
      <c r="J384" s="19"/>
      <c r="K384" s="19"/>
      <c r="L384" s="19"/>
      <c r="M384" s="19"/>
      <c r="N384" s="19"/>
    </row>
    <row r="385" spans="1:14" s="99" customFormat="1" ht="13.2" x14ac:dyDescent="0.25">
      <c r="A385" s="202"/>
      <c r="B385" s="216"/>
      <c r="C385" s="217"/>
      <c r="D385" s="120"/>
      <c r="E385" s="45"/>
      <c r="F385" s="127"/>
      <c r="G385" s="151"/>
      <c r="H385" s="18"/>
      <c r="I385" s="18"/>
      <c r="J385" s="18"/>
      <c r="K385" s="18"/>
      <c r="L385" s="18"/>
      <c r="M385" s="18"/>
      <c r="N385" s="18"/>
    </row>
    <row r="386" spans="1:14" s="99" customFormat="1" ht="13.2" x14ac:dyDescent="0.25">
      <c r="A386" s="29" t="s">
        <v>1598</v>
      </c>
      <c r="B386" s="30" t="s">
        <v>1599</v>
      </c>
      <c r="C386" s="224"/>
      <c r="D386" s="123"/>
      <c r="E386" s="159"/>
      <c r="F386" s="224"/>
      <c r="G386" s="153"/>
      <c r="H386" s="18"/>
      <c r="I386" s="18"/>
      <c r="J386" s="18"/>
      <c r="K386" s="18"/>
      <c r="L386" s="18"/>
      <c r="M386" s="18"/>
      <c r="N386" s="18"/>
    </row>
    <row r="387" spans="1:14" s="94" customFormat="1" ht="13.2" x14ac:dyDescent="0.25">
      <c r="A387" s="27" t="s">
        <v>1600</v>
      </c>
      <c r="B387" s="6" t="s">
        <v>1601</v>
      </c>
      <c r="C387" s="217"/>
      <c r="D387" s="120"/>
      <c r="E387" s="45"/>
      <c r="F387" s="127"/>
      <c r="G387" s="127"/>
      <c r="H387" s="19"/>
      <c r="I387" s="19"/>
      <c r="J387" s="19"/>
      <c r="K387" s="19"/>
      <c r="L387" s="19"/>
      <c r="M387" s="19"/>
      <c r="N387" s="19"/>
    </row>
    <row r="388" spans="1:14" s="94" customFormat="1" ht="13.2" x14ac:dyDescent="0.25">
      <c r="A388" s="202" t="s">
        <v>73</v>
      </c>
      <c r="B388" s="223" t="s">
        <v>1602</v>
      </c>
      <c r="C388" s="217"/>
      <c r="D388" s="120"/>
      <c r="E388" s="45"/>
      <c r="F388" s="127"/>
      <c r="G388" s="127"/>
      <c r="H388" s="19"/>
      <c r="I388" s="19"/>
      <c r="J388" s="19"/>
      <c r="K388" s="19"/>
      <c r="L388" s="19"/>
      <c r="M388" s="19"/>
      <c r="N388" s="19"/>
    </row>
    <row r="389" spans="1:14" s="94" customFormat="1" ht="13.2" x14ac:dyDescent="0.25">
      <c r="A389" s="202" t="s">
        <v>1603</v>
      </c>
      <c r="B389" s="216" t="s">
        <v>1604</v>
      </c>
      <c r="C389" s="217" t="s">
        <v>1011</v>
      </c>
      <c r="D389" s="120"/>
      <c r="E389" s="45">
        <f t="shared" si="28"/>
        <v>0</v>
      </c>
      <c r="F389" s="127">
        <f>D389*E389</f>
        <v>0</v>
      </c>
      <c r="G389" s="151">
        <f>'Etude de cas n°1'!D389</f>
        <v>0</v>
      </c>
      <c r="H389" s="19"/>
      <c r="I389" s="19"/>
      <c r="J389" s="19"/>
      <c r="K389" s="19"/>
      <c r="L389" s="19"/>
      <c r="M389" s="19"/>
      <c r="N389" s="19"/>
    </row>
    <row r="390" spans="1:14" s="94" customFormat="1" ht="13.2" x14ac:dyDescent="0.25">
      <c r="A390" s="202" t="s">
        <v>1605</v>
      </c>
      <c r="B390" s="216" t="s">
        <v>1606</v>
      </c>
      <c r="C390" s="217" t="s">
        <v>1011</v>
      </c>
      <c r="D390" s="120"/>
      <c r="E390" s="45">
        <f t="shared" si="28"/>
        <v>0</v>
      </c>
      <c r="F390" s="127">
        <f t="shared" ref="F390:F454" si="29">D390*E390</f>
        <v>0</v>
      </c>
      <c r="G390" s="151">
        <f>'Etude de cas n°1'!D390</f>
        <v>0</v>
      </c>
      <c r="H390" s="19"/>
      <c r="I390" s="19"/>
      <c r="J390" s="19"/>
      <c r="K390" s="19"/>
      <c r="L390" s="19"/>
      <c r="M390" s="19"/>
      <c r="N390" s="19"/>
    </row>
    <row r="391" spans="1:14" s="94" customFormat="1" ht="13.2" x14ac:dyDescent="0.25">
      <c r="A391" s="202" t="s">
        <v>74</v>
      </c>
      <c r="B391" s="216" t="s">
        <v>1607</v>
      </c>
      <c r="C391" s="217" t="s">
        <v>984</v>
      </c>
      <c r="D391" s="120"/>
      <c r="E391" s="45">
        <f t="shared" si="28"/>
        <v>0</v>
      </c>
      <c r="F391" s="127">
        <f t="shared" si="29"/>
        <v>0</v>
      </c>
      <c r="G391" s="151">
        <f>'Etude de cas n°1'!D391</f>
        <v>0</v>
      </c>
      <c r="H391" s="19"/>
      <c r="I391" s="19"/>
      <c r="J391" s="19"/>
      <c r="K391" s="19"/>
      <c r="L391" s="19"/>
      <c r="M391" s="19"/>
      <c r="N391" s="19"/>
    </row>
    <row r="392" spans="1:14" s="94" customFormat="1" ht="13.2" x14ac:dyDescent="0.25">
      <c r="A392" s="202" t="s">
        <v>75</v>
      </c>
      <c r="B392" s="226" t="s">
        <v>1608</v>
      </c>
      <c r="C392" s="217" t="s">
        <v>984</v>
      </c>
      <c r="D392" s="120"/>
      <c r="E392" s="45">
        <f t="shared" si="28"/>
        <v>0</v>
      </c>
      <c r="F392" s="127">
        <f t="shared" ref="F392" si="30">D392*E392</f>
        <v>0</v>
      </c>
      <c r="G392" s="151">
        <f>'Etude de cas n°1'!D392</f>
        <v>0</v>
      </c>
      <c r="H392" s="19"/>
      <c r="I392" s="19"/>
      <c r="J392" s="19"/>
      <c r="K392" s="19"/>
      <c r="L392" s="19"/>
      <c r="M392" s="19"/>
      <c r="N392" s="19"/>
    </row>
    <row r="393" spans="1:14" s="94" customFormat="1" ht="13.2" x14ac:dyDescent="0.25">
      <c r="A393" s="28" t="s">
        <v>1609</v>
      </c>
      <c r="B393" s="6" t="s">
        <v>1610</v>
      </c>
      <c r="C393" s="217"/>
      <c r="D393" s="120"/>
      <c r="E393" s="45"/>
      <c r="F393" s="127"/>
      <c r="G393" s="151"/>
      <c r="H393" s="19"/>
      <c r="I393" s="19"/>
      <c r="J393" s="19"/>
      <c r="K393" s="19"/>
      <c r="L393" s="19"/>
      <c r="M393" s="19"/>
      <c r="N393" s="19"/>
    </row>
    <row r="394" spans="1:14" s="94" customFormat="1" ht="26.4" x14ac:dyDescent="0.25">
      <c r="A394" s="202" t="s">
        <v>81</v>
      </c>
      <c r="B394" s="223" t="s">
        <v>1611</v>
      </c>
      <c r="C394" s="217"/>
      <c r="D394" s="120"/>
      <c r="E394" s="45"/>
      <c r="F394" s="127"/>
      <c r="G394" s="151"/>
      <c r="H394" s="19"/>
      <c r="I394" s="19"/>
      <c r="J394" s="19"/>
      <c r="K394" s="19"/>
      <c r="L394" s="19"/>
      <c r="M394" s="19"/>
      <c r="N394" s="19"/>
    </row>
    <row r="395" spans="1:14" s="94" customFormat="1" ht="13.2" x14ac:dyDescent="0.25">
      <c r="A395" s="202" t="s">
        <v>1612</v>
      </c>
      <c r="B395" s="216" t="s">
        <v>1613</v>
      </c>
      <c r="C395" s="217" t="s">
        <v>1011</v>
      </c>
      <c r="D395" s="120"/>
      <c r="E395" s="45">
        <f t="shared" si="28"/>
        <v>0</v>
      </c>
      <c r="F395" s="127">
        <f t="shared" si="29"/>
        <v>0</v>
      </c>
      <c r="G395" s="151">
        <f>'Etude de cas n°1'!D395</f>
        <v>0</v>
      </c>
      <c r="H395" s="19"/>
      <c r="I395" s="19"/>
      <c r="J395" s="19"/>
      <c r="K395" s="19"/>
      <c r="L395" s="19"/>
      <c r="M395" s="19"/>
      <c r="N395" s="19"/>
    </row>
    <row r="396" spans="1:14" s="94" customFormat="1" ht="13.2" x14ac:dyDescent="0.25">
      <c r="A396" s="202" t="s">
        <v>1614</v>
      </c>
      <c r="B396" s="216" t="s">
        <v>1615</v>
      </c>
      <c r="C396" s="217" t="s">
        <v>1011</v>
      </c>
      <c r="D396" s="120"/>
      <c r="E396" s="45">
        <f t="shared" si="28"/>
        <v>0</v>
      </c>
      <c r="F396" s="127">
        <f t="shared" si="29"/>
        <v>0</v>
      </c>
      <c r="G396" s="151">
        <f>'Etude de cas n°1'!D396</f>
        <v>0</v>
      </c>
      <c r="H396" s="19"/>
      <c r="I396" s="19"/>
      <c r="J396" s="19"/>
      <c r="K396" s="19"/>
      <c r="L396" s="19"/>
      <c r="M396" s="19"/>
      <c r="N396" s="19"/>
    </row>
    <row r="397" spans="1:14" s="94" customFormat="1" ht="13.2" x14ac:dyDescent="0.25">
      <c r="A397" s="202" t="s">
        <v>1616</v>
      </c>
      <c r="B397" s="216" t="s">
        <v>1617</v>
      </c>
      <c r="C397" s="217" t="s">
        <v>1011</v>
      </c>
      <c r="D397" s="120"/>
      <c r="E397" s="45">
        <f t="shared" si="28"/>
        <v>0</v>
      </c>
      <c r="F397" s="127">
        <f t="shared" si="29"/>
        <v>0</v>
      </c>
      <c r="G397" s="151">
        <f>'Etude de cas n°1'!D397</f>
        <v>0</v>
      </c>
      <c r="H397" s="19"/>
      <c r="I397" s="19"/>
      <c r="J397" s="19"/>
      <c r="K397" s="19"/>
      <c r="L397" s="19"/>
      <c r="M397" s="19"/>
      <c r="N397" s="19"/>
    </row>
    <row r="398" spans="1:14" s="94" customFormat="1" ht="13.2" x14ac:dyDescent="0.25">
      <c r="A398" s="202" t="s">
        <v>1618</v>
      </c>
      <c r="B398" s="216" t="s">
        <v>1619</v>
      </c>
      <c r="C398" s="217" t="s">
        <v>1011</v>
      </c>
      <c r="D398" s="120"/>
      <c r="E398" s="45">
        <f t="shared" si="28"/>
        <v>0</v>
      </c>
      <c r="F398" s="127">
        <f t="shared" si="29"/>
        <v>0</v>
      </c>
      <c r="G398" s="151">
        <f>'Etude de cas n°1'!D398</f>
        <v>0</v>
      </c>
      <c r="H398" s="19"/>
      <c r="I398" s="19"/>
      <c r="J398" s="19"/>
      <c r="K398" s="19"/>
      <c r="L398" s="19"/>
      <c r="M398" s="19"/>
      <c r="N398" s="19"/>
    </row>
    <row r="399" spans="1:14" s="94" customFormat="1" ht="13.2" x14ac:dyDescent="0.25">
      <c r="A399" s="202" t="s">
        <v>1620</v>
      </c>
      <c r="B399" s="216" t="s">
        <v>1621</v>
      </c>
      <c r="C399" s="217" t="s">
        <v>1011</v>
      </c>
      <c r="D399" s="120"/>
      <c r="E399" s="45">
        <f t="shared" si="28"/>
        <v>0</v>
      </c>
      <c r="F399" s="127">
        <f t="shared" si="29"/>
        <v>0</v>
      </c>
      <c r="G399" s="151">
        <f>'Etude de cas n°1'!D399</f>
        <v>0</v>
      </c>
      <c r="H399" s="19"/>
      <c r="I399" s="19"/>
      <c r="J399" s="19"/>
      <c r="K399" s="19"/>
      <c r="L399" s="19"/>
      <c r="M399" s="19"/>
      <c r="N399" s="19"/>
    </row>
    <row r="400" spans="1:14" s="94" customFormat="1" ht="13.2" x14ac:dyDescent="0.25">
      <c r="A400" s="202" t="s">
        <v>1622</v>
      </c>
      <c r="B400" s="216" t="s">
        <v>1623</v>
      </c>
      <c r="C400" s="217" t="s">
        <v>1011</v>
      </c>
      <c r="D400" s="120"/>
      <c r="E400" s="45">
        <f t="shared" si="28"/>
        <v>0</v>
      </c>
      <c r="F400" s="127">
        <f t="shared" si="29"/>
        <v>0</v>
      </c>
      <c r="G400" s="151">
        <f>'Etude de cas n°1'!D400</f>
        <v>0</v>
      </c>
      <c r="H400" s="19"/>
      <c r="I400" s="19"/>
      <c r="J400" s="19"/>
      <c r="K400" s="19"/>
      <c r="L400" s="19"/>
      <c r="M400" s="19"/>
      <c r="N400" s="19"/>
    </row>
    <row r="401" spans="1:14" s="94" customFormat="1" ht="13.2" x14ac:dyDescent="0.25">
      <c r="A401" s="202" t="s">
        <v>1624</v>
      </c>
      <c r="B401" s="216" t="s">
        <v>1625</v>
      </c>
      <c r="C401" s="217" t="s">
        <v>1232</v>
      </c>
      <c r="D401" s="120"/>
      <c r="E401" s="45">
        <f t="shared" si="28"/>
        <v>0</v>
      </c>
      <c r="F401" s="127">
        <f t="shared" si="29"/>
        <v>0</v>
      </c>
      <c r="G401" s="151">
        <f>'Etude de cas n°1'!D401</f>
        <v>0</v>
      </c>
      <c r="H401" s="19"/>
      <c r="I401" s="19"/>
      <c r="J401" s="19"/>
      <c r="K401" s="19"/>
      <c r="L401" s="19"/>
      <c r="M401" s="19"/>
      <c r="N401" s="19"/>
    </row>
    <row r="402" spans="1:14" s="94" customFormat="1" ht="13.2" x14ac:dyDescent="0.25">
      <c r="A402" s="202" t="s">
        <v>1626</v>
      </c>
      <c r="B402" s="192" t="s">
        <v>1627</v>
      </c>
      <c r="C402" s="217" t="s">
        <v>1628</v>
      </c>
      <c r="D402" s="120"/>
      <c r="E402" s="45">
        <f t="shared" si="28"/>
        <v>0</v>
      </c>
      <c r="F402" s="127">
        <f t="shared" si="29"/>
        <v>0</v>
      </c>
      <c r="G402" s="151">
        <f>'Etude de cas n°1'!D402</f>
        <v>0</v>
      </c>
      <c r="H402" s="19"/>
      <c r="I402" s="19"/>
      <c r="J402" s="19"/>
      <c r="K402" s="19"/>
      <c r="L402" s="19"/>
      <c r="M402" s="19"/>
      <c r="N402" s="19"/>
    </row>
    <row r="403" spans="1:14" s="94" customFormat="1" ht="26.4" x14ac:dyDescent="0.25">
      <c r="A403" s="202" t="s">
        <v>1629</v>
      </c>
      <c r="B403" s="216" t="s">
        <v>1630</v>
      </c>
      <c r="C403" s="227" t="s">
        <v>1631</v>
      </c>
      <c r="D403" s="120"/>
      <c r="E403" s="45">
        <f t="shared" si="28"/>
        <v>0</v>
      </c>
      <c r="F403" s="127">
        <f t="shared" si="29"/>
        <v>0</v>
      </c>
      <c r="G403" s="151">
        <f>'Etude de cas n°1'!D403</f>
        <v>0</v>
      </c>
      <c r="H403" s="19"/>
      <c r="I403" s="19"/>
      <c r="J403" s="19"/>
      <c r="K403" s="19"/>
      <c r="L403" s="19"/>
      <c r="M403" s="19"/>
      <c r="N403" s="19"/>
    </row>
    <row r="404" spans="1:14" s="94" customFormat="1" ht="26.4" x14ac:dyDescent="0.25">
      <c r="A404" s="202" t="s">
        <v>1632</v>
      </c>
      <c r="B404" s="192" t="s">
        <v>1633</v>
      </c>
      <c r="C404" s="217" t="s">
        <v>1631</v>
      </c>
      <c r="D404" s="120"/>
      <c r="E404" s="45">
        <f t="shared" si="28"/>
        <v>0</v>
      </c>
      <c r="F404" s="127">
        <f t="shared" si="29"/>
        <v>0</v>
      </c>
      <c r="G404" s="151">
        <f>'Etude de cas n°1'!D404</f>
        <v>0</v>
      </c>
      <c r="H404" s="19"/>
      <c r="I404" s="19"/>
      <c r="J404" s="19"/>
      <c r="K404" s="19"/>
      <c r="L404" s="19"/>
      <c r="M404" s="19"/>
      <c r="N404" s="19"/>
    </row>
    <row r="405" spans="1:14" s="94" customFormat="1" ht="26.4" x14ac:dyDescent="0.25">
      <c r="A405" s="202" t="s">
        <v>1634</v>
      </c>
      <c r="B405" s="216" t="s">
        <v>1635</v>
      </c>
      <c r="C405" s="217" t="s">
        <v>1011</v>
      </c>
      <c r="D405" s="120"/>
      <c r="E405" s="45">
        <f t="shared" si="28"/>
        <v>0</v>
      </c>
      <c r="F405" s="127">
        <f t="shared" si="29"/>
        <v>0</v>
      </c>
      <c r="G405" s="151">
        <f>'Etude de cas n°1'!D405</f>
        <v>0</v>
      </c>
      <c r="H405" s="19"/>
      <c r="I405" s="19"/>
      <c r="J405" s="19"/>
      <c r="K405" s="19"/>
      <c r="L405" s="19"/>
      <c r="M405" s="19"/>
      <c r="N405" s="19"/>
    </row>
    <row r="406" spans="1:14" s="94" customFormat="1" ht="26.4" x14ac:dyDescent="0.25">
      <c r="A406" s="202" t="s">
        <v>1636</v>
      </c>
      <c r="B406" s="216" t="s">
        <v>1637</v>
      </c>
      <c r="C406" s="217" t="s">
        <v>1011</v>
      </c>
      <c r="D406" s="120"/>
      <c r="E406" s="45">
        <f t="shared" si="28"/>
        <v>0</v>
      </c>
      <c r="F406" s="127">
        <f t="shared" si="29"/>
        <v>0</v>
      </c>
      <c r="G406" s="151">
        <f>'Etude de cas n°1'!D406</f>
        <v>0</v>
      </c>
      <c r="H406" s="19"/>
      <c r="I406" s="19"/>
      <c r="J406" s="19"/>
      <c r="K406" s="19"/>
      <c r="L406" s="19"/>
      <c r="M406" s="19"/>
      <c r="N406" s="19"/>
    </row>
    <row r="407" spans="1:14" s="97" customFormat="1" ht="26.4" x14ac:dyDescent="0.25">
      <c r="A407" s="202" t="s">
        <v>1638</v>
      </c>
      <c r="B407" s="216" t="s">
        <v>1639</v>
      </c>
      <c r="C407" s="217" t="s">
        <v>1011</v>
      </c>
      <c r="D407" s="120"/>
      <c r="E407" s="45">
        <f t="shared" si="28"/>
        <v>0</v>
      </c>
      <c r="F407" s="127">
        <f t="shared" si="29"/>
        <v>0</v>
      </c>
      <c r="G407" s="151">
        <f>'Etude de cas n°1'!D407</f>
        <v>0</v>
      </c>
      <c r="H407" s="218"/>
      <c r="I407" s="218"/>
      <c r="J407" s="218"/>
      <c r="K407" s="218"/>
      <c r="L407" s="218"/>
      <c r="M407" s="218"/>
      <c r="N407" s="218"/>
    </row>
    <row r="408" spans="1:14" s="97" customFormat="1" ht="26.4" x14ac:dyDescent="0.25">
      <c r="A408" s="202" t="s">
        <v>1640</v>
      </c>
      <c r="B408" s="216" t="s">
        <v>1641</v>
      </c>
      <c r="C408" s="217" t="s">
        <v>1011</v>
      </c>
      <c r="D408" s="120"/>
      <c r="E408" s="45">
        <f t="shared" si="28"/>
        <v>0</v>
      </c>
      <c r="F408" s="127">
        <f t="shared" si="29"/>
        <v>0</v>
      </c>
      <c r="G408" s="151">
        <f>'Etude de cas n°1'!D408</f>
        <v>0</v>
      </c>
      <c r="H408" s="218"/>
      <c r="I408" s="218"/>
      <c r="J408" s="218"/>
      <c r="K408" s="218"/>
      <c r="L408" s="218"/>
      <c r="M408" s="218"/>
      <c r="N408" s="218"/>
    </row>
    <row r="409" spans="1:14" s="97" customFormat="1" ht="13.2" x14ac:dyDescent="0.25">
      <c r="A409" s="28" t="s">
        <v>1642</v>
      </c>
      <c r="B409" s="6" t="s">
        <v>1643</v>
      </c>
      <c r="C409" s="217" t="s">
        <v>1011</v>
      </c>
      <c r="D409" s="120"/>
      <c r="E409" s="45">
        <f t="shared" si="28"/>
        <v>0</v>
      </c>
      <c r="F409" s="127">
        <f t="shared" si="29"/>
        <v>0</v>
      </c>
      <c r="G409" s="151">
        <f>'Etude de cas n°1'!D409</f>
        <v>0</v>
      </c>
      <c r="H409" s="218"/>
      <c r="I409" s="218"/>
      <c r="J409" s="218"/>
      <c r="K409" s="218"/>
      <c r="L409" s="218"/>
      <c r="M409" s="218"/>
      <c r="N409" s="218"/>
    </row>
    <row r="410" spans="1:14" s="97" customFormat="1" ht="13.2" x14ac:dyDescent="0.25">
      <c r="A410" s="28" t="s">
        <v>76</v>
      </c>
      <c r="B410" s="6" t="s">
        <v>1644</v>
      </c>
      <c r="C410" s="217" t="s">
        <v>1011</v>
      </c>
      <c r="D410" s="120"/>
      <c r="E410" s="45">
        <f t="shared" si="28"/>
        <v>0</v>
      </c>
      <c r="F410" s="127">
        <f t="shared" si="29"/>
        <v>0</v>
      </c>
      <c r="G410" s="151">
        <f>'Etude de cas n°1'!D410</f>
        <v>0</v>
      </c>
      <c r="H410" s="218"/>
      <c r="I410" s="218"/>
      <c r="J410" s="218"/>
      <c r="K410" s="218"/>
      <c r="L410" s="218"/>
      <c r="M410" s="218"/>
      <c r="N410" s="218"/>
    </row>
    <row r="411" spans="1:14" s="97" customFormat="1" ht="13.2" x14ac:dyDescent="0.25">
      <c r="A411" s="28" t="s">
        <v>1645</v>
      </c>
      <c r="B411" s="6" t="s">
        <v>1646</v>
      </c>
      <c r="C411" s="217"/>
      <c r="D411" s="120"/>
      <c r="E411" s="45"/>
      <c r="F411" s="127"/>
      <c r="G411" s="151"/>
      <c r="H411" s="218"/>
      <c r="I411" s="218"/>
      <c r="J411" s="218"/>
      <c r="K411" s="218"/>
      <c r="L411" s="218"/>
      <c r="M411" s="218"/>
      <c r="N411" s="218"/>
    </row>
    <row r="412" spans="1:14" s="97" customFormat="1" ht="26.4" x14ac:dyDescent="0.25">
      <c r="A412" s="217" t="s">
        <v>90</v>
      </c>
      <c r="B412" s="192" t="s">
        <v>1647</v>
      </c>
      <c r="C412" s="217" t="s">
        <v>1648</v>
      </c>
      <c r="D412" s="120"/>
      <c r="E412" s="45">
        <f t="shared" si="28"/>
        <v>0</v>
      </c>
      <c r="F412" s="127">
        <f t="shared" si="29"/>
        <v>0</v>
      </c>
      <c r="G412" s="151">
        <f>'Etude de cas n°1'!D412</f>
        <v>0</v>
      </c>
      <c r="H412" s="218"/>
      <c r="I412" s="218"/>
      <c r="J412" s="218"/>
      <c r="K412" s="218"/>
      <c r="L412" s="218"/>
      <c r="M412" s="218"/>
      <c r="N412" s="218"/>
    </row>
    <row r="413" spans="1:14" s="97" customFormat="1" ht="26.4" x14ac:dyDescent="0.25">
      <c r="A413" s="217" t="s">
        <v>91</v>
      </c>
      <c r="B413" s="192" t="s">
        <v>1649</v>
      </c>
      <c r="C413" s="217" t="s">
        <v>1650</v>
      </c>
      <c r="D413" s="120"/>
      <c r="E413" s="45">
        <f t="shared" si="28"/>
        <v>0</v>
      </c>
      <c r="F413" s="127">
        <f t="shared" si="29"/>
        <v>0</v>
      </c>
      <c r="G413" s="151">
        <f>'Etude de cas n°1'!D413</f>
        <v>0</v>
      </c>
      <c r="H413" s="218"/>
      <c r="I413" s="218"/>
      <c r="J413" s="218"/>
      <c r="K413" s="218"/>
      <c r="L413" s="218"/>
      <c r="M413" s="218"/>
      <c r="N413" s="218"/>
    </row>
    <row r="414" spans="1:14" s="94" customFormat="1" ht="26.4" x14ac:dyDescent="0.25">
      <c r="A414" s="217" t="s">
        <v>1651</v>
      </c>
      <c r="B414" s="223" t="s">
        <v>1652</v>
      </c>
      <c r="C414" s="217" t="s">
        <v>1011</v>
      </c>
      <c r="D414" s="120"/>
      <c r="E414" s="45">
        <f t="shared" si="28"/>
        <v>0</v>
      </c>
      <c r="F414" s="127">
        <f t="shared" si="29"/>
        <v>0</v>
      </c>
      <c r="G414" s="151">
        <f>'Etude de cas n°1'!D414</f>
        <v>0</v>
      </c>
      <c r="H414" s="19"/>
      <c r="I414" s="19"/>
      <c r="J414" s="19"/>
      <c r="K414" s="19"/>
      <c r="L414" s="19"/>
      <c r="M414" s="19"/>
      <c r="N414" s="19"/>
    </row>
    <row r="415" spans="1:14" s="97" customFormat="1" ht="27" x14ac:dyDescent="0.25">
      <c r="A415" s="217" t="s">
        <v>1653</v>
      </c>
      <c r="B415" s="223" t="s">
        <v>1654</v>
      </c>
      <c r="C415" s="217" t="s">
        <v>1011</v>
      </c>
      <c r="D415" s="120"/>
      <c r="E415" s="45">
        <f t="shared" si="28"/>
        <v>0</v>
      </c>
      <c r="F415" s="127">
        <f t="shared" si="29"/>
        <v>0</v>
      </c>
      <c r="G415" s="151">
        <f>'Etude de cas n°1'!D415</f>
        <v>0</v>
      </c>
      <c r="H415" s="218"/>
      <c r="I415" s="218"/>
      <c r="J415" s="218"/>
      <c r="K415" s="218"/>
      <c r="L415" s="218"/>
      <c r="M415" s="218"/>
      <c r="N415" s="218"/>
    </row>
    <row r="416" spans="1:14" s="97" customFormat="1" ht="26.4" x14ac:dyDescent="0.25">
      <c r="A416" s="217" t="s">
        <v>1655</v>
      </c>
      <c r="B416" s="223" t="s">
        <v>1656</v>
      </c>
      <c r="C416" s="217" t="s">
        <v>1011</v>
      </c>
      <c r="D416" s="120"/>
      <c r="E416" s="45">
        <f t="shared" si="28"/>
        <v>0</v>
      </c>
      <c r="F416" s="127">
        <f t="shared" si="29"/>
        <v>0</v>
      </c>
      <c r="G416" s="151">
        <f>'Etude de cas n°1'!D416</f>
        <v>0</v>
      </c>
      <c r="H416" s="218"/>
      <c r="I416" s="218"/>
      <c r="J416" s="218"/>
      <c r="K416" s="218"/>
      <c r="L416" s="218"/>
      <c r="M416" s="218"/>
      <c r="N416" s="218"/>
    </row>
    <row r="417" spans="1:14" s="94" customFormat="1" ht="26.4" x14ac:dyDescent="0.25">
      <c r="A417" s="217" t="s">
        <v>1657</v>
      </c>
      <c r="B417" s="223" t="s">
        <v>1658</v>
      </c>
      <c r="C417" s="217" t="s">
        <v>1011</v>
      </c>
      <c r="D417" s="120"/>
      <c r="E417" s="45">
        <f t="shared" si="28"/>
        <v>0</v>
      </c>
      <c r="F417" s="127">
        <f t="shared" si="29"/>
        <v>0</v>
      </c>
      <c r="G417" s="151">
        <f>'Etude de cas n°1'!D417</f>
        <v>0</v>
      </c>
      <c r="H417" s="19"/>
      <c r="I417" s="19"/>
      <c r="J417" s="19"/>
      <c r="K417" s="19"/>
      <c r="L417" s="19"/>
      <c r="M417" s="19"/>
      <c r="N417" s="19"/>
    </row>
    <row r="418" spans="1:14" s="97" customFormat="1" ht="26.4" x14ac:dyDescent="0.25">
      <c r="A418" s="217" t="s">
        <v>1659</v>
      </c>
      <c r="B418" s="223" t="s">
        <v>1660</v>
      </c>
      <c r="C418" s="217" t="s">
        <v>1011</v>
      </c>
      <c r="D418" s="120"/>
      <c r="E418" s="45">
        <f t="shared" si="28"/>
        <v>0</v>
      </c>
      <c r="F418" s="127">
        <f t="shared" si="29"/>
        <v>0</v>
      </c>
      <c r="G418" s="151">
        <f>'Etude de cas n°1'!D418</f>
        <v>0</v>
      </c>
      <c r="H418" s="218"/>
      <c r="I418" s="218"/>
      <c r="J418" s="218"/>
      <c r="K418" s="218"/>
      <c r="L418" s="218"/>
      <c r="M418" s="218"/>
      <c r="N418" s="218"/>
    </row>
    <row r="419" spans="1:14" s="97" customFormat="1" ht="26.4" x14ac:dyDescent="0.25">
      <c r="A419" s="217" t="s">
        <v>1661</v>
      </c>
      <c r="B419" s="223" t="s">
        <v>1662</v>
      </c>
      <c r="C419" s="217" t="s">
        <v>1011</v>
      </c>
      <c r="D419" s="120"/>
      <c r="E419" s="45">
        <f t="shared" si="28"/>
        <v>0</v>
      </c>
      <c r="F419" s="127">
        <f t="shared" si="29"/>
        <v>0</v>
      </c>
      <c r="G419" s="151">
        <f>'Etude de cas n°1'!D419</f>
        <v>0</v>
      </c>
      <c r="H419" s="218"/>
      <c r="I419" s="218"/>
      <c r="J419" s="218"/>
      <c r="K419" s="218"/>
      <c r="L419" s="218"/>
      <c r="M419" s="218"/>
      <c r="N419" s="218"/>
    </row>
    <row r="420" spans="1:14" s="97" customFormat="1" ht="13.2" x14ac:dyDescent="0.25">
      <c r="A420" s="217" t="s">
        <v>1663</v>
      </c>
      <c r="B420" s="223" t="s">
        <v>1664</v>
      </c>
      <c r="C420" s="217"/>
      <c r="D420" s="120"/>
      <c r="E420" s="45"/>
      <c r="F420" s="127"/>
      <c r="G420" s="151"/>
      <c r="H420" s="218"/>
      <c r="I420" s="218"/>
      <c r="J420" s="218"/>
      <c r="K420" s="218"/>
      <c r="L420" s="218"/>
      <c r="M420" s="218"/>
      <c r="N420" s="218"/>
    </row>
    <row r="421" spans="1:14" s="97" customFormat="1" ht="13.2" x14ac:dyDescent="0.25">
      <c r="A421" s="217" t="s">
        <v>1665</v>
      </c>
      <c r="B421" s="223" t="s">
        <v>1666</v>
      </c>
      <c r="C421" s="217" t="s">
        <v>1011</v>
      </c>
      <c r="D421" s="120"/>
      <c r="E421" s="45">
        <f t="shared" si="28"/>
        <v>0</v>
      </c>
      <c r="F421" s="127">
        <f t="shared" si="29"/>
        <v>0</v>
      </c>
      <c r="G421" s="151">
        <f>'Etude de cas n°1'!D421</f>
        <v>0</v>
      </c>
      <c r="H421" s="218"/>
      <c r="I421" s="218"/>
      <c r="J421" s="218"/>
      <c r="K421" s="218"/>
      <c r="L421" s="218"/>
      <c r="M421" s="218"/>
      <c r="N421" s="218"/>
    </row>
    <row r="422" spans="1:14" s="97" customFormat="1" ht="13.2" x14ac:dyDescent="0.25">
      <c r="A422" s="217" t="s">
        <v>1667</v>
      </c>
      <c r="B422" s="223" t="s">
        <v>1668</v>
      </c>
      <c r="C422" s="217" t="s">
        <v>1011</v>
      </c>
      <c r="D422" s="120"/>
      <c r="E422" s="45">
        <f t="shared" si="28"/>
        <v>0</v>
      </c>
      <c r="F422" s="127">
        <f t="shared" si="29"/>
        <v>0</v>
      </c>
      <c r="G422" s="151">
        <f>'Etude de cas n°1'!D422</f>
        <v>0</v>
      </c>
      <c r="H422" s="218"/>
      <c r="I422" s="218"/>
      <c r="J422" s="218"/>
      <c r="K422" s="218"/>
      <c r="L422" s="218"/>
      <c r="M422" s="218"/>
      <c r="N422" s="218"/>
    </row>
    <row r="423" spans="1:14" s="97" customFormat="1" ht="13.2" x14ac:dyDescent="0.25">
      <c r="A423" s="217" t="s">
        <v>1669</v>
      </c>
      <c r="B423" s="223" t="s">
        <v>1670</v>
      </c>
      <c r="C423" s="217" t="s">
        <v>1011</v>
      </c>
      <c r="D423" s="120"/>
      <c r="E423" s="45">
        <f t="shared" si="28"/>
        <v>0</v>
      </c>
      <c r="F423" s="127">
        <f t="shared" si="29"/>
        <v>0</v>
      </c>
      <c r="G423" s="151">
        <f>'Etude de cas n°1'!D423</f>
        <v>0</v>
      </c>
      <c r="H423" s="218"/>
      <c r="I423" s="218"/>
      <c r="J423" s="218"/>
      <c r="K423" s="218"/>
      <c r="L423" s="218"/>
      <c r="M423" s="218"/>
      <c r="N423" s="218"/>
    </row>
    <row r="424" spans="1:14" s="97" customFormat="1" ht="13.2" x14ac:dyDescent="0.25">
      <c r="A424" s="217" t="s">
        <v>1671</v>
      </c>
      <c r="B424" s="223" t="s">
        <v>1672</v>
      </c>
      <c r="C424" s="217" t="s">
        <v>1011</v>
      </c>
      <c r="D424" s="120"/>
      <c r="E424" s="45">
        <f t="shared" si="28"/>
        <v>0</v>
      </c>
      <c r="F424" s="127">
        <f t="shared" si="29"/>
        <v>0</v>
      </c>
      <c r="G424" s="151">
        <f>'Etude de cas n°1'!D424</f>
        <v>0</v>
      </c>
      <c r="H424" s="218"/>
      <c r="I424" s="218"/>
      <c r="J424" s="218"/>
      <c r="K424" s="218"/>
      <c r="L424" s="218"/>
      <c r="M424" s="218"/>
      <c r="N424" s="218"/>
    </row>
    <row r="425" spans="1:14" s="97" customFormat="1" ht="13.2" x14ac:dyDescent="0.25">
      <c r="A425" s="217" t="s">
        <v>1673</v>
      </c>
      <c r="B425" s="223" t="s">
        <v>1674</v>
      </c>
      <c r="C425" s="217" t="s">
        <v>1011</v>
      </c>
      <c r="D425" s="120"/>
      <c r="E425" s="45">
        <f t="shared" si="28"/>
        <v>0</v>
      </c>
      <c r="F425" s="127">
        <f t="shared" si="29"/>
        <v>0</v>
      </c>
      <c r="G425" s="151">
        <f>'Etude de cas n°1'!D425</f>
        <v>0</v>
      </c>
      <c r="H425" s="218"/>
      <c r="I425" s="218"/>
      <c r="J425" s="218"/>
      <c r="K425" s="218"/>
      <c r="L425" s="218"/>
      <c r="M425" s="218"/>
      <c r="N425" s="218"/>
    </row>
    <row r="426" spans="1:14" s="97" customFormat="1" ht="13.2" x14ac:dyDescent="0.25">
      <c r="A426" s="202"/>
      <c r="B426" s="216"/>
      <c r="C426" s="217"/>
      <c r="D426" s="120"/>
      <c r="E426" s="121"/>
      <c r="F426" s="121"/>
      <c r="G426" s="151"/>
      <c r="H426" s="218"/>
      <c r="I426" s="218"/>
      <c r="J426" s="218"/>
      <c r="K426" s="218"/>
      <c r="L426" s="218"/>
      <c r="M426" s="218"/>
      <c r="N426" s="218"/>
    </row>
    <row r="427" spans="1:14" s="97" customFormat="1" ht="13.2" x14ac:dyDescent="0.25">
      <c r="A427" s="202"/>
      <c r="B427" s="122" t="s">
        <v>1675</v>
      </c>
      <c r="C427" s="217"/>
      <c r="D427" s="120"/>
      <c r="E427" s="121"/>
      <c r="F427" s="158">
        <f>SUM(F387:F426)</f>
        <v>0</v>
      </c>
      <c r="G427" s="151"/>
      <c r="H427" s="218"/>
      <c r="I427" s="218"/>
      <c r="J427" s="218"/>
      <c r="K427" s="218"/>
      <c r="L427" s="218"/>
      <c r="M427" s="218"/>
      <c r="N427" s="218"/>
    </row>
    <row r="428" spans="1:14" s="97" customFormat="1" ht="13.2" x14ac:dyDescent="0.25">
      <c r="A428" s="202"/>
      <c r="B428" s="216"/>
      <c r="C428" s="217"/>
      <c r="D428" s="120"/>
      <c r="E428" s="121"/>
      <c r="F428" s="121"/>
      <c r="G428" s="151"/>
      <c r="H428" s="218"/>
      <c r="I428" s="218"/>
      <c r="J428" s="218"/>
      <c r="K428" s="218"/>
      <c r="L428" s="218"/>
      <c r="M428" s="218"/>
      <c r="N428" s="218"/>
    </row>
    <row r="429" spans="1:14" s="97" customFormat="1" ht="13.2" x14ac:dyDescent="0.25">
      <c r="A429" s="29" t="s">
        <v>1676</v>
      </c>
      <c r="B429" s="30" t="s">
        <v>1677</v>
      </c>
      <c r="C429" s="224"/>
      <c r="D429" s="123"/>
      <c r="E429" s="159"/>
      <c r="F429" s="159"/>
      <c r="G429" s="286"/>
      <c r="H429" s="218"/>
      <c r="I429" s="218"/>
      <c r="J429" s="218"/>
      <c r="K429" s="218"/>
      <c r="L429" s="218"/>
      <c r="M429" s="218"/>
      <c r="N429" s="218"/>
    </row>
    <row r="430" spans="1:14" s="97" customFormat="1" ht="13.2" x14ac:dyDescent="0.25">
      <c r="A430" s="27" t="s">
        <v>1678</v>
      </c>
      <c r="B430" s="6" t="s">
        <v>1679</v>
      </c>
      <c r="C430" s="217"/>
      <c r="D430" s="120"/>
      <c r="E430" s="121"/>
      <c r="F430" s="121"/>
      <c r="G430" s="121"/>
      <c r="H430" s="218"/>
      <c r="I430" s="218"/>
      <c r="J430" s="218"/>
      <c r="K430" s="218"/>
      <c r="L430" s="218"/>
      <c r="M430" s="218"/>
      <c r="N430" s="218"/>
    </row>
    <row r="431" spans="1:14" s="97" customFormat="1" ht="13.2" x14ac:dyDescent="0.25">
      <c r="A431" s="202" t="s">
        <v>92</v>
      </c>
      <c r="B431" s="216" t="s">
        <v>1680</v>
      </c>
      <c r="C431" s="217" t="s">
        <v>1034</v>
      </c>
      <c r="D431" s="120"/>
      <c r="E431" s="45">
        <f t="shared" ref="E431:E494" si="31">G431</f>
        <v>414.48</v>
      </c>
      <c r="F431" s="127">
        <f t="shared" si="29"/>
        <v>0</v>
      </c>
      <c r="G431" s="151">
        <f>'Etude de cas n°1'!D431</f>
        <v>414.48</v>
      </c>
      <c r="H431" s="218"/>
      <c r="I431" s="218"/>
      <c r="J431" s="218"/>
      <c r="K431" s="218"/>
      <c r="L431" s="218"/>
      <c r="M431" s="218"/>
      <c r="N431" s="218"/>
    </row>
    <row r="432" spans="1:14" s="99" customFormat="1" ht="13.2" x14ac:dyDescent="0.25">
      <c r="A432" s="202" t="s">
        <v>93</v>
      </c>
      <c r="B432" s="216" t="s">
        <v>1681</v>
      </c>
      <c r="C432" s="217" t="s">
        <v>1682</v>
      </c>
      <c r="D432" s="120"/>
      <c r="E432" s="45">
        <f t="shared" si="31"/>
        <v>828.96</v>
      </c>
      <c r="F432" s="127">
        <f t="shared" si="29"/>
        <v>0</v>
      </c>
      <c r="G432" s="151">
        <f>'Etude de cas n°1'!D432</f>
        <v>828.96</v>
      </c>
      <c r="H432" s="18"/>
      <c r="I432" s="18"/>
      <c r="J432" s="18"/>
      <c r="K432" s="18"/>
      <c r="L432" s="18"/>
      <c r="M432" s="18"/>
      <c r="N432" s="18"/>
    </row>
    <row r="433" spans="1:14" s="99" customFormat="1" ht="13.2" x14ac:dyDescent="0.25">
      <c r="A433" s="27" t="s">
        <v>1683</v>
      </c>
      <c r="B433" s="6" t="s">
        <v>1684</v>
      </c>
      <c r="C433" s="217"/>
      <c r="D433" s="120"/>
      <c r="E433" s="45"/>
      <c r="F433" s="127"/>
      <c r="G433" s="151"/>
      <c r="H433" s="18"/>
      <c r="I433" s="18"/>
      <c r="J433" s="18"/>
      <c r="K433" s="18"/>
      <c r="L433" s="18"/>
      <c r="M433" s="18"/>
      <c r="N433" s="18"/>
    </row>
    <row r="434" spans="1:14" s="99" customFormat="1" ht="12" customHeight="1" x14ac:dyDescent="0.25">
      <c r="A434" s="202" t="s">
        <v>106</v>
      </c>
      <c r="B434" s="216" t="s">
        <v>1685</v>
      </c>
      <c r="C434" s="217" t="s">
        <v>1141</v>
      </c>
      <c r="D434" s="120"/>
      <c r="E434" s="45">
        <f t="shared" si="31"/>
        <v>173.9</v>
      </c>
      <c r="F434" s="127">
        <f t="shared" si="29"/>
        <v>0</v>
      </c>
      <c r="G434" s="151">
        <f>'Etude de cas n°1'!D434</f>
        <v>173.9</v>
      </c>
      <c r="H434" s="18"/>
      <c r="I434" s="18"/>
      <c r="J434" s="18"/>
      <c r="K434" s="18"/>
      <c r="L434" s="18"/>
      <c r="M434" s="18"/>
      <c r="N434" s="18"/>
    </row>
    <row r="435" spans="1:14" s="99" customFormat="1" ht="13.2" x14ac:dyDescent="0.25">
      <c r="A435" s="202" t="s">
        <v>107</v>
      </c>
      <c r="B435" s="216" t="s">
        <v>1686</v>
      </c>
      <c r="C435" s="217"/>
      <c r="D435" s="120"/>
      <c r="E435" s="45">
        <f t="shared" si="31"/>
        <v>0</v>
      </c>
      <c r="F435" s="127">
        <f t="shared" si="29"/>
        <v>0</v>
      </c>
      <c r="G435" s="151">
        <f>'Etude de cas n°1'!D435</f>
        <v>0</v>
      </c>
      <c r="H435" s="18"/>
      <c r="I435" s="18"/>
      <c r="J435" s="18"/>
      <c r="K435" s="18"/>
      <c r="L435" s="18"/>
      <c r="M435" s="18"/>
      <c r="N435" s="18"/>
    </row>
    <row r="436" spans="1:14" s="97" customFormat="1" ht="13.2" x14ac:dyDescent="0.25">
      <c r="A436" s="202" t="s">
        <v>1687</v>
      </c>
      <c r="B436" s="216" t="s">
        <v>1688</v>
      </c>
      <c r="C436" s="217" t="s">
        <v>1141</v>
      </c>
      <c r="D436" s="120"/>
      <c r="E436" s="45">
        <f t="shared" si="31"/>
        <v>0</v>
      </c>
      <c r="F436" s="127">
        <f t="shared" si="29"/>
        <v>0</v>
      </c>
      <c r="G436" s="151">
        <f>'Etude de cas n°1'!D436</f>
        <v>0</v>
      </c>
      <c r="H436" s="218"/>
      <c r="I436" s="218"/>
      <c r="J436" s="218"/>
      <c r="K436" s="218"/>
      <c r="L436" s="218"/>
      <c r="M436" s="218"/>
      <c r="N436" s="218"/>
    </row>
    <row r="437" spans="1:14" s="97" customFormat="1" ht="13.2" x14ac:dyDescent="0.25">
      <c r="A437" s="202" t="s">
        <v>1689</v>
      </c>
      <c r="B437" s="216" t="s">
        <v>1690</v>
      </c>
      <c r="C437" s="217" t="s">
        <v>1141</v>
      </c>
      <c r="D437" s="120"/>
      <c r="E437" s="45">
        <f t="shared" si="31"/>
        <v>0</v>
      </c>
      <c r="F437" s="127">
        <f t="shared" si="29"/>
        <v>0</v>
      </c>
      <c r="G437" s="151">
        <f>'Etude de cas n°1'!D437</f>
        <v>0</v>
      </c>
      <c r="H437" s="218"/>
      <c r="I437" s="218"/>
      <c r="J437" s="218"/>
      <c r="K437" s="218"/>
      <c r="L437" s="218"/>
      <c r="M437" s="218"/>
      <c r="N437" s="218"/>
    </row>
    <row r="438" spans="1:14" s="97" customFormat="1" ht="13.2" x14ac:dyDescent="0.25">
      <c r="A438" s="202" t="s">
        <v>1691</v>
      </c>
      <c r="B438" s="216" t="s">
        <v>1692</v>
      </c>
      <c r="C438" s="217" t="s">
        <v>1141</v>
      </c>
      <c r="D438" s="120"/>
      <c r="E438" s="45">
        <f t="shared" si="31"/>
        <v>0</v>
      </c>
      <c r="F438" s="127">
        <f t="shared" si="29"/>
        <v>0</v>
      </c>
      <c r="G438" s="151">
        <f>'Etude de cas n°1'!D438</f>
        <v>0</v>
      </c>
      <c r="H438" s="218"/>
      <c r="I438" s="218"/>
      <c r="J438" s="218"/>
      <c r="K438" s="218"/>
      <c r="L438" s="218"/>
      <c r="M438" s="218"/>
      <c r="N438" s="218"/>
    </row>
    <row r="439" spans="1:14" s="97" customFormat="1" ht="13.2" x14ac:dyDescent="0.25">
      <c r="A439" s="202" t="s">
        <v>108</v>
      </c>
      <c r="B439" s="216" t="s">
        <v>1693</v>
      </c>
      <c r="C439" s="217" t="s">
        <v>1694</v>
      </c>
      <c r="D439" s="120"/>
      <c r="E439" s="45">
        <f t="shared" si="31"/>
        <v>347.8</v>
      </c>
      <c r="F439" s="127">
        <f t="shared" si="29"/>
        <v>0</v>
      </c>
      <c r="G439" s="151">
        <f>'Etude de cas n°1'!D439</f>
        <v>347.8</v>
      </c>
      <c r="H439" s="218"/>
      <c r="I439" s="218"/>
      <c r="J439" s="218"/>
      <c r="K439" s="218"/>
      <c r="L439" s="218"/>
      <c r="M439" s="218"/>
      <c r="N439" s="218"/>
    </row>
    <row r="440" spans="1:14" s="97" customFormat="1" ht="26.4" x14ac:dyDescent="0.25">
      <c r="A440" s="27" t="s">
        <v>1695</v>
      </c>
      <c r="B440" s="6" t="s">
        <v>1696</v>
      </c>
      <c r="C440" s="217"/>
      <c r="D440" s="120"/>
      <c r="E440" s="45"/>
      <c r="F440" s="127"/>
      <c r="G440" s="151"/>
      <c r="H440" s="218"/>
      <c r="I440" s="218"/>
      <c r="J440" s="218"/>
      <c r="K440" s="218"/>
      <c r="L440" s="218"/>
      <c r="M440" s="218"/>
      <c r="N440" s="218"/>
    </row>
    <row r="441" spans="1:14" s="97" customFormat="1" ht="13.2" x14ac:dyDescent="0.25">
      <c r="A441" s="202" t="s">
        <v>1697</v>
      </c>
      <c r="B441" s="216" t="s">
        <v>1698</v>
      </c>
      <c r="C441" s="217" t="s">
        <v>1034</v>
      </c>
      <c r="D441" s="120"/>
      <c r="E441" s="45">
        <f t="shared" si="31"/>
        <v>39.6</v>
      </c>
      <c r="F441" s="127">
        <f t="shared" si="29"/>
        <v>0</v>
      </c>
      <c r="G441" s="151">
        <f>'Etude de cas n°1'!D441</f>
        <v>39.6</v>
      </c>
      <c r="H441" s="218"/>
      <c r="I441" s="218"/>
      <c r="J441" s="218"/>
      <c r="K441" s="218"/>
      <c r="L441" s="218"/>
      <c r="M441" s="218"/>
      <c r="N441" s="218"/>
    </row>
    <row r="442" spans="1:14" s="97" customFormat="1" ht="13.2" x14ac:dyDescent="0.25">
      <c r="A442" s="202" t="s">
        <v>1699</v>
      </c>
      <c r="B442" s="216" t="s">
        <v>1700</v>
      </c>
      <c r="C442" s="217" t="s">
        <v>1034</v>
      </c>
      <c r="D442" s="120"/>
      <c r="E442" s="45">
        <f t="shared" si="31"/>
        <v>0</v>
      </c>
      <c r="F442" s="127">
        <f t="shared" si="29"/>
        <v>0</v>
      </c>
      <c r="G442" s="151">
        <f>'Etude de cas n°1'!D442</f>
        <v>0</v>
      </c>
      <c r="H442" s="218"/>
      <c r="I442" s="218"/>
      <c r="J442" s="218"/>
      <c r="K442" s="218"/>
      <c r="L442" s="218"/>
      <c r="M442" s="218"/>
      <c r="N442" s="218"/>
    </row>
    <row r="443" spans="1:14" s="97" customFormat="1" ht="13.2" x14ac:dyDescent="0.25">
      <c r="A443" s="202" t="s">
        <v>1701</v>
      </c>
      <c r="B443" s="216" t="s">
        <v>1702</v>
      </c>
      <c r="C443" s="217" t="s">
        <v>1034</v>
      </c>
      <c r="D443" s="120"/>
      <c r="E443" s="45">
        <f t="shared" si="31"/>
        <v>0</v>
      </c>
      <c r="F443" s="127">
        <f t="shared" si="29"/>
        <v>0</v>
      </c>
      <c r="G443" s="151">
        <f>'Etude de cas n°1'!D443</f>
        <v>0</v>
      </c>
      <c r="H443" s="218"/>
      <c r="I443" s="218"/>
      <c r="J443" s="218"/>
      <c r="K443" s="218"/>
      <c r="L443" s="218"/>
      <c r="M443" s="218"/>
      <c r="N443" s="218"/>
    </row>
    <row r="444" spans="1:14" s="97" customFormat="1" ht="13.2" x14ac:dyDescent="0.25">
      <c r="A444" s="27" t="s">
        <v>1703</v>
      </c>
      <c r="B444" s="6" t="s">
        <v>1704</v>
      </c>
      <c r="C444" s="217"/>
      <c r="D444" s="120"/>
      <c r="E444" s="45"/>
      <c r="F444" s="127"/>
      <c r="G444" s="151"/>
      <c r="H444" s="218"/>
      <c r="I444" s="218"/>
      <c r="J444" s="218"/>
      <c r="K444" s="218"/>
      <c r="L444" s="218"/>
      <c r="M444" s="218"/>
      <c r="N444" s="218"/>
    </row>
    <row r="445" spans="1:14" s="99" customFormat="1" ht="13.2" x14ac:dyDescent="0.25">
      <c r="A445" s="202" t="s">
        <v>1705</v>
      </c>
      <c r="B445" s="216" t="s">
        <v>1706</v>
      </c>
      <c r="C445" s="217" t="s">
        <v>1141</v>
      </c>
      <c r="D445" s="120"/>
      <c r="E445" s="45">
        <f t="shared" si="31"/>
        <v>0</v>
      </c>
      <c r="F445" s="127">
        <f t="shared" si="29"/>
        <v>0</v>
      </c>
      <c r="G445" s="151">
        <f>'Etude de cas n°1'!D445</f>
        <v>0</v>
      </c>
      <c r="H445" s="18"/>
      <c r="I445" s="18"/>
      <c r="J445" s="18"/>
      <c r="K445" s="18"/>
      <c r="L445" s="18"/>
      <c r="M445" s="18"/>
      <c r="N445" s="18"/>
    </row>
    <row r="446" spans="1:14" s="99" customFormat="1" ht="13.2" x14ac:dyDescent="0.25">
      <c r="A446" s="202" t="s">
        <v>1707</v>
      </c>
      <c r="B446" s="216" t="s">
        <v>1708</v>
      </c>
      <c r="C446" s="217" t="s">
        <v>1141</v>
      </c>
      <c r="D446" s="120"/>
      <c r="E446" s="45">
        <f t="shared" si="31"/>
        <v>0</v>
      </c>
      <c r="F446" s="127">
        <f t="shared" si="29"/>
        <v>0</v>
      </c>
      <c r="G446" s="151">
        <f>'Etude de cas n°1'!D446</f>
        <v>0</v>
      </c>
      <c r="H446" s="18"/>
      <c r="I446" s="18"/>
      <c r="J446" s="18"/>
      <c r="K446" s="18"/>
      <c r="L446" s="18"/>
      <c r="M446" s="18"/>
      <c r="N446" s="18"/>
    </row>
    <row r="447" spans="1:14" s="99" customFormat="1" ht="13.2" x14ac:dyDescent="0.25">
      <c r="A447" s="27" t="s">
        <v>1709</v>
      </c>
      <c r="B447" s="6" t="s">
        <v>1710</v>
      </c>
      <c r="C447" s="217" t="s">
        <v>1141</v>
      </c>
      <c r="D447" s="120"/>
      <c r="E447" s="45">
        <f t="shared" si="31"/>
        <v>0</v>
      </c>
      <c r="F447" s="127">
        <f t="shared" si="29"/>
        <v>0</v>
      </c>
      <c r="G447" s="151">
        <f>'Etude de cas n°1'!D447</f>
        <v>0</v>
      </c>
      <c r="H447" s="18"/>
      <c r="I447" s="18"/>
      <c r="J447" s="18"/>
      <c r="K447" s="18"/>
      <c r="L447" s="18"/>
      <c r="M447" s="18"/>
      <c r="N447" s="18"/>
    </row>
    <row r="448" spans="1:14" s="99" customFormat="1" ht="26.4" x14ac:dyDescent="0.25">
      <c r="A448" s="27" t="s">
        <v>1711</v>
      </c>
      <c r="B448" s="6" t="s">
        <v>1712</v>
      </c>
      <c r="C448" s="217" t="s">
        <v>1141</v>
      </c>
      <c r="D448" s="120"/>
      <c r="E448" s="45">
        <f t="shared" si="31"/>
        <v>0</v>
      </c>
      <c r="F448" s="127">
        <f t="shared" si="29"/>
        <v>0</v>
      </c>
      <c r="G448" s="151">
        <f>'Etude de cas n°1'!D448</f>
        <v>0</v>
      </c>
      <c r="H448" s="18"/>
      <c r="I448" s="18"/>
      <c r="J448" s="18"/>
      <c r="K448" s="18"/>
      <c r="L448" s="18"/>
      <c r="M448" s="18"/>
      <c r="N448" s="18"/>
    </row>
    <row r="449" spans="1:14" s="99" customFormat="1" ht="13.2" x14ac:dyDescent="0.25">
      <c r="A449" s="27" t="s">
        <v>1713</v>
      </c>
      <c r="B449" s="6" t="s">
        <v>1714</v>
      </c>
      <c r="C449" s="217"/>
      <c r="D449" s="120"/>
      <c r="E449" s="45"/>
      <c r="F449" s="127"/>
      <c r="G449" s="151"/>
      <c r="H449" s="18"/>
      <c r="I449" s="18"/>
      <c r="J449" s="18"/>
      <c r="K449" s="18"/>
      <c r="L449" s="18"/>
      <c r="M449" s="18"/>
      <c r="N449" s="18"/>
    </row>
    <row r="450" spans="1:14" s="99" customFormat="1" ht="13.2" x14ac:dyDescent="0.25">
      <c r="A450" s="202" t="s">
        <v>1715</v>
      </c>
      <c r="B450" s="216" t="s">
        <v>1716</v>
      </c>
      <c r="C450" s="217" t="s">
        <v>1232</v>
      </c>
      <c r="D450" s="120"/>
      <c r="E450" s="45">
        <f t="shared" si="31"/>
        <v>3.71</v>
      </c>
      <c r="F450" s="127">
        <f t="shared" si="29"/>
        <v>0</v>
      </c>
      <c r="G450" s="151">
        <f>'Etude de cas n°1'!D450</f>
        <v>3.71</v>
      </c>
      <c r="H450" s="18"/>
      <c r="I450" s="18"/>
      <c r="J450" s="18"/>
      <c r="K450" s="18"/>
      <c r="L450" s="18"/>
      <c r="M450" s="18"/>
      <c r="N450" s="18"/>
    </row>
    <row r="451" spans="1:14" s="99" customFormat="1" ht="13.2" x14ac:dyDescent="0.25">
      <c r="A451" s="202" t="s">
        <v>1717</v>
      </c>
      <c r="B451" s="216" t="s">
        <v>1718</v>
      </c>
      <c r="C451" s="217"/>
      <c r="D451" s="120"/>
      <c r="E451" s="45"/>
      <c r="F451" s="127"/>
      <c r="G451" s="151"/>
      <c r="H451" s="18"/>
      <c r="I451" s="18"/>
      <c r="J451" s="18"/>
      <c r="K451" s="18"/>
      <c r="L451" s="18"/>
      <c r="M451" s="18"/>
      <c r="N451" s="18"/>
    </row>
    <row r="452" spans="1:14" s="99" customFormat="1" ht="13.2" x14ac:dyDescent="0.25">
      <c r="A452" s="202" t="s">
        <v>1719</v>
      </c>
      <c r="B452" s="216" t="s">
        <v>1720</v>
      </c>
      <c r="C452" s="217" t="s">
        <v>1232</v>
      </c>
      <c r="D452" s="120"/>
      <c r="E452" s="45">
        <f t="shared" si="31"/>
        <v>0</v>
      </c>
      <c r="F452" s="127">
        <f t="shared" si="29"/>
        <v>0</v>
      </c>
      <c r="G452" s="151">
        <f>'Etude de cas n°1'!D452</f>
        <v>0</v>
      </c>
      <c r="H452" s="18"/>
      <c r="I452" s="18"/>
      <c r="J452" s="18"/>
      <c r="K452" s="18"/>
      <c r="L452" s="18"/>
      <c r="M452" s="18"/>
      <c r="N452" s="18"/>
    </row>
    <row r="453" spans="1:14" s="96" customFormat="1" ht="13.2" x14ac:dyDescent="0.25">
      <c r="A453" s="202" t="s">
        <v>1721</v>
      </c>
      <c r="B453" s="216" t="s">
        <v>1722</v>
      </c>
      <c r="C453" s="217" t="s">
        <v>1232</v>
      </c>
      <c r="D453" s="120"/>
      <c r="E453" s="45">
        <f t="shared" si="31"/>
        <v>34.799999999999997</v>
      </c>
      <c r="F453" s="127">
        <f t="shared" si="29"/>
        <v>0</v>
      </c>
      <c r="G453" s="151">
        <f>'Etude de cas n°1'!D453</f>
        <v>34.799999999999997</v>
      </c>
      <c r="H453" s="17"/>
      <c r="I453" s="17"/>
      <c r="J453" s="17"/>
      <c r="K453" s="17"/>
      <c r="L453" s="17"/>
      <c r="M453" s="17"/>
      <c r="N453" s="17"/>
    </row>
    <row r="454" spans="1:14" s="96" customFormat="1" ht="13.2" x14ac:dyDescent="0.25">
      <c r="A454" s="202" t="s">
        <v>1723</v>
      </c>
      <c r="B454" s="216" t="s">
        <v>1724</v>
      </c>
      <c r="C454" s="217" t="s">
        <v>1232</v>
      </c>
      <c r="D454" s="120"/>
      <c r="E454" s="45">
        <f t="shared" si="31"/>
        <v>0</v>
      </c>
      <c r="F454" s="127">
        <f t="shared" si="29"/>
        <v>0</v>
      </c>
      <c r="G454" s="151">
        <f>'Etude de cas n°1'!D454</f>
        <v>0</v>
      </c>
      <c r="H454" s="17"/>
      <c r="I454" s="17"/>
      <c r="J454" s="17"/>
      <c r="K454" s="17"/>
      <c r="L454" s="17"/>
      <c r="M454" s="17"/>
      <c r="N454" s="17"/>
    </row>
    <row r="455" spans="1:14" s="96" customFormat="1" ht="13.2" x14ac:dyDescent="0.25">
      <c r="A455" s="27" t="s">
        <v>1725</v>
      </c>
      <c r="B455" s="6" t="s">
        <v>1726</v>
      </c>
      <c r="C455" s="217"/>
      <c r="D455" s="120"/>
      <c r="E455" s="45"/>
      <c r="F455" s="127"/>
      <c r="G455" s="151"/>
      <c r="H455" s="17"/>
      <c r="I455" s="17"/>
      <c r="J455" s="17"/>
      <c r="K455" s="17"/>
      <c r="L455" s="17"/>
      <c r="M455" s="17"/>
      <c r="N455" s="17"/>
    </row>
    <row r="456" spans="1:14" s="96" customFormat="1" ht="13.2" x14ac:dyDescent="0.25">
      <c r="A456" s="202" t="s">
        <v>1727</v>
      </c>
      <c r="B456" s="216" t="s">
        <v>1728</v>
      </c>
      <c r="C456" s="217" t="s">
        <v>1232</v>
      </c>
      <c r="D456" s="120"/>
      <c r="E456" s="45">
        <f t="shared" si="31"/>
        <v>0</v>
      </c>
      <c r="F456" s="127">
        <f t="shared" ref="F456:F530" si="32">D456*E456</f>
        <v>0</v>
      </c>
      <c r="G456" s="151">
        <f>'Etude de cas n°1'!D456</f>
        <v>0</v>
      </c>
      <c r="H456" s="17"/>
      <c r="I456" s="17"/>
      <c r="J456" s="17"/>
      <c r="K456" s="17"/>
      <c r="L456" s="17"/>
      <c r="M456" s="17"/>
      <c r="N456" s="17"/>
    </row>
    <row r="457" spans="1:14" s="97" customFormat="1" ht="13.2" x14ac:dyDescent="0.25">
      <c r="A457" s="202" t="s">
        <v>1729</v>
      </c>
      <c r="B457" s="216" t="s">
        <v>1730</v>
      </c>
      <c r="C457" s="217" t="s">
        <v>1232</v>
      </c>
      <c r="D457" s="120"/>
      <c r="E457" s="45">
        <f t="shared" si="31"/>
        <v>0</v>
      </c>
      <c r="F457" s="127">
        <f t="shared" si="32"/>
        <v>0</v>
      </c>
      <c r="G457" s="151">
        <f>'Etude de cas n°1'!D457</f>
        <v>0</v>
      </c>
      <c r="H457" s="218"/>
      <c r="I457" s="218"/>
      <c r="J457" s="218"/>
      <c r="K457" s="218"/>
      <c r="L457" s="218"/>
      <c r="M457" s="218"/>
      <c r="N457" s="218"/>
    </row>
    <row r="458" spans="1:14" s="97" customFormat="1" ht="13.2" x14ac:dyDescent="0.25">
      <c r="A458" s="27" t="s">
        <v>1731</v>
      </c>
      <c r="B458" s="6" t="s">
        <v>1732</v>
      </c>
      <c r="C458" s="217" t="s">
        <v>1141</v>
      </c>
      <c r="D458" s="120"/>
      <c r="E458" s="45">
        <f t="shared" si="31"/>
        <v>0</v>
      </c>
      <c r="F458" s="127">
        <f t="shared" si="32"/>
        <v>0</v>
      </c>
      <c r="G458" s="151">
        <f>'Etude de cas n°1'!D458</f>
        <v>0</v>
      </c>
      <c r="H458" s="218"/>
      <c r="I458" s="218"/>
      <c r="J458" s="218"/>
      <c r="K458" s="218"/>
      <c r="L458" s="218"/>
      <c r="M458" s="218"/>
      <c r="N458" s="218"/>
    </row>
    <row r="459" spans="1:14" s="97" customFormat="1" ht="13.2" x14ac:dyDescent="0.25">
      <c r="A459" s="27" t="s">
        <v>1733</v>
      </c>
      <c r="B459" s="6" t="s">
        <v>1734</v>
      </c>
      <c r="C459" s="217" t="s">
        <v>1141</v>
      </c>
      <c r="D459" s="120"/>
      <c r="E459" s="45">
        <f t="shared" si="31"/>
        <v>0</v>
      </c>
      <c r="F459" s="127">
        <f t="shared" si="32"/>
        <v>0</v>
      </c>
      <c r="G459" s="151">
        <f>'Etude de cas n°1'!D459</f>
        <v>0</v>
      </c>
      <c r="H459" s="218"/>
      <c r="I459" s="218"/>
      <c r="J459" s="218"/>
      <c r="K459" s="218"/>
      <c r="L459" s="218"/>
      <c r="M459" s="218"/>
      <c r="N459" s="218"/>
    </row>
    <row r="460" spans="1:14" s="94" customFormat="1" ht="13.2" x14ac:dyDescent="0.25">
      <c r="A460" s="27" t="s">
        <v>1735</v>
      </c>
      <c r="B460" s="6" t="s">
        <v>1736</v>
      </c>
      <c r="C460" s="217"/>
      <c r="D460" s="120"/>
      <c r="E460" s="45"/>
      <c r="F460" s="127"/>
      <c r="G460" s="151"/>
      <c r="H460" s="19"/>
      <c r="I460" s="19"/>
      <c r="J460" s="19"/>
      <c r="K460" s="19"/>
      <c r="L460" s="19"/>
      <c r="M460" s="19"/>
      <c r="N460" s="19"/>
    </row>
    <row r="461" spans="1:14" s="97" customFormat="1" ht="13.2" x14ac:dyDescent="0.25">
      <c r="A461" s="202" t="s">
        <v>1737</v>
      </c>
      <c r="B461" s="216" t="s">
        <v>1738</v>
      </c>
      <c r="C461" s="217" t="s">
        <v>1141</v>
      </c>
      <c r="D461" s="120"/>
      <c r="E461" s="45">
        <f t="shared" si="31"/>
        <v>0</v>
      </c>
      <c r="F461" s="127">
        <f t="shared" si="32"/>
        <v>0</v>
      </c>
      <c r="G461" s="151">
        <f>'Etude de cas n°1'!D461</f>
        <v>0</v>
      </c>
      <c r="H461" s="218"/>
      <c r="I461" s="218"/>
      <c r="J461" s="218"/>
      <c r="K461" s="218"/>
      <c r="L461" s="218"/>
      <c r="M461" s="218"/>
      <c r="N461" s="218"/>
    </row>
    <row r="462" spans="1:14" s="97" customFormat="1" ht="13.2" x14ac:dyDescent="0.25">
      <c r="A462" s="202" t="s">
        <v>1739</v>
      </c>
      <c r="B462" s="216" t="s">
        <v>1740</v>
      </c>
      <c r="C462" s="217"/>
      <c r="D462" s="120"/>
      <c r="E462" s="45"/>
      <c r="F462" s="127"/>
      <c r="G462" s="151"/>
      <c r="H462" s="218"/>
      <c r="I462" s="218"/>
      <c r="J462" s="218"/>
      <c r="K462" s="218"/>
      <c r="L462" s="218"/>
      <c r="M462" s="218"/>
      <c r="N462" s="218"/>
    </row>
    <row r="463" spans="1:14" s="97" customFormat="1" ht="13.2" x14ac:dyDescent="0.25">
      <c r="A463" s="202" t="s">
        <v>1741</v>
      </c>
      <c r="B463" s="216" t="s">
        <v>1742</v>
      </c>
      <c r="C463" s="217" t="s">
        <v>1141</v>
      </c>
      <c r="D463" s="120"/>
      <c r="E463" s="45">
        <f t="shared" si="31"/>
        <v>0</v>
      </c>
      <c r="F463" s="127">
        <f t="shared" si="32"/>
        <v>0</v>
      </c>
      <c r="G463" s="151">
        <f>'Etude de cas n°1'!D463</f>
        <v>0</v>
      </c>
      <c r="H463" s="218"/>
      <c r="I463" s="218"/>
      <c r="J463" s="218"/>
      <c r="K463" s="218"/>
      <c r="L463" s="218"/>
      <c r="M463" s="218"/>
      <c r="N463" s="218"/>
    </row>
    <row r="464" spans="1:14" s="94" customFormat="1" ht="13.2" x14ac:dyDescent="0.25">
      <c r="A464" s="202" t="s">
        <v>1743</v>
      </c>
      <c r="B464" s="216" t="s">
        <v>1744</v>
      </c>
      <c r="C464" s="217" t="s">
        <v>1141</v>
      </c>
      <c r="D464" s="120"/>
      <c r="E464" s="45">
        <f t="shared" si="31"/>
        <v>0</v>
      </c>
      <c r="F464" s="127">
        <f t="shared" si="32"/>
        <v>0</v>
      </c>
      <c r="G464" s="151">
        <f>'Etude de cas n°1'!D464</f>
        <v>0</v>
      </c>
      <c r="H464" s="19"/>
      <c r="I464" s="19"/>
      <c r="J464" s="19"/>
      <c r="K464" s="19"/>
      <c r="L464" s="19"/>
      <c r="M464" s="19"/>
      <c r="N464" s="19"/>
    </row>
    <row r="465" spans="1:14" s="94" customFormat="1" ht="13.2" x14ac:dyDescent="0.25">
      <c r="A465" s="202" t="s">
        <v>1745</v>
      </c>
      <c r="B465" s="216" t="s">
        <v>1746</v>
      </c>
      <c r="C465" s="217"/>
      <c r="D465" s="120"/>
      <c r="E465" s="45"/>
      <c r="F465" s="127"/>
      <c r="G465" s="151"/>
      <c r="H465" s="19"/>
      <c r="I465" s="19"/>
      <c r="J465" s="19"/>
      <c r="K465" s="19"/>
      <c r="L465" s="19"/>
      <c r="M465" s="19"/>
      <c r="N465" s="19"/>
    </row>
    <row r="466" spans="1:14" s="94" customFormat="1" ht="13.2" x14ac:dyDescent="0.25">
      <c r="A466" s="202" t="s">
        <v>1747</v>
      </c>
      <c r="B466" s="216" t="s">
        <v>1748</v>
      </c>
      <c r="C466" s="217" t="s">
        <v>1232</v>
      </c>
      <c r="D466" s="120"/>
      <c r="E466" s="45">
        <f t="shared" si="31"/>
        <v>0</v>
      </c>
      <c r="F466" s="127">
        <f t="shared" si="32"/>
        <v>0</v>
      </c>
      <c r="G466" s="151">
        <f>'Etude de cas n°1'!D466</f>
        <v>0</v>
      </c>
      <c r="H466" s="19"/>
      <c r="I466" s="19"/>
      <c r="J466" s="19"/>
      <c r="K466" s="19"/>
      <c r="L466" s="19"/>
      <c r="M466" s="19"/>
      <c r="N466" s="19"/>
    </row>
    <row r="467" spans="1:14" s="94" customFormat="1" ht="13.2" x14ac:dyDescent="0.25">
      <c r="A467" s="202" t="s">
        <v>1749</v>
      </c>
      <c r="B467" s="216" t="s">
        <v>1750</v>
      </c>
      <c r="C467" s="217" t="s">
        <v>1232</v>
      </c>
      <c r="D467" s="120"/>
      <c r="E467" s="45">
        <f t="shared" si="31"/>
        <v>0</v>
      </c>
      <c r="F467" s="127">
        <f t="shared" si="32"/>
        <v>0</v>
      </c>
      <c r="G467" s="151">
        <f>'Etude de cas n°1'!D467</f>
        <v>0</v>
      </c>
      <c r="H467" s="19"/>
      <c r="I467" s="19"/>
      <c r="J467" s="19"/>
      <c r="K467" s="19"/>
      <c r="L467" s="19"/>
      <c r="M467" s="19"/>
      <c r="N467" s="19"/>
    </row>
    <row r="468" spans="1:14" s="94" customFormat="1" ht="13.2" x14ac:dyDescent="0.25">
      <c r="A468" s="202" t="s">
        <v>1751</v>
      </c>
      <c r="B468" s="216" t="s">
        <v>1752</v>
      </c>
      <c r="C468" s="217" t="s">
        <v>1232</v>
      </c>
      <c r="D468" s="120"/>
      <c r="E468" s="45">
        <f t="shared" si="31"/>
        <v>0</v>
      </c>
      <c r="F468" s="127">
        <f t="shared" si="32"/>
        <v>0</v>
      </c>
      <c r="G468" s="151">
        <f>'Etude de cas n°1'!D468</f>
        <v>0</v>
      </c>
      <c r="H468" s="19"/>
      <c r="I468" s="19"/>
      <c r="J468" s="19"/>
      <c r="K468" s="19"/>
      <c r="L468" s="19"/>
      <c r="M468" s="19"/>
      <c r="N468" s="19"/>
    </row>
    <row r="469" spans="1:14" s="94" customFormat="1" ht="17.25" customHeight="1" x14ac:dyDescent="0.25">
      <c r="A469" s="202" t="s">
        <v>1753</v>
      </c>
      <c r="B469" s="216" t="s">
        <v>1754</v>
      </c>
      <c r="C469" s="217" t="s">
        <v>1232</v>
      </c>
      <c r="D469" s="120"/>
      <c r="E469" s="45">
        <f t="shared" si="31"/>
        <v>0</v>
      </c>
      <c r="F469" s="127">
        <f t="shared" si="32"/>
        <v>0</v>
      </c>
      <c r="G469" s="151">
        <f>'Etude de cas n°1'!D469</f>
        <v>0</v>
      </c>
      <c r="H469" s="19"/>
      <c r="I469" s="19"/>
      <c r="J469" s="19"/>
      <c r="K469" s="19"/>
      <c r="L469" s="19"/>
      <c r="M469" s="19"/>
      <c r="N469" s="19"/>
    </row>
    <row r="470" spans="1:14" s="94" customFormat="1" ht="13.2" x14ac:dyDescent="0.25">
      <c r="A470" s="202" t="s">
        <v>1755</v>
      </c>
      <c r="B470" s="216" t="s">
        <v>1756</v>
      </c>
      <c r="C470" s="217" t="s">
        <v>1232</v>
      </c>
      <c r="D470" s="120"/>
      <c r="E470" s="45">
        <f t="shared" si="31"/>
        <v>0</v>
      </c>
      <c r="F470" s="127">
        <f t="shared" si="32"/>
        <v>0</v>
      </c>
      <c r="G470" s="151">
        <f>'Etude de cas n°1'!D470</f>
        <v>0</v>
      </c>
      <c r="H470" s="19"/>
      <c r="I470" s="19"/>
      <c r="J470" s="19"/>
      <c r="K470" s="19"/>
      <c r="L470" s="19"/>
      <c r="M470" s="19"/>
      <c r="N470" s="19"/>
    </row>
    <row r="471" spans="1:14" s="94" customFormat="1" ht="12.75" customHeight="1" x14ac:dyDescent="0.25">
      <c r="A471" s="202" t="s">
        <v>1757</v>
      </c>
      <c r="B471" s="216" t="s">
        <v>1758</v>
      </c>
      <c r="C471" s="217"/>
      <c r="D471" s="120"/>
      <c r="E471" s="45"/>
      <c r="F471" s="127"/>
      <c r="G471" s="151"/>
      <c r="H471" s="19"/>
      <c r="I471" s="19"/>
      <c r="J471" s="19"/>
      <c r="K471" s="19"/>
      <c r="L471" s="19"/>
      <c r="M471" s="19"/>
      <c r="N471" s="19"/>
    </row>
    <row r="472" spans="1:14" s="94" customFormat="1" ht="13.2" x14ac:dyDescent="0.25">
      <c r="A472" s="202" t="s">
        <v>1759</v>
      </c>
      <c r="B472" s="216" t="s">
        <v>1760</v>
      </c>
      <c r="C472" s="217" t="s">
        <v>1232</v>
      </c>
      <c r="D472" s="120"/>
      <c r="E472" s="45">
        <f t="shared" si="31"/>
        <v>3.71</v>
      </c>
      <c r="F472" s="127">
        <f t="shared" si="32"/>
        <v>0</v>
      </c>
      <c r="G472" s="151">
        <f>'Etude de cas n°1'!D472</f>
        <v>3.71</v>
      </c>
      <c r="H472" s="19"/>
      <c r="I472" s="19"/>
      <c r="J472" s="19"/>
      <c r="K472" s="19"/>
      <c r="L472" s="19"/>
      <c r="M472" s="19"/>
      <c r="N472" s="19"/>
    </row>
    <row r="473" spans="1:14" s="94" customFormat="1" ht="13.2" x14ac:dyDescent="0.25">
      <c r="A473" s="202" t="s">
        <v>1761</v>
      </c>
      <c r="B473" s="216" t="s">
        <v>1762</v>
      </c>
      <c r="C473" s="217" t="s">
        <v>1232</v>
      </c>
      <c r="D473" s="120"/>
      <c r="E473" s="45">
        <f t="shared" si="31"/>
        <v>34.799999999999997</v>
      </c>
      <c r="F473" s="127">
        <f t="shared" si="32"/>
        <v>0</v>
      </c>
      <c r="G473" s="151">
        <f>'Etude de cas n°1'!D473</f>
        <v>34.799999999999997</v>
      </c>
      <c r="H473" s="19"/>
      <c r="I473" s="19"/>
      <c r="J473" s="19"/>
      <c r="K473" s="19"/>
      <c r="L473" s="19"/>
      <c r="M473" s="19"/>
      <c r="N473" s="19"/>
    </row>
    <row r="474" spans="1:14" s="94" customFormat="1" ht="13.2" x14ac:dyDescent="0.25">
      <c r="A474" s="202" t="s">
        <v>1763</v>
      </c>
      <c r="B474" s="216" t="s">
        <v>1764</v>
      </c>
      <c r="C474" s="217" t="s">
        <v>1232</v>
      </c>
      <c r="D474" s="120"/>
      <c r="E474" s="45">
        <f t="shared" si="31"/>
        <v>0</v>
      </c>
      <c r="F474" s="127">
        <f t="shared" si="32"/>
        <v>0</v>
      </c>
      <c r="G474" s="151">
        <f>'Etude de cas n°1'!D474</f>
        <v>0</v>
      </c>
      <c r="H474" s="19"/>
      <c r="I474" s="19"/>
      <c r="J474" s="19"/>
      <c r="K474" s="19"/>
      <c r="L474" s="19"/>
      <c r="M474" s="19"/>
      <c r="N474" s="19"/>
    </row>
    <row r="475" spans="1:14" s="94" customFormat="1" ht="13.2" x14ac:dyDescent="0.25">
      <c r="A475" s="202" t="s">
        <v>1765</v>
      </c>
      <c r="B475" s="216" t="s">
        <v>1766</v>
      </c>
      <c r="C475" s="217" t="s">
        <v>1232</v>
      </c>
      <c r="D475" s="120"/>
      <c r="E475" s="45">
        <f t="shared" si="31"/>
        <v>0</v>
      </c>
      <c r="F475" s="127">
        <f t="shared" si="32"/>
        <v>0</v>
      </c>
      <c r="G475" s="151">
        <f>'Etude de cas n°1'!D475</f>
        <v>0</v>
      </c>
      <c r="H475" s="19"/>
      <c r="I475" s="19"/>
      <c r="J475" s="19"/>
      <c r="K475" s="19"/>
      <c r="L475" s="19"/>
      <c r="M475" s="19"/>
      <c r="N475" s="19"/>
    </row>
    <row r="476" spans="1:14" s="94" customFormat="1" ht="15.75" customHeight="1" x14ac:dyDescent="0.25">
      <c r="A476" s="202" t="s">
        <v>1767</v>
      </c>
      <c r="B476" s="216" t="s">
        <v>1768</v>
      </c>
      <c r="C476" s="217" t="s">
        <v>1141</v>
      </c>
      <c r="D476" s="120"/>
      <c r="E476" s="45">
        <f t="shared" si="31"/>
        <v>0</v>
      </c>
      <c r="F476" s="127">
        <f t="shared" si="32"/>
        <v>0</v>
      </c>
      <c r="G476" s="151">
        <f>'Etude de cas n°1'!D476</f>
        <v>0</v>
      </c>
      <c r="H476" s="19"/>
      <c r="I476" s="19"/>
      <c r="J476" s="19"/>
      <c r="K476" s="19"/>
      <c r="L476" s="19"/>
      <c r="M476" s="19"/>
      <c r="N476" s="19"/>
    </row>
    <row r="477" spans="1:14" s="94" customFormat="1" ht="13.2" x14ac:dyDescent="0.25">
      <c r="A477" s="202" t="s">
        <v>1769</v>
      </c>
      <c r="B477" s="216" t="s">
        <v>1770</v>
      </c>
      <c r="C477" s="217" t="s">
        <v>1232</v>
      </c>
      <c r="D477" s="120"/>
      <c r="E477" s="45">
        <f t="shared" si="31"/>
        <v>0</v>
      </c>
      <c r="F477" s="127">
        <f t="shared" si="32"/>
        <v>0</v>
      </c>
      <c r="G477" s="151">
        <f>'Etude de cas n°1'!D477</f>
        <v>0</v>
      </c>
      <c r="H477" s="19"/>
      <c r="I477" s="19"/>
      <c r="J477" s="19"/>
      <c r="K477" s="19"/>
      <c r="L477" s="19"/>
      <c r="M477" s="19"/>
      <c r="N477" s="19"/>
    </row>
    <row r="478" spans="1:14" s="94" customFormat="1" ht="13.2" x14ac:dyDescent="0.25">
      <c r="A478" s="202" t="s">
        <v>1771</v>
      </c>
      <c r="B478" s="216" t="s">
        <v>1772</v>
      </c>
      <c r="C478" s="217" t="s">
        <v>1141</v>
      </c>
      <c r="D478" s="120"/>
      <c r="E478" s="45">
        <f t="shared" si="31"/>
        <v>0</v>
      </c>
      <c r="F478" s="127">
        <f t="shared" si="32"/>
        <v>0</v>
      </c>
      <c r="G478" s="151">
        <f>'Etude de cas n°1'!D478</f>
        <v>0</v>
      </c>
      <c r="H478" s="19"/>
      <c r="I478" s="19"/>
      <c r="J478" s="19"/>
      <c r="K478" s="19"/>
      <c r="L478" s="19"/>
      <c r="M478" s="19"/>
      <c r="N478" s="19"/>
    </row>
    <row r="479" spans="1:14" s="94" customFormat="1" ht="13.2" x14ac:dyDescent="0.25">
      <c r="A479" s="202" t="s">
        <v>1773</v>
      </c>
      <c r="B479" s="216" t="s">
        <v>1774</v>
      </c>
      <c r="C479" s="217" t="s">
        <v>1141</v>
      </c>
      <c r="D479" s="120"/>
      <c r="E479" s="45">
        <f t="shared" si="31"/>
        <v>0</v>
      </c>
      <c r="F479" s="127">
        <f t="shared" si="32"/>
        <v>0</v>
      </c>
      <c r="G479" s="151">
        <f>'Etude de cas n°1'!D479</f>
        <v>0</v>
      </c>
      <c r="H479" s="19"/>
      <c r="I479" s="19"/>
      <c r="J479" s="19"/>
      <c r="K479" s="19"/>
      <c r="L479" s="19"/>
      <c r="M479" s="19"/>
      <c r="N479" s="19"/>
    </row>
    <row r="480" spans="1:14" s="94" customFormat="1" ht="13.2" x14ac:dyDescent="0.25">
      <c r="A480" s="202" t="s">
        <v>1775</v>
      </c>
      <c r="B480" s="216" t="s">
        <v>1776</v>
      </c>
      <c r="C480" s="217" t="s">
        <v>1034</v>
      </c>
      <c r="D480" s="120"/>
      <c r="E480" s="45">
        <f t="shared" si="31"/>
        <v>0</v>
      </c>
      <c r="F480" s="127">
        <f t="shared" si="32"/>
        <v>0</v>
      </c>
      <c r="G480" s="151">
        <f>'Etude de cas n°1'!D480</f>
        <v>0</v>
      </c>
      <c r="H480" s="19"/>
      <c r="I480" s="19"/>
      <c r="J480" s="19"/>
      <c r="K480" s="19"/>
      <c r="L480" s="19"/>
      <c r="M480" s="19"/>
      <c r="N480" s="19"/>
    </row>
    <row r="481" spans="1:14" s="94" customFormat="1" ht="13.2" x14ac:dyDescent="0.25">
      <c r="A481" s="202" t="s">
        <v>1777</v>
      </c>
      <c r="B481" s="216" t="s">
        <v>1778</v>
      </c>
      <c r="C481" s="217"/>
      <c r="D481" s="120"/>
      <c r="E481" s="45"/>
      <c r="F481" s="127"/>
      <c r="G481" s="151"/>
      <c r="H481" s="19"/>
      <c r="I481" s="19"/>
      <c r="J481" s="19"/>
      <c r="K481" s="19"/>
      <c r="L481" s="19"/>
      <c r="M481" s="19"/>
      <c r="N481" s="19"/>
    </row>
    <row r="482" spans="1:14" s="97" customFormat="1" ht="13.2" x14ac:dyDescent="0.25">
      <c r="A482" s="202" t="s">
        <v>1779</v>
      </c>
      <c r="B482" s="216" t="s">
        <v>1780</v>
      </c>
      <c r="C482" s="217" t="s">
        <v>1141</v>
      </c>
      <c r="D482" s="120"/>
      <c r="E482" s="45">
        <f t="shared" si="31"/>
        <v>0</v>
      </c>
      <c r="F482" s="127">
        <f t="shared" si="32"/>
        <v>0</v>
      </c>
      <c r="G482" s="151">
        <f>'Etude de cas n°1'!D482</f>
        <v>0</v>
      </c>
      <c r="H482" s="218"/>
      <c r="I482" s="218"/>
      <c r="J482" s="218"/>
      <c r="K482" s="218"/>
      <c r="L482" s="218"/>
      <c r="M482" s="218"/>
      <c r="N482" s="218"/>
    </row>
    <row r="483" spans="1:14" s="97" customFormat="1" ht="13.2" x14ac:dyDescent="0.25">
      <c r="A483" s="202" t="s">
        <v>1781</v>
      </c>
      <c r="B483" s="216" t="s">
        <v>1782</v>
      </c>
      <c r="C483" s="217" t="s">
        <v>1141</v>
      </c>
      <c r="D483" s="120"/>
      <c r="E483" s="45">
        <f t="shared" si="31"/>
        <v>0</v>
      </c>
      <c r="F483" s="127">
        <f t="shared" si="32"/>
        <v>0</v>
      </c>
      <c r="G483" s="151">
        <f>'Etude de cas n°1'!D483</f>
        <v>0</v>
      </c>
      <c r="H483" s="218"/>
      <c r="I483" s="218"/>
      <c r="J483" s="218"/>
      <c r="K483" s="218"/>
      <c r="L483" s="218"/>
      <c r="M483" s="218"/>
      <c r="N483" s="218"/>
    </row>
    <row r="484" spans="1:14" s="97" customFormat="1" ht="13.2" x14ac:dyDescent="0.25">
      <c r="A484" s="202" t="s">
        <v>1783</v>
      </c>
      <c r="B484" s="216" t="s">
        <v>1784</v>
      </c>
      <c r="C484" s="217" t="s">
        <v>1141</v>
      </c>
      <c r="D484" s="120"/>
      <c r="E484" s="45">
        <f t="shared" si="31"/>
        <v>0</v>
      </c>
      <c r="F484" s="127">
        <f t="shared" si="32"/>
        <v>0</v>
      </c>
      <c r="G484" s="151">
        <f>'Etude de cas n°1'!D484</f>
        <v>0</v>
      </c>
      <c r="H484" s="218"/>
      <c r="I484" s="218"/>
      <c r="J484" s="218"/>
      <c r="K484" s="218"/>
      <c r="L484" s="218"/>
      <c r="M484" s="218"/>
      <c r="N484" s="218"/>
    </row>
    <row r="485" spans="1:14" s="97" customFormat="1" ht="13.2" x14ac:dyDescent="0.25">
      <c r="A485" s="202" t="s">
        <v>1785</v>
      </c>
      <c r="B485" s="192" t="s">
        <v>4344</v>
      </c>
      <c r="C485" s="217" t="s">
        <v>1141</v>
      </c>
      <c r="D485" s="120"/>
      <c r="E485" s="45">
        <f t="shared" si="31"/>
        <v>0</v>
      </c>
      <c r="F485" s="127">
        <f>D485*E485</f>
        <v>0</v>
      </c>
      <c r="G485" s="151">
        <f>'Etude de cas n°1'!D485</f>
        <v>0</v>
      </c>
      <c r="H485" s="218"/>
      <c r="I485" s="218"/>
      <c r="J485" s="218"/>
      <c r="K485" s="218"/>
      <c r="L485" s="218"/>
      <c r="M485" s="218"/>
      <c r="N485" s="218"/>
    </row>
    <row r="486" spans="1:14" s="97" customFormat="1" ht="13.2" x14ac:dyDescent="0.25">
      <c r="A486" s="202" t="s">
        <v>1786</v>
      </c>
      <c r="B486" s="192" t="s">
        <v>1787</v>
      </c>
      <c r="C486" s="217" t="s">
        <v>1141</v>
      </c>
      <c r="D486" s="120"/>
      <c r="E486" s="45">
        <f t="shared" si="31"/>
        <v>0</v>
      </c>
      <c r="F486" s="127">
        <f>D486*E486</f>
        <v>0</v>
      </c>
      <c r="G486" s="151">
        <f>'Etude de cas n°1'!D486</f>
        <v>0</v>
      </c>
      <c r="H486" s="218"/>
      <c r="I486" s="218"/>
      <c r="J486" s="218"/>
      <c r="K486" s="218"/>
      <c r="L486" s="218"/>
      <c r="M486" s="218"/>
      <c r="N486" s="218"/>
    </row>
    <row r="487" spans="1:14" s="97" customFormat="1" ht="13.2" x14ac:dyDescent="0.25">
      <c r="A487" s="202" t="s">
        <v>1788</v>
      </c>
      <c r="B487" s="216" t="s">
        <v>4345</v>
      </c>
      <c r="C487" s="217" t="s">
        <v>1141</v>
      </c>
      <c r="D487" s="120"/>
      <c r="E487" s="45">
        <f t="shared" si="31"/>
        <v>0</v>
      </c>
      <c r="F487" s="127">
        <f t="shared" si="32"/>
        <v>0</v>
      </c>
      <c r="G487" s="151">
        <f>'Etude de cas n°1'!D487</f>
        <v>0</v>
      </c>
      <c r="H487" s="218"/>
      <c r="I487" s="218"/>
      <c r="J487" s="218"/>
      <c r="K487" s="218"/>
      <c r="L487" s="218"/>
      <c r="M487" s="218"/>
      <c r="N487" s="218"/>
    </row>
    <row r="488" spans="1:14" s="97" customFormat="1" ht="13.2" x14ac:dyDescent="0.25">
      <c r="A488" s="202" t="s">
        <v>4346</v>
      </c>
      <c r="B488" s="192" t="s">
        <v>4355</v>
      </c>
      <c r="C488" s="217" t="s">
        <v>1141</v>
      </c>
      <c r="D488" s="120"/>
      <c r="E488" s="45">
        <f t="shared" si="31"/>
        <v>0</v>
      </c>
      <c r="F488" s="127">
        <f>D488*E488</f>
        <v>0</v>
      </c>
      <c r="G488" s="151">
        <f>'Etude de cas n°1'!D488</f>
        <v>0</v>
      </c>
      <c r="H488" s="218"/>
      <c r="I488" s="218"/>
      <c r="J488" s="218"/>
      <c r="K488" s="218"/>
      <c r="L488" s="218"/>
      <c r="M488" s="218"/>
      <c r="N488" s="218"/>
    </row>
    <row r="489" spans="1:14" s="97" customFormat="1" ht="13.2" x14ac:dyDescent="0.25">
      <c r="A489" s="202" t="s">
        <v>4347</v>
      </c>
      <c r="B489" s="192" t="s">
        <v>4349</v>
      </c>
      <c r="C489" s="217" t="s">
        <v>1141</v>
      </c>
      <c r="D489" s="120"/>
      <c r="E489" s="45">
        <f t="shared" si="31"/>
        <v>0</v>
      </c>
      <c r="F489" s="127">
        <f>D489*E489</f>
        <v>0</v>
      </c>
      <c r="G489" s="151">
        <f>'Etude de cas n°1'!D489</f>
        <v>0</v>
      </c>
      <c r="H489" s="218"/>
      <c r="I489" s="218"/>
      <c r="J489" s="218"/>
      <c r="K489" s="218"/>
      <c r="L489" s="218"/>
      <c r="M489" s="218"/>
      <c r="N489" s="218"/>
    </row>
    <row r="490" spans="1:14" s="97" customFormat="1" ht="13.2" x14ac:dyDescent="0.25">
      <c r="A490" s="202" t="s">
        <v>4354</v>
      </c>
      <c r="B490" s="192" t="s">
        <v>4348</v>
      </c>
      <c r="C490" s="217" t="s">
        <v>1141</v>
      </c>
      <c r="D490" s="120"/>
      <c r="E490" s="45">
        <f t="shared" si="31"/>
        <v>0</v>
      </c>
      <c r="F490" s="127">
        <f>D490*E490</f>
        <v>0</v>
      </c>
      <c r="G490" s="151">
        <f>'Etude de cas n°1'!D490</f>
        <v>0</v>
      </c>
      <c r="H490" s="218"/>
      <c r="I490" s="218"/>
      <c r="J490" s="218"/>
      <c r="K490" s="218"/>
      <c r="L490" s="218"/>
      <c r="M490" s="218"/>
      <c r="N490" s="218"/>
    </row>
    <row r="491" spans="1:14" s="97" customFormat="1" ht="13.2" x14ac:dyDescent="0.25">
      <c r="A491" s="202" t="s">
        <v>1789</v>
      </c>
      <c r="B491" s="216" t="s">
        <v>1790</v>
      </c>
      <c r="C491" s="217" t="s">
        <v>1141</v>
      </c>
      <c r="D491" s="120"/>
      <c r="E491" s="45">
        <f t="shared" si="31"/>
        <v>0</v>
      </c>
      <c r="F491" s="127">
        <f t="shared" si="32"/>
        <v>0</v>
      </c>
      <c r="G491" s="151">
        <f>'Etude de cas n°1'!D491</f>
        <v>0</v>
      </c>
      <c r="H491" s="218"/>
      <c r="I491" s="218"/>
      <c r="J491" s="218"/>
      <c r="K491" s="218"/>
      <c r="L491" s="218"/>
      <c r="M491" s="218"/>
      <c r="N491" s="218"/>
    </row>
    <row r="492" spans="1:14" s="97" customFormat="1" ht="13.2" x14ac:dyDescent="0.25">
      <c r="A492" s="202" t="s">
        <v>1791</v>
      </c>
      <c r="B492" s="216" t="s">
        <v>1792</v>
      </c>
      <c r="C492" s="217" t="s">
        <v>1141</v>
      </c>
      <c r="D492" s="120"/>
      <c r="E492" s="45">
        <f t="shared" si="31"/>
        <v>0</v>
      </c>
      <c r="F492" s="127">
        <f>D492*E492</f>
        <v>0</v>
      </c>
      <c r="G492" s="151">
        <f>'Etude de cas n°1'!D492</f>
        <v>0</v>
      </c>
      <c r="H492" s="218"/>
      <c r="I492" s="218"/>
      <c r="J492" s="218"/>
      <c r="K492" s="218"/>
      <c r="L492" s="218"/>
      <c r="M492" s="218"/>
      <c r="N492" s="218"/>
    </row>
    <row r="493" spans="1:14" s="97" customFormat="1" ht="13.2" x14ac:dyDescent="0.25">
      <c r="A493" s="202" t="s">
        <v>1793</v>
      </c>
      <c r="B493" s="216" t="s">
        <v>1794</v>
      </c>
      <c r="C493" s="217" t="s">
        <v>1141</v>
      </c>
      <c r="D493" s="120"/>
      <c r="E493" s="45">
        <f t="shared" si="31"/>
        <v>0</v>
      </c>
      <c r="F493" s="127">
        <f t="shared" si="32"/>
        <v>0</v>
      </c>
      <c r="G493" s="151">
        <f>'Etude de cas n°1'!D493</f>
        <v>0</v>
      </c>
      <c r="H493" s="218"/>
      <c r="I493" s="218"/>
      <c r="J493" s="218"/>
      <c r="K493" s="218"/>
      <c r="L493" s="218"/>
      <c r="M493" s="218"/>
      <c r="N493" s="218"/>
    </row>
    <row r="494" spans="1:14" s="94" customFormat="1" ht="13.2" x14ac:dyDescent="0.25">
      <c r="A494" s="202" t="s">
        <v>1795</v>
      </c>
      <c r="B494" s="216" t="s">
        <v>1796</v>
      </c>
      <c r="C494" s="217" t="s">
        <v>1141</v>
      </c>
      <c r="D494" s="120"/>
      <c r="E494" s="45">
        <f t="shared" si="31"/>
        <v>0</v>
      </c>
      <c r="F494" s="127">
        <f t="shared" si="32"/>
        <v>0</v>
      </c>
      <c r="G494" s="151">
        <f>'Etude de cas n°1'!D494</f>
        <v>0</v>
      </c>
      <c r="H494" s="19"/>
      <c r="I494" s="19"/>
      <c r="J494" s="19"/>
      <c r="K494" s="19"/>
      <c r="L494" s="19"/>
      <c r="M494" s="19"/>
      <c r="N494" s="19"/>
    </row>
    <row r="495" spans="1:14" s="97" customFormat="1" ht="13.2" x14ac:dyDescent="0.25">
      <c r="A495" s="202" t="s">
        <v>1797</v>
      </c>
      <c r="B495" s="216" t="s">
        <v>1798</v>
      </c>
      <c r="C495" s="217" t="s">
        <v>1141</v>
      </c>
      <c r="D495" s="120"/>
      <c r="E495" s="45">
        <f t="shared" ref="E495:E558" si="33">G495</f>
        <v>0</v>
      </c>
      <c r="F495" s="127">
        <f t="shared" si="32"/>
        <v>0</v>
      </c>
      <c r="G495" s="151">
        <f>'Etude de cas n°1'!D495</f>
        <v>0</v>
      </c>
      <c r="H495" s="218"/>
      <c r="I495" s="218"/>
      <c r="J495" s="218"/>
      <c r="K495" s="218"/>
      <c r="L495" s="218"/>
      <c r="M495" s="218"/>
      <c r="N495" s="218"/>
    </row>
    <row r="496" spans="1:14" s="97" customFormat="1" ht="13.2" x14ac:dyDescent="0.25">
      <c r="A496" s="202" t="s">
        <v>1799</v>
      </c>
      <c r="B496" s="216" t="s">
        <v>4351</v>
      </c>
      <c r="C496" s="217" t="s">
        <v>1141</v>
      </c>
      <c r="D496" s="120"/>
      <c r="E496" s="45">
        <f t="shared" si="33"/>
        <v>0</v>
      </c>
      <c r="F496" s="127">
        <f>D496*E496</f>
        <v>0</v>
      </c>
      <c r="G496" s="151">
        <f>'Etude de cas n°1'!D496</f>
        <v>0</v>
      </c>
      <c r="H496" s="218"/>
      <c r="I496" s="218"/>
      <c r="J496" s="218"/>
      <c r="K496" s="218"/>
      <c r="L496" s="218"/>
      <c r="M496" s="218"/>
      <c r="N496" s="218"/>
    </row>
    <row r="497" spans="1:14" s="97" customFormat="1" ht="26.4" x14ac:dyDescent="0.25">
      <c r="A497" s="202" t="s">
        <v>1800</v>
      </c>
      <c r="B497" s="216" t="s">
        <v>1801</v>
      </c>
      <c r="C497" s="217"/>
      <c r="D497" s="120"/>
      <c r="E497" s="45"/>
      <c r="F497" s="127"/>
      <c r="G497" s="151"/>
      <c r="H497" s="218"/>
      <c r="I497" s="218"/>
      <c r="J497" s="218"/>
      <c r="K497" s="218"/>
      <c r="L497" s="218"/>
      <c r="M497" s="218"/>
      <c r="N497" s="218"/>
    </row>
    <row r="498" spans="1:14" s="97" customFormat="1" ht="13.2" x14ac:dyDescent="0.25">
      <c r="A498" s="202" t="s">
        <v>1802</v>
      </c>
      <c r="B498" s="216" t="s">
        <v>1803</v>
      </c>
      <c r="C498" s="217" t="s">
        <v>1804</v>
      </c>
      <c r="D498" s="120"/>
      <c r="E498" s="45">
        <f t="shared" si="33"/>
        <v>45.21</v>
      </c>
      <c r="F498" s="127">
        <f t="shared" si="32"/>
        <v>0</v>
      </c>
      <c r="G498" s="151">
        <f>'Etude de cas n°1'!D498</f>
        <v>45.21</v>
      </c>
      <c r="H498" s="218"/>
      <c r="I498" s="218"/>
      <c r="J498" s="218"/>
      <c r="K498" s="218"/>
      <c r="L498" s="218"/>
      <c r="M498" s="218"/>
      <c r="N498" s="218"/>
    </row>
    <row r="499" spans="1:14" s="97" customFormat="1" ht="13.2" x14ac:dyDescent="0.25">
      <c r="A499" s="202" t="s">
        <v>1805</v>
      </c>
      <c r="B499" s="216" t="s">
        <v>1806</v>
      </c>
      <c r="C499" s="217" t="s">
        <v>1804</v>
      </c>
      <c r="D499" s="120"/>
      <c r="E499" s="45">
        <f t="shared" si="33"/>
        <v>0</v>
      </c>
      <c r="F499" s="127">
        <f t="shared" si="32"/>
        <v>0</v>
      </c>
      <c r="G499" s="151">
        <f>'Etude de cas n°1'!D499</f>
        <v>0</v>
      </c>
      <c r="H499" s="218"/>
      <c r="I499" s="218"/>
      <c r="J499" s="218"/>
      <c r="K499" s="218"/>
      <c r="L499" s="218"/>
      <c r="M499" s="218"/>
      <c r="N499" s="218"/>
    </row>
    <row r="500" spans="1:14" s="97" customFormat="1" ht="13.2" x14ac:dyDescent="0.25">
      <c r="A500" s="202" t="s">
        <v>1807</v>
      </c>
      <c r="B500" s="216" t="s">
        <v>1808</v>
      </c>
      <c r="C500" s="217" t="s">
        <v>1804</v>
      </c>
      <c r="D500" s="120"/>
      <c r="E500" s="45">
        <f t="shared" si="33"/>
        <v>0</v>
      </c>
      <c r="F500" s="127">
        <f t="shared" si="32"/>
        <v>0</v>
      </c>
      <c r="G500" s="151">
        <f>'Etude de cas n°1'!D500</f>
        <v>0</v>
      </c>
      <c r="H500" s="218"/>
      <c r="I500" s="218"/>
      <c r="J500" s="218"/>
      <c r="K500" s="218"/>
      <c r="L500" s="218"/>
      <c r="M500" s="218"/>
      <c r="N500" s="218"/>
    </row>
    <row r="501" spans="1:14" s="97" customFormat="1" ht="13.2" x14ac:dyDescent="0.25">
      <c r="A501" s="202" t="s">
        <v>1809</v>
      </c>
      <c r="B501" s="216" t="s">
        <v>1810</v>
      </c>
      <c r="C501" s="217" t="s">
        <v>1804</v>
      </c>
      <c r="D501" s="120"/>
      <c r="E501" s="45">
        <f t="shared" si="33"/>
        <v>1.93</v>
      </c>
      <c r="F501" s="127">
        <f t="shared" si="32"/>
        <v>0</v>
      </c>
      <c r="G501" s="151">
        <f>'Etude de cas n°1'!D501</f>
        <v>1.93</v>
      </c>
      <c r="H501" s="218"/>
      <c r="I501" s="218"/>
      <c r="J501" s="218"/>
      <c r="K501" s="218"/>
      <c r="L501" s="218"/>
      <c r="M501" s="218"/>
      <c r="N501" s="218"/>
    </row>
    <row r="502" spans="1:14" s="97" customFormat="1" ht="13.2" x14ac:dyDescent="0.25">
      <c r="A502" s="202" t="s">
        <v>1811</v>
      </c>
      <c r="B502" s="216" t="s">
        <v>1812</v>
      </c>
      <c r="C502" s="217" t="s">
        <v>1804</v>
      </c>
      <c r="D502" s="120"/>
      <c r="E502" s="45">
        <f t="shared" si="33"/>
        <v>0</v>
      </c>
      <c r="F502" s="127">
        <f t="shared" si="32"/>
        <v>0</v>
      </c>
      <c r="G502" s="151">
        <f>'Etude de cas n°1'!D502</f>
        <v>0</v>
      </c>
      <c r="H502" s="218"/>
      <c r="I502" s="218"/>
      <c r="J502" s="218"/>
      <c r="K502" s="218"/>
      <c r="L502" s="218"/>
      <c r="M502" s="218"/>
      <c r="N502" s="218"/>
    </row>
    <row r="503" spans="1:14" s="97" customFormat="1" ht="13.2" x14ac:dyDescent="0.25">
      <c r="A503" s="202" t="s">
        <v>1813</v>
      </c>
      <c r="B503" s="216" t="s">
        <v>1814</v>
      </c>
      <c r="C503" s="217" t="s">
        <v>1804</v>
      </c>
      <c r="D503" s="120"/>
      <c r="E503" s="45">
        <f t="shared" si="33"/>
        <v>0</v>
      </c>
      <c r="F503" s="127">
        <f t="shared" si="32"/>
        <v>0</v>
      </c>
      <c r="G503" s="151">
        <f>'Etude de cas n°1'!D503</f>
        <v>0</v>
      </c>
      <c r="H503" s="218"/>
      <c r="I503" s="218"/>
      <c r="J503" s="218"/>
      <c r="K503" s="218"/>
      <c r="L503" s="218"/>
      <c r="M503" s="218"/>
      <c r="N503" s="218"/>
    </row>
    <row r="504" spans="1:14" s="97" customFormat="1" ht="13.2" x14ac:dyDescent="0.25">
      <c r="A504" s="202" t="s">
        <v>1815</v>
      </c>
      <c r="B504" s="216" t="s">
        <v>1816</v>
      </c>
      <c r="C504" s="217" t="s">
        <v>1804</v>
      </c>
      <c r="D504" s="120"/>
      <c r="E504" s="45">
        <f t="shared" si="33"/>
        <v>0</v>
      </c>
      <c r="F504" s="127">
        <f t="shared" si="32"/>
        <v>0</v>
      </c>
      <c r="G504" s="151">
        <f>'Etude de cas n°1'!D504</f>
        <v>0</v>
      </c>
      <c r="H504" s="218"/>
      <c r="I504" s="218"/>
      <c r="J504" s="218"/>
      <c r="K504" s="218"/>
      <c r="L504" s="218"/>
      <c r="M504" s="218"/>
      <c r="N504" s="218"/>
    </row>
    <row r="505" spans="1:14" s="97" customFormat="1" ht="13.2" x14ac:dyDescent="0.25">
      <c r="A505" s="202" t="s">
        <v>1817</v>
      </c>
      <c r="B505" s="216" t="s">
        <v>1818</v>
      </c>
      <c r="C505" s="217" t="s">
        <v>1804</v>
      </c>
      <c r="D505" s="120"/>
      <c r="E505" s="45">
        <f t="shared" si="33"/>
        <v>0</v>
      </c>
      <c r="F505" s="127">
        <f t="shared" si="32"/>
        <v>0</v>
      </c>
      <c r="G505" s="151">
        <f>'Etude de cas n°1'!D505</f>
        <v>0</v>
      </c>
      <c r="H505" s="218"/>
      <c r="I505" s="218"/>
      <c r="J505" s="218"/>
      <c r="K505" s="218"/>
      <c r="L505" s="218"/>
      <c r="M505" s="218"/>
      <c r="N505" s="218"/>
    </row>
    <row r="506" spans="1:14" s="97" customFormat="1" ht="13.2" x14ac:dyDescent="0.25">
      <c r="A506" s="202" t="s">
        <v>1819</v>
      </c>
      <c r="B506" s="216" t="s">
        <v>1820</v>
      </c>
      <c r="C506" s="217" t="s">
        <v>1804</v>
      </c>
      <c r="D506" s="120"/>
      <c r="E506" s="45">
        <f t="shared" si="33"/>
        <v>0</v>
      </c>
      <c r="F506" s="127">
        <f>D506*E506</f>
        <v>0</v>
      </c>
      <c r="G506" s="151">
        <f>'Etude de cas n°1'!D506</f>
        <v>0</v>
      </c>
      <c r="H506" s="218"/>
      <c r="I506" s="218"/>
      <c r="J506" s="218"/>
      <c r="K506" s="218"/>
      <c r="L506" s="218"/>
      <c r="M506" s="218"/>
      <c r="N506" s="218"/>
    </row>
    <row r="507" spans="1:14" s="97" customFormat="1" ht="13.2" x14ac:dyDescent="0.25">
      <c r="A507" s="202" t="s">
        <v>1821</v>
      </c>
      <c r="B507" s="216" t="s">
        <v>1822</v>
      </c>
      <c r="C507" s="217" t="s">
        <v>1804</v>
      </c>
      <c r="D507" s="120"/>
      <c r="E507" s="45">
        <f t="shared" si="33"/>
        <v>0</v>
      </c>
      <c r="F507" s="127">
        <f t="shared" si="32"/>
        <v>0</v>
      </c>
      <c r="G507" s="151">
        <f>'Etude de cas n°1'!D507</f>
        <v>0</v>
      </c>
      <c r="H507" s="218"/>
      <c r="I507" s="218"/>
      <c r="J507" s="218"/>
      <c r="K507" s="218"/>
      <c r="L507" s="218"/>
      <c r="M507" s="218"/>
      <c r="N507" s="218"/>
    </row>
    <row r="508" spans="1:14" s="97" customFormat="1" ht="13.2" x14ac:dyDescent="0.25">
      <c r="A508" s="202" t="s">
        <v>1823</v>
      </c>
      <c r="B508" s="216" t="s">
        <v>1824</v>
      </c>
      <c r="C508" s="217" t="s">
        <v>1804</v>
      </c>
      <c r="D508" s="120"/>
      <c r="E508" s="45">
        <f t="shared" si="33"/>
        <v>0</v>
      </c>
      <c r="F508" s="127">
        <f t="shared" si="32"/>
        <v>0</v>
      </c>
      <c r="G508" s="151">
        <f>'Etude de cas n°1'!D508</f>
        <v>0</v>
      </c>
      <c r="H508" s="218"/>
      <c r="I508" s="218"/>
      <c r="J508" s="218"/>
      <c r="K508" s="218"/>
      <c r="L508" s="218"/>
      <c r="M508" s="218"/>
      <c r="N508" s="218"/>
    </row>
    <row r="509" spans="1:14" s="97" customFormat="1" ht="13.2" x14ac:dyDescent="0.25">
      <c r="A509" s="202" t="s">
        <v>1825</v>
      </c>
      <c r="B509" s="216" t="s">
        <v>1826</v>
      </c>
      <c r="C509" s="217" t="s">
        <v>1804</v>
      </c>
      <c r="D509" s="120"/>
      <c r="E509" s="45">
        <f t="shared" si="33"/>
        <v>0</v>
      </c>
      <c r="F509" s="127">
        <f t="shared" si="32"/>
        <v>0</v>
      </c>
      <c r="G509" s="151">
        <f>'Etude de cas n°1'!D509</f>
        <v>0</v>
      </c>
      <c r="H509" s="218"/>
      <c r="I509" s="218"/>
      <c r="J509" s="218"/>
      <c r="K509" s="218"/>
      <c r="L509" s="218"/>
      <c r="M509" s="218"/>
      <c r="N509" s="218"/>
    </row>
    <row r="510" spans="1:14" s="97" customFormat="1" ht="13.2" x14ac:dyDescent="0.25">
      <c r="A510" s="202" t="s">
        <v>1827</v>
      </c>
      <c r="B510" s="216" t="s">
        <v>1828</v>
      </c>
      <c r="C510" s="217" t="s">
        <v>1804</v>
      </c>
      <c r="D510" s="120"/>
      <c r="E510" s="45">
        <f t="shared" si="33"/>
        <v>0</v>
      </c>
      <c r="F510" s="127">
        <f>D510*E510</f>
        <v>0</v>
      </c>
      <c r="G510" s="151">
        <f>'Etude de cas n°1'!D510</f>
        <v>0</v>
      </c>
      <c r="H510" s="218"/>
      <c r="I510" s="218"/>
      <c r="J510" s="218"/>
      <c r="K510" s="218"/>
      <c r="L510" s="218"/>
      <c r="M510" s="218"/>
      <c r="N510" s="218"/>
    </row>
    <row r="511" spans="1:14" s="97" customFormat="1" ht="13.2" x14ac:dyDescent="0.25">
      <c r="A511" s="202" t="s">
        <v>1829</v>
      </c>
      <c r="B511" s="216" t="s">
        <v>1830</v>
      </c>
      <c r="C511" s="217" t="s">
        <v>1804</v>
      </c>
      <c r="D511" s="120"/>
      <c r="E511" s="45">
        <f t="shared" si="33"/>
        <v>0</v>
      </c>
      <c r="F511" s="127">
        <f>D511*E511</f>
        <v>0</v>
      </c>
      <c r="G511" s="151">
        <f>'Etude de cas n°1'!D511</f>
        <v>0</v>
      </c>
      <c r="H511" s="218"/>
      <c r="I511" s="218"/>
      <c r="J511" s="218"/>
      <c r="K511" s="218"/>
      <c r="L511" s="218"/>
      <c r="M511" s="218"/>
      <c r="N511" s="218"/>
    </row>
    <row r="512" spans="1:14" s="97" customFormat="1" ht="13.2" x14ac:dyDescent="0.25">
      <c r="A512" s="202" t="s">
        <v>1831</v>
      </c>
      <c r="B512" s="216" t="s">
        <v>1832</v>
      </c>
      <c r="C512" s="217" t="s">
        <v>1141</v>
      </c>
      <c r="D512" s="120"/>
      <c r="E512" s="45">
        <f t="shared" si="33"/>
        <v>0</v>
      </c>
      <c r="F512" s="127">
        <f>D512*E512</f>
        <v>0</v>
      </c>
      <c r="G512" s="151">
        <f>'Etude de cas n°1'!D512</f>
        <v>0</v>
      </c>
      <c r="H512" s="218"/>
      <c r="I512" s="218"/>
      <c r="J512" s="218"/>
      <c r="K512" s="218"/>
      <c r="L512" s="218"/>
      <c r="M512" s="218"/>
      <c r="N512" s="218"/>
    </row>
    <row r="513" spans="1:14" s="97" customFormat="1" ht="13.2" x14ac:dyDescent="0.25">
      <c r="A513" s="202" t="s">
        <v>1833</v>
      </c>
      <c r="B513" s="216" t="s">
        <v>1834</v>
      </c>
      <c r="C513" s="217" t="s">
        <v>1141</v>
      </c>
      <c r="D513" s="120"/>
      <c r="E513" s="45">
        <f t="shared" si="33"/>
        <v>0</v>
      </c>
      <c r="F513" s="127">
        <f>D513*E513</f>
        <v>0</v>
      </c>
      <c r="G513" s="151">
        <f>'Etude de cas n°1'!D513</f>
        <v>0</v>
      </c>
      <c r="H513" s="218"/>
      <c r="I513" s="218"/>
      <c r="J513" s="218"/>
      <c r="K513" s="218"/>
      <c r="L513" s="218"/>
      <c r="M513" s="218"/>
      <c r="N513" s="218"/>
    </row>
    <row r="514" spans="1:14" s="97" customFormat="1" ht="13.2" x14ac:dyDescent="0.25">
      <c r="A514" s="202" t="s">
        <v>1835</v>
      </c>
      <c r="B514" s="216" t="s">
        <v>1836</v>
      </c>
      <c r="C514" s="217" t="s">
        <v>1804</v>
      </c>
      <c r="D514" s="120"/>
      <c r="E514" s="45">
        <f t="shared" si="33"/>
        <v>0</v>
      </c>
      <c r="F514" s="127">
        <f t="shared" si="32"/>
        <v>0</v>
      </c>
      <c r="G514" s="151">
        <f>'Etude de cas n°1'!D514</f>
        <v>0</v>
      </c>
      <c r="H514" s="218"/>
      <c r="I514" s="218"/>
      <c r="J514" s="218"/>
      <c r="K514" s="218"/>
      <c r="L514" s="218"/>
      <c r="M514" s="218"/>
      <c r="N514" s="218"/>
    </row>
    <row r="515" spans="1:14" s="97" customFormat="1" ht="13.2" x14ac:dyDescent="0.25">
      <c r="A515" s="202" t="s">
        <v>1837</v>
      </c>
      <c r="B515" s="216" t="s">
        <v>1838</v>
      </c>
      <c r="C515" s="217" t="s">
        <v>1804</v>
      </c>
      <c r="D515" s="120"/>
      <c r="E515" s="45">
        <f t="shared" si="33"/>
        <v>0</v>
      </c>
      <c r="F515" s="127">
        <f t="shared" si="32"/>
        <v>0</v>
      </c>
      <c r="G515" s="151">
        <f>'Etude de cas n°1'!D515</f>
        <v>0</v>
      </c>
      <c r="H515" s="218"/>
      <c r="I515" s="218"/>
      <c r="J515" s="218"/>
      <c r="K515" s="218"/>
      <c r="L515" s="218"/>
      <c r="M515" s="218"/>
      <c r="N515" s="218"/>
    </row>
    <row r="516" spans="1:14" s="97" customFormat="1" ht="13.2" x14ac:dyDescent="0.25">
      <c r="A516" s="202" t="s">
        <v>1839</v>
      </c>
      <c r="B516" s="216" t="s">
        <v>1840</v>
      </c>
      <c r="C516" s="217" t="s">
        <v>1804</v>
      </c>
      <c r="D516" s="120"/>
      <c r="E516" s="45">
        <f t="shared" si="33"/>
        <v>0</v>
      </c>
      <c r="F516" s="127">
        <f t="shared" si="32"/>
        <v>0</v>
      </c>
      <c r="G516" s="151">
        <f>'Etude de cas n°1'!D516</f>
        <v>0</v>
      </c>
      <c r="H516" s="218"/>
      <c r="I516" s="218"/>
      <c r="J516" s="218"/>
      <c r="K516" s="218"/>
      <c r="L516" s="218"/>
      <c r="M516" s="218"/>
      <c r="N516" s="218"/>
    </row>
    <row r="517" spans="1:14" s="97" customFormat="1" ht="13.2" x14ac:dyDescent="0.25">
      <c r="A517" s="202" t="s">
        <v>1841</v>
      </c>
      <c r="B517" s="216" t="s">
        <v>1842</v>
      </c>
      <c r="C517" s="217" t="s">
        <v>1804</v>
      </c>
      <c r="D517" s="120"/>
      <c r="E517" s="45">
        <f t="shared" si="33"/>
        <v>0</v>
      </c>
      <c r="F517" s="127">
        <f t="shared" si="32"/>
        <v>0</v>
      </c>
      <c r="G517" s="151">
        <f>'Etude de cas n°1'!D517</f>
        <v>0</v>
      </c>
      <c r="H517" s="218"/>
      <c r="I517" s="218"/>
      <c r="J517" s="218"/>
      <c r="K517" s="218"/>
      <c r="L517" s="218"/>
      <c r="M517" s="218"/>
      <c r="N517" s="218"/>
    </row>
    <row r="518" spans="1:14" s="97" customFormat="1" ht="26.4" x14ac:dyDescent="0.25">
      <c r="A518" s="202" t="s">
        <v>1843</v>
      </c>
      <c r="B518" s="216" t="s">
        <v>1844</v>
      </c>
      <c r="C518" s="217" t="s">
        <v>1804</v>
      </c>
      <c r="D518" s="120"/>
      <c r="E518" s="45">
        <f t="shared" si="33"/>
        <v>0</v>
      </c>
      <c r="F518" s="127">
        <f t="shared" si="32"/>
        <v>0</v>
      </c>
      <c r="G518" s="151">
        <f>'Etude de cas n°1'!D518</f>
        <v>0</v>
      </c>
      <c r="H518" s="218"/>
      <c r="I518" s="218"/>
      <c r="J518" s="218"/>
      <c r="K518" s="218"/>
      <c r="L518" s="218"/>
      <c r="M518" s="218"/>
      <c r="N518" s="218"/>
    </row>
    <row r="519" spans="1:14" s="97" customFormat="1" ht="26.4" x14ac:dyDescent="0.25">
      <c r="A519" s="202" t="s">
        <v>1845</v>
      </c>
      <c r="B519" s="216" t="s">
        <v>1846</v>
      </c>
      <c r="C519" s="217"/>
      <c r="D519" s="120"/>
      <c r="E519" s="45"/>
      <c r="F519" s="127"/>
      <c r="G519" s="151"/>
      <c r="H519" s="218"/>
      <c r="I519" s="218"/>
      <c r="J519" s="218"/>
      <c r="K519" s="218"/>
      <c r="L519" s="218"/>
      <c r="M519" s="218"/>
      <c r="N519" s="218"/>
    </row>
    <row r="520" spans="1:14" s="97" customFormat="1" ht="13.2" x14ac:dyDescent="0.25">
      <c r="A520" s="202" t="s">
        <v>1847</v>
      </c>
      <c r="B520" s="216" t="s">
        <v>1848</v>
      </c>
      <c r="C520" s="217" t="s">
        <v>1804</v>
      </c>
      <c r="D520" s="120"/>
      <c r="E520" s="45">
        <f t="shared" si="33"/>
        <v>0</v>
      </c>
      <c r="F520" s="127">
        <f t="shared" si="32"/>
        <v>0</v>
      </c>
      <c r="G520" s="151">
        <f>'Etude de cas n°1'!D520</f>
        <v>0</v>
      </c>
      <c r="H520" s="218"/>
      <c r="I520" s="218"/>
      <c r="J520" s="218"/>
      <c r="K520" s="218"/>
      <c r="L520" s="218"/>
      <c r="M520" s="218"/>
      <c r="N520" s="218"/>
    </row>
    <row r="521" spans="1:14" s="97" customFormat="1" ht="13.2" x14ac:dyDescent="0.25">
      <c r="A521" s="202" t="s">
        <v>1849</v>
      </c>
      <c r="B521" s="216" t="s">
        <v>1850</v>
      </c>
      <c r="C521" s="217" t="s">
        <v>1804</v>
      </c>
      <c r="D521" s="120"/>
      <c r="E521" s="45">
        <f t="shared" si="33"/>
        <v>0</v>
      </c>
      <c r="F521" s="127">
        <f t="shared" si="32"/>
        <v>0</v>
      </c>
      <c r="G521" s="151">
        <f>'Etude de cas n°1'!D521</f>
        <v>0</v>
      </c>
      <c r="H521" s="218"/>
      <c r="I521" s="218"/>
      <c r="J521" s="218"/>
      <c r="K521" s="218"/>
      <c r="L521" s="218"/>
      <c r="M521" s="218"/>
      <c r="N521" s="218"/>
    </row>
    <row r="522" spans="1:14" s="97" customFormat="1" ht="13.2" x14ac:dyDescent="0.25">
      <c r="A522" s="202" t="s">
        <v>1851</v>
      </c>
      <c r="B522" s="216" t="s">
        <v>1852</v>
      </c>
      <c r="C522" s="217" t="s">
        <v>1141</v>
      </c>
      <c r="D522" s="120"/>
      <c r="E522" s="45">
        <f t="shared" si="33"/>
        <v>0</v>
      </c>
      <c r="F522" s="127">
        <f t="shared" si="32"/>
        <v>0</v>
      </c>
      <c r="G522" s="151">
        <f>'Etude de cas n°1'!D522</f>
        <v>0</v>
      </c>
      <c r="H522" s="218"/>
      <c r="I522" s="218"/>
      <c r="J522" s="218"/>
      <c r="K522" s="218"/>
      <c r="L522" s="218"/>
      <c r="M522" s="218"/>
      <c r="N522" s="218"/>
    </row>
    <row r="523" spans="1:14" s="97" customFormat="1" ht="13.2" x14ac:dyDescent="0.25">
      <c r="A523" s="202" t="s">
        <v>1853</v>
      </c>
      <c r="B523" s="216" t="s">
        <v>1854</v>
      </c>
      <c r="C523" s="217"/>
      <c r="D523" s="120"/>
      <c r="E523" s="45"/>
      <c r="F523" s="127"/>
      <c r="G523" s="151"/>
      <c r="H523" s="218"/>
      <c r="I523" s="218"/>
      <c r="J523" s="218"/>
      <c r="K523" s="218"/>
      <c r="L523" s="218"/>
      <c r="M523" s="218"/>
      <c r="N523" s="218"/>
    </row>
    <row r="524" spans="1:14" s="97" customFormat="1" ht="13.2" x14ac:dyDescent="0.25">
      <c r="A524" s="202" t="s">
        <v>1855</v>
      </c>
      <c r="B524" s="216" t="s">
        <v>1856</v>
      </c>
      <c r="C524" s="217" t="s">
        <v>1141</v>
      </c>
      <c r="D524" s="120"/>
      <c r="E524" s="45">
        <f t="shared" si="33"/>
        <v>0</v>
      </c>
      <c r="F524" s="127">
        <f t="shared" si="32"/>
        <v>0</v>
      </c>
      <c r="G524" s="151">
        <f>'Etude de cas n°1'!D524</f>
        <v>0</v>
      </c>
      <c r="H524" s="218"/>
      <c r="I524" s="218"/>
      <c r="J524" s="218"/>
      <c r="K524" s="218"/>
      <c r="L524" s="218"/>
      <c r="M524" s="218"/>
      <c r="N524" s="218"/>
    </row>
    <row r="525" spans="1:14" s="97" customFormat="1" ht="13.2" x14ac:dyDescent="0.25">
      <c r="A525" s="202" t="s">
        <v>1857</v>
      </c>
      <c r="B525" s="216" t="s">
        <v>1858</v>
      </c>
      <c r="C525" s="217" t="s">
        <v>1141</v>
      </c>
      <c r="D525" s="120"/>
      <c r="E525" s="45">
        <f t="shared" si="33"/>
        <v>0</v>
      </c>
      <c r="F525" s="127">
        <f t="shared" si="32"/>
        <v>0</v>
      </c>
      <c r="G525" s="151">
        <f>'Etude de cas n°1'!D525</f>
        <v>0</v>
      </c>
      <c r="H525" s="218"/>
      <c r="I525" s="218"/>
      <c r="J525" s="218"/>
      <c r="K525" s="218"/>
      <c r="L525" s="218"/>
      <c r="M525" s="218"/>
      <c r="N525" s="218"/>
    </row>
    <row r="526" spans="1:14" s="97" customFormat="1" ht="13.2" x14ac:dyDescent="0.25">
      <c r="A526" s="202" t="s">
        <v>1859</v>
      </c>
      <c r="B526" s="216" t="s">
        <v>1860</v>
      </c>
      <c r="C526" s="217" t="s">
        <v>1141</v>
      </c>
      <c r="D526" s="120"/>
      <c r="E526" s="45">
        <f t="shared" si="33"/>
        <v>0</v>
      </c>
      <c r="F526" s="127">
        <f t="shared" si="32"/>
        <v>0</v>
      </c>
      <c r="G526" s="151">
        <f>'Etude de cas n°1'!D526</f>
        <v>0</v>
      </c>
      <c r="H526" s="218"/>
      <c r="I526" s="218"/>
      <c r="J526" s="218"/>
      <c r="K526" s="218"/>
      <c r="L526" s="218"/>
      <c r="M526" s="218"/>
      <c r="N526" s="218"/>
    </row>
    <row r="527" spans="1:14" s="94" customFormat="1" ht="13.2" x14ac:dyDescent="0.25">
      <c r="A527" s="202" t="s">
        <v>1861</v>
      </c>
      <c r="B527" s="216" t="s">
        <v>1862</v>
      </c>
      <c r="C527" s="217"/>
      <c r="D527" s="120"/>
      <c r="E527" s="45"/>
      <c r="F527" s="127"/>
      <c r="G527" s="151"/>
      <c r="H527" s="19"/>
      <c r="I527" s="19"/>
      <c r="J527" s="19"/>
      <c r="K527" s="19"/>
      <c r="L527" s="19"/>
      <c r="M527" s="19"/>
      <c r="N527" s="19"/>
    </row>
    <row r="528" spans="1:14" s="94" customFormat="1" ht="13.2" x14ac:dyDescent="0.25">
      <c r="A528" s="202" t="s">
        <v>1863</v>
      </c>
      <c r="B528" s="216" t="s">
        <v>1856</v>
      </c>
      <c r="C528" s="217" t="s">
        <v>1804</v>
      </c>
      <c r="D528" s="120"/>
      <c r="E528" s="45">
        <f t="shared" si="33"/>
        <v>0</v>
      </c>
      <c r="F528" s="127">
        <f t="shared" si="32"/>
        <v>0</v>
      </c>
      <c r="G528" s="151">
        <f>'Etude de cas n°1'!D528</f>
        <v>0</v>
      </c>
      <c r="H528" s="19"/>
      <c r="I528" s="19"/>
      <c r="J528" s="19"/>
      <c r="K528" s="19"/>
      <c r="L528" s="19"/>
      <c r="M528" s="19"/>
      <c r="N528" s="19"/>
    </row>
    <row r="529" spans="1:14" s="94" customFormat="1" ht="13.2" x14ac:dyDescent="0.25">
      <c r="A529" s="202" t="s">
        <v>1864</v>
      </c>
      <c r="B529" s="216" t="s">
        <v>1858</v>
      </c>
      <c r="C529" s="217" t="s">
        <v>1804</v>
      </c>
      <c r="D529" s="120"/>
      <c r="E529" s="45">
        <f t="shared" si="33"/>
        <v>0</v>
      </c>
      <c r="F529" s="127">
        <f t="shared" si="32"/>
        <v>0</v>
      </c>
      <c r="G529" s="151">
        <f>'Etude de cas n°1'!D529</f>
        <v>0</v>
      </c>
      <c r="H529" s="19"/>
      <c r="I529" s="19"/>
      <c r="J529" s="19"/>
      <c r="K529" s="19"/>
      <c r="L529" s="19"/>
      <c r="M529" s="19"/>
      <c r="N529" s="19"/>
    </row>
    <row r="530" spans="1:14" s="94" customFormat="1" ht="13.2" x14ac:dyDescent="0.25">
      <c r="A530" s="202" t="s">
        <v>1865</v>
      </c>
      <c r="B530" s="216" t="s">
        <v>1866</v>
      </c>
      <c r="C530" s="217" t="s">
        <v>1141</v>
      </c>
      <c r="D530" s="120"/>
      <c r="E530" s="45">
        <f t="shared" si="33"/>
        <v>0</v>
      </c>
      <c r="F530" s="127">
        <f t="shared" si="32"/>
        <v>0</v>
      </c>
      <c r="G530" s="151">
        <f>'Etude de cas n°1'!D530</f>
        <v>0</v>
      </c>
      <c r="H530" s="19"/>
      <c r="I530" s="19"/>
      <c r="J530" s="19"/>
      <c r="K530" s="19"/>
      <c r="L530" s="19"/>
      <c r="M530" s="19"/>
      <c r="N530" s="19"/>
    </row>
    <row r="531" spans="1:14" s="94" customFormat="1" ht="13.2" x14ac:dyDescent="0.25">
      <c r="A531" s="202" t="s">
        <v>1867</v>
      </c>
      <c r="B531" s="216" t="s">
        <v>1868</v>
      </c>
      <c r="C531" s="217" t="s">
        <v>1141</v>
      </c>
      <c r="D531" s="120"/>
      <c r="E531" s="45">
        <f t="shared" si="33"/>
        <v>0</v>
      </c>
      <c r="F531" s="127">
        <f t="shared" ref="F531:F597" si="34">D531*E531</f>
        <v>0</v>
      </c>
      <c r="G531" s="151">
        <f>'Etude de cas n°1'!D531</f>
        <v>0</v>
      </c>
      <c r="H531" s="19"/>
      <c r="I531" s="19"/>
      <c r="J531" s="19"/>
      <c r="K531" s="19"/>
      <c r="L531" s="19"/>
      <c r="M531" s="19"/>
      <c r="N531" s="19"/>
    </row>
    <row r="532" spans="1:14" s="94" customFormat="1" ht="13.2" x14ac:dyDescent="0.25">
      <c r="A532" s="202" t="s">
        <v>1869</v>
      </c>
      <c r="B532" s="216" t="s">
        <v>1870</v>
      </c>
      <c r="C532" s="217" t="s">
        <v>1694</v>
      </c>
      <c r="D532" s="120"/>
      <c r="E532" s="45">
        <f t="shared" si="33"/>
        <v>0</v>
      </c>
      <c r="F532" s="127">
        <f t="shared" si="34"/>
        <v>0</v>
      </c>
      <c r="G532" s="151">
        <f>'Etude de cas n°1'!D532</f>
        <v>0</v>
      </c>
      <c r="H532" s="19"/>
      <c r="I532" s="19"/>
      <c r="J532" s="19"/>
      <c r="K532" s="19"/>
      <c r="L532" s="19"/>
      <c r="M532" s="19"/>
      <c r="N532" s="19"/>
    </row>
    <row r="533" spans="1:14" s="94" customFormat="1" ht="13.2" x14ac:dyDescent="0.25">
      <c r="A533" s="202" t="s">
        <v>1871</v>
      </c>
      <c r="B533" s="192" t="s">
        <v>1872</v>
      </c>
      <c r="C533" s="217" t="s">
        <v>1141</v>
      </c>
      <c r="D533" s="120"/>
      <c r="E533" s="45">
        <f t="shared" si="33"/>
        <v>0</v>
      </c>
      <c r="F533" s="127">
        <f>D533*E533</f>
        <v>0</v>
      </c>
      <c r="G533" s="151">
        <f>'Etude de cas n°1'!D533</f>
        <v>0</v>
      </c>
      <c r="H533" s="19"/>
      <c r="I533" s="19"/>
      <c r="J533" s="19"/>
      <c r="K533" s="19"/>
      <c r="L533" s="19"/>
      <c r="M533" s="19"/>
      <c r="N533" s="19"/>
    </row>
    <row r="534" spans="1:14" s="94" customFormat="1" ht="13.2" x14ac:dyDescent="0.25">
      <c r="A534" s="202" t="s">
        <v>1873</v>
      </c>
      <c r="B534" s="192" t="s">
        <v>1874</v>
      </c>
      <c r="C534" s="217" t="s">
        <v>1141</v>
      </c>
      <c r="D534" s="120"/>
      <c r="E534" s="45">
        <f t="shared" si="33"/>
        <v>0</v>
      </c>
      <c r="F534" s="127">
        <f>D534*E534</f>
        <v>0</v>
      </c>
      <c r="G534" s="151">
        <f>'Etude de cas n°1'!D534</f>
        <v>0</v>
      </c>
      <c r="H534" s="19"/>
      <c r="I534" s="19"/>
      <c r="J534" s="19"/>
      <c r="K534" s="19"/>
      <c r="L534" s="19"/>
      <c r="M534" s="19"/>
      <c r="N534" s="19"/>
    </row>
    <row r="535" spans="1:14" s="94" customFormat="1" ht="13.2" x14ac:dyDescent="0.25">
      <c r="A535" s="202" t="s">
        <v>1875</v>
      </c>
      <c r="B535" s="216" t="s">
        <v>1876</v>
      </c>
      <c r="C535" s="217"/>
      <c r="D535" s="120"/>
      <c r="E535" s="45"/>
      <c r="F535" s="127"/>
      <c r="G535" s="151"/>
      <c r="H535" s="19"/>
      <c r="I535" s="19"/>
      <c r="J535" s="19"/>
      <c r="K535" s="19"/>
      <c r="L535" s="19"/>
      <c r="M535" s="19"/>
      <c r="N535" s="19"/>
    </row>
    <row r="536" spans="1:14" s="94" customFormat="1" ht="26.4" x14ac:dyDescent="0.25">
      <c r="A536" s="202" t="s">
        <v>1877</v>
      </c>
      <c r="B536" s="216" t="s">
        <v>1878</v>
      </c>
      <c r="C536" s="217" t="s">
        <v>1034</v>
      </c>
      <c r="D536" s="120"/>
      <c r="E536" s="45">
        <f t="shared" si="33"/>
        <v>0</v>
      </c>
      <c r="F536" s="127">
        <f t="shared" si="34"/>
        <v>0</v>
      </c>
      <c r="G536" s="151">
        <f>'Etude de cas n°1'!D536</f>
        <v>0</v>
      </c>
      <c r="H536" s="19"/>
      <c r="I536" s="19"/>
      <c r="J536" s="19"/>
      <c r="K536" s="19"/>
      <c r="L536" s="19"/>
      <c r="M536" s="19"/>
      <c r="N536" s="19"/>
    </row>
    <row r="537" spans="1:14" s="98" customFormat="1" ht="26.4" x14ac:dyDescent="0.25">
      <c r="A537" s="202" t="s">
        <v>1879</v>
      </c>
      <c r="B537" s="216" t="s">
        <v>1880</v>
      </c>
      <c r="C537" s="217" t="s">
        <v>1034</v>
      </c>
      <c r="D537" s="120"/>
      <c r="E537" s="45">
        <f t="shared" si="33"/>
        <v>0</v>
      </c>
      <c r="F537" s="127">
        <f t="shared" si="34"/>
        <v>0</v>
      </c>
      <c r="G537" s="151">
        <f>'Etude de cas n°1'!D537</f>
        <v>0</v>
      </c>
      <c r="H537" s="220"/>
      <c r="I537" s="220"/>
      <c r="J537" s="220"/>
      <c r="K537" s="220"/>
      <c r="L537" s="220"/>
      <c r="M537" s="220"/>
      <c r="N537" s="220"/>
    </row>
    <row r="538" spans="1:14" s="98" customFormat="1" ht="13.2" x14ac:dyDescent="0.25">
      <c r="A538" s="202" t="s">
        <v>1881</v>
      </c>
      <c r="B538" s="216" t="s">
        <v>1882</v>
      </c>
      <c r="C538" s="217" t="s">
        <v>1883</v>
      </c>
      <c r="D538" s="120"/>
      <c r="E538" s="45"/>
      <c r="F538" s="127"/>
      <c r="G538" s="151"/>
      <c r="H538" s="220"/>
      <c r="I538" s="220"/>
      <c r="J538" s="220"/>
      <c r="K538" s="220"/>
      <c r="L538" s="220"/>
      <c r="M538" s="220"/>
      <c r="N538" s="220"/>
    </row>
    <row r="539" spans="1:14" s="100" customFormat="1" ht="13.2" x14ac:dyDescent="0.25">
      <c r="A539" s="202" t="s">
        <v>1884</v>
      </c>
      <c r="B539" s="216" t="s">
        <v>1885</v>
      </c>
      <c r="C539" s="217" t="s">
        <v>1034</v>
      </c>
      <c r="D539" s="120"/>
      <c r="E539" s="45">
        <f t="shared" si="33"/>
        <v>0</v>
      </c>
      <c r="F539" s="127">
        <f t="shared" si="34"/>
        <v>0</v>
      </c>
      <c r="G539" s="151">
        <f>'Etude de cas n°1'!D539</f>
        <v>0</v>
      </c>
      <c r="H539" s="176"/>
      <c r="I539" s="176"/>
      <c r="J539" s="176"/>
      <c r="K539" s="176"/>
      <c r="L539" s="176"/>
      <c r="M539" s="176"/>
      <c r="N539" s="176"/>
    </row>
    <row r="540" spans="1:14" s="100" customFormat="1" ht="13.2" x14ac:dyDescent="0.25">
      <c r="A540" s="202" t="s">
        <v>1886</v>
      </c>
      <c r="B540" s="228" t="s">
        <v>1887</v>
      </c>
      <c r="C540" s="217" t="s">
        <v>1034</v>
      </c>
      <c r="D540" s="120"/>
      <c r="E540" s="45">
        <f t="shared" si="33"/>
        <v>0</v>
      </c>
      <c r="F540" s="127">
        <f>D540*E540</f>
        <v>0</v>
      </c>
      <c r="G540" s="151">
        <f>'Etude de cas n°1'!D540</f>
        <v>0</v>
      </c>
      <c r="H540" s="176"/>
      <c r="I540" s="176"/>
      <c r="J540" s="176"/>
      <c r="K540" s="176"/>
      <c r="L540" s="176"/>
      <c r="M540" s="176"/>
      <c r="N540" s="176"/>
    </row>
    <row r="541" spans="1:14" s="100" customFormat="1" ht="13.2" x14ac:dyDescent="0.25">
      <c r="A541" s="202" t="s">
        <v>1888</v>
      </c>
      <c r="B541" s="228" t="s">
        <v>1889</v>
      </c>
      <c r="C541" s="217" t="s">
        <v>1034</v>
      </c>
      <c r="D541" s="120"/>
      <c r="E541" s="45">
        <f t="shared" si="33"/>
        <v>0</v>
      </c>
      <c r="F541" s="127">
        <f>D541*E541</f>
        <v>0</v>
      </c>
      <c r="G541" s="151">
        <f>'Etude de cas n°1'!D541</f>
        <v>0</v>
      </c>
      <c r="H541" s="176"/>
      <c r="I541" s="176"/>
      <c r="J541" s="176"/>
      <c r="K541" s="176"/>
      <c r="L541" s="176"/>
      <c r="M541" s="176"/>
      <c r="N541" s="176"/>
    </row>
    <row r="542" spans="1:14" s="100" customFormat="1" ht="17.25" customHeight="1" x14ac:dyDescent="0.25">
      <c r="A542" s="202" t="s">
        <v>1890</v>
      </c>
      <c r="B542" s="228" t="s">
        <v>1891</v>
      </c>
      <c r="C542" s="217" t="s">
        <v>1034</v>
      </c>
      <c r="D542" s="120"/>
      <c r="E542" s="45">
        <f t="shared" si="33"/>
        <v>0</v>
      </c>
      <c r="F542" s="127">
        <f>D542*E542</f>
        <v>0</v>
      </c>
      <c r="G542" s="151">
        <f>'Etude de cas n°1'!D542</f>
        <v>0</v>
      </c>
      <c r="H542" s="176"/>
      <c r="I542" s="176"/>
      <c r="J542" s="176"/>
      <c r="K542" s="176"/>
      <c r="L542" s="176"/>
      <c r="M542" s="176"/>
      <c r="N542" s="176"/>
    </row>
    <row r="543" spans="1:14" s="97" customFormat="1" ht="13.2" x14ac:dyDescent="0.25">
      <c r="A543" s="202" t="s">
        <v>1892</v>
      </c>
      <c r="B543" s="216" t="s">
        <v>1893</v>
      </c>
      <c r="C543" s="217" t="s">
        <v>1034</v>
      </c>
      <c r="D543" s="120"/>
      <c r="E543" s="45">
        <f t="shared" si="33"/>
        <v>0</v>
      </c>
      <c r="F543" s="127">
        <f t="shared" si="34"/>
        <v>0</v>
      </c>
      <c r="G543" s="151">
        <f>'Etude de cas n°1'!D543</f>
        <v>0</v>
      </c>
      <c r="H543" s="218"/>
      <c r="I543" s="218"/>
      <c r="J543" s="218"/>
      <c r="K543" s="218"/>
      <c r="L543" s="218"/>
      <c r="M543" s="218"/>
      <c r="N543" s="218"/>
    </row>
    <row r="544" spans="1:14" s="97" customFormat="1" ht="13.2" x14ac:dyDescent="0.25">
      <c r="A544" s="202" t="s">
        <v>1894</v>
      </c>
      <c r="B544" s="216" t="s">
        <v>1895</v>
      </c>
      <c r="C544" s="217" t="s">
        <v>1034</v>
      </c>
      <c r="D544" s="120"/>
      <c r="E544" s="45">
        <f t="shared" si="33"/>
        <v>0</v>
      </c>
      <c r="F544" s="127">
        <f t="shared" si="34"/>
        <v>0</v>
      </c>
      <c r="G544" s="151">
        <f>'Etude de cas n°1'!D544</f>
        <v>0</v>
      </c>
      <c r="H544" s="218"/>
      <c r="I544" s="218"/>
      <c r="J544" s="218"/>
      <c r="K544" s="218"/>
      <c r="L544" s="218"/>
      <c r="M544" s="218"/>
      <c r="N544" s="218"/>
    </row>
    <row r="545" spans="1:14" s="97" customFormat="1" ht="26.4" x14ac:dyDescent="0.25">
      <c r="A545" s="202" t="s">
        <v>1896</v>
      </c>
      <c r="B545" s="216" t="s">
        <v>1897</v>
      </c>
      <c r="C545" s="217" t="s">
        <v>1034</v>
      </c>
      <c r="D545" s="120"/>
      <c r="E545" s="45">
        <f t="shared" si="33"/>
        <v>0</v>
      </c>
      <c r="F545" s="127">
        <f>D545*E545</f>
        <v>0</v>
      </c>
      <c r="G545" s="151">
        <f>'Etude de cas n°1'!D545</f>
        <v>0</v>
      </c>
      <c r="H545" s="218"/>
      <c r="I545" s="218"/>
      <c r="J545" s="218"/>
      <c r="K545" s="218"/>
      <c r="L545" s="218"/>
      <c r="M545" s="218"/>
      <c r="N545" s="218"/>
    </row>
    <row r="546" spans="1:14" s="97" customFormat="1" ht="13.2" x14ac:dyDescent="0.25">
      <c r="A546" s="202" t="s">
        <v>1898</v>
      </c>
      <c r="B546" s="216" t="s">
        <v>1899</v>
      </c>
      <c r="C546" s="217" t="s">
        <v>1034</v>
      </c>
      <c r="D546" s="120"/>
      <c r="E546" s="45">
        <f t="shared" si="33"/>
        <v>0</v>
      </c>
      <c r="F546" s="127">
        <f>D546*E546</f>
        <v>0</v>
      </c>
      <c r="G546" s="151">
        <f>'Etude de cas n°1'!D546</f>
        <v>0</v>
      </c>
      <c r="H546" s="218"/>
      <c r="I546" s="218"/>
      <c r="J546" s="218"/>
      <c r="K546" s="218"/>
      <c r="L546" s="218"/>
      <c r="M546" s="218"/>
      <c r="N546" s="218"/>
    </row>
    <row r="547" spans="1:14" s="97" customFormat="1" ht="13.2" x14ac:dyDescent="0.25">
      <c r="A547" s="202" t="s">
        <v>1900</v>
      </c>
      <c r="B547" s="216" t="s">
        <v>1901</v>
      </c>
      <c r="C547" s="217" t="s">
        <v>1034</v>
      </c>
      <c r="D547" s="120"/>
      <c r="E547" s="45">
        <f t="shared" si="33"/>
        <v>0</v>
      </c>
      <c r="F547" s="127">
        <f t="shared" si="34"/>
        <v>0</v>
      </c>
      <c r="G547" s="151">
        <f>'Etude de cas n°1'!D547</f>
        <v>0</v>
      </c>
      <c r="H547" s="218"/>
      <c r="I547" s="218"/>
      <c r="J547" s="218"/>
      <c r="K547" s="218"/>
      <c r="L547" s="218"/>
      <c r="M547" s="218"/>
      <c r="N547" s="218"/>
    </row>
    <row r="548" spans="1:14" s="97" customFormat="1" ht="13.2" x14ac:dyDescent="0.25">
      <c r="A548" s="202" t="s">
        <v>1902</v>
      </c>
      <c r="B548" s="228" t="s">
        <v>1903</v>
      </c>
      <c r="C548" s="217" t="s">
        <v>1034</v>
      </c>
      <c r="D548" s="120"/>
      <c r="E548" s="45">
        <f t="shared" si="33"/>
        <v>0</v>
      </c>
      <c r="F548" s="127">
        <f>D548*E548</f>
        <v>0</v>
      </c>
      <c r="G548" s="151">
        <f>'Etude de cas n°1'!D548</f>
        <v>0</v>
      </c>
      <c r="H548" s="218"/>
      <c r="I548" s="218"/>
      <c r="J548" s="218"/>
      <c r="K548" s="218"/>
      <c r="L548" s="218"/>
      <c r="M548" s="218"/>
      <c r="N548" s="218"/>
    </row>
    <row r="549" spans="1:14" s="97" customFormat="1" ht="13.2" x14ac:dyDescent="0.25">
      <c r="A549" s="202" t="s">
        <v>1904</v>
      </c>
      <c r="B549" s="228" t="s">
        <v>1905</v>
      </c>
      <c r="C549" s="217" t="s">
        <v>1034</v>
      </c>
      <c r="D549" s="120"/>
      <c r="E549" s="45">
        <f t="shared" si="33"/>
        <v>0</v>
      </c>
      <c r="F549" s="127">
        <f>D549*E549</f>
        <v>0</v>
      </c>
      <c r="G549" s="151">
        <f>'Etude de cas n°1'!D549</f>
        <v>0</v>
      </c>
      <c r="H549" s="218"/>
      <c r="I549" s="218"/>
      <c r="J549" s="218"/>
      <c r="K549" s="218"/>
      <c r="L549" s="218"/>
      <c r="M549" s="218"/>
      <c r="N549" s="218"/>
    </row>
    <row r="550" spans="1:14" s="97" customFormat="1" ht="13.2" x14ac:dyDescent="0.25">
      <c r="A550" s="202" t="s">
        <v>1906</v>
      </c>
      <c r="B550" s="216" t="s">
        <v>1907</v>
      </c>
      <c r="C550" s="217" t="s">
        <v>1034</v>
      </c>
      <c r="D550" s="120"/>
      <c r="E550" s="45">
        <f t="shared" si="33"/>
        <v>0</v>
      </c>
      <c r="F550" s="127">
        <f t="shared" si="34"/>
        <v>0</v>
      </c>
      <c r="G550" s="151">
        <f>'Etude de cas n°1'!D550</f>
        <v>0</v>
      </c>
      <c r="H550" s="218"/>
      <c r="I550" s="218"/>
      <c r="J550" s="228"/>
      <c r="K550" s="218"/>
      <c r="L550" s="218"/>
      <c r="M550" s="218"/>
      <c r="N550" s="218"/>
    </row>
    <row r="551" spans="1:14" s="100" customFormat="1" ht="13.2" x14ac:dyDescent="0.25">
      <c r="A551" s="202" t="s">
        <v>1908</v>
      </c>
      <c r="B551" s="216" t="s">
        <v>1909</v>
      </c>
      <c r="C551" s="217" t="s">
        <v>1034</v>
      </c>
      <c r="D551" s="120"/>
      <c r="E551" s="45">
        <f t="shared" si="33"/>
        <v>0</v>
      </c>
      <c r="F551" s="127">
        <f t="shared" si="34"/>
        <v>0</v>
      </c>
      <c r="G551" s="151">
        <f>'Etude de cas n°1'!D551</f>
        <v>0</v>
      </c>
      <c r="H551" s="176"/>
      <c r="I551" s="176"/>
      <c r="J551" s="176"/>
      <c r="K551" s="176"/>
      <c r="L551" s="176"/>
      <c r="M551" s="176"/>
      <c r="N551" s="176"/>
    </row>
    <row r="552" spans="1:14" s="97" customFormat="1" ht="26.4" x14ac:dyDescent="0.25">
      <c r="A552" s="202" t="s">
        <v>1910</v>
      </c>
      <c r="B552" s="216" t="s">
        <v>1911</v>
      </c>
      <c r="C552" s="217" t="s">
        <v>1034</v>
      </c>
      <c r="D552" s="120"/>
      <c r="E552" s="45">
        <f t="shared" si="33"/>
        <v>0</v>
      </c>
      <c r="F552" s="127">
        <f t="shared" si="34"/>
        <v>0</v>
      </c>
      <c r="G552" s="151">
        <f>'Etude de cas n°1'!D552</f>
        <v>0</v>
      </c>
      <c r="H552" s="218"/>
      <c r="I552" s="218"/>
      <c r="J552" s="218"/>
      <c r="K552" s="218"/>
      <c r="L552" s="218"/>
      <c r="M552" s="218"/>
      <c r="N552" s="218"/>
    </row>
    <row r="553" spans="1:14" s="97" customFormat="1" ht="26.4" x14ac:dyDescent="0.25">
      <c r="A553" s="202" t="s">
        <v>1912</v>
      </c>
      <c r="B553" s="216" t="s">
        <v>1913</v>
      </c>
      <c r="C553" s="217" t="s">
        <v>1034</v>
      </c>
      <c r="D553" s="120"/>
      <c r="E553" s="45">
        <f t="shared" si="33"/>
        <v>0</v>
      </c>
      <c r="F553" s="127">
        <f t="shared" si="34"/>
        <v>0</v>
      </c>
      <c r="G553" s="151">
        <f>'Etude de cas n°1'!D553</f>
        <v>0</v>
      </c>
      <c r="H553" s="218"/>
      <c r="I553" s="218"/>
      <c r="J553" s="218"/>
      <c r="K553" s="218"/>
      <c r="L553" s="218"/>
      <c r="M553" s="218"/>
      <c r="N553" s="218"/>
    </row>
    <row r="554" spans="1:14" s="97" customFormat="1" ht="20.25" customHeight="1" x14ac:dyDescent="0.25">
      <c r="A554" s="202" t="s">
        <v>1914</v>
      </c>
      <c r="B554" s="216" t="s">
        <v>1915</v>
      </c>
      <c r="C554" s="217" t="s">
        <v>1034</v>
      </c>
      <c r="D554" s="120"/>
      <c r="E554" s="45">
        <f t="shared" si="33"/>
        <v>0</v>
      </c>
      <c r="F554" s="127">
        <f t="shared" si="34"/>
        <v>0</v>
      </c>
      <c r="G554" s="151">
        <f>'Etude de cas n°1'!D554</f>
        <v>0</v>
      </c>
      <c r="H554" s="218"/>
      <c r="I554" s="218"/>
      <c r="J554" s="218"/>
      <c r="K554" s="218"/>
      <c r="L554" s="218"/>
      <c r="M554" s="218"/>
      <c r="N554" s="218"/>
    </row>
    <row r="555" spans="1:14" s="97" customFormat="1" ht="26.4" x14ac:dyDescent="0.25">
      <c r="A555" s="202" t="s">
        <v>1916</v>
      </c>
      <c r="B555" s="216" t="s">
        <v>1917</v>
      </c>
      <c r="C555" s="217" t="s">
        <v>1034</v>
      </c>
      <c r="D555" s="120"/>
      <c r="E555" s="45">
        <f t="shared" si="33"/>
        <v>0</v>
      </c>
      <c r="F555" s="127">
        <f t="shared" si="34"/>
        <v>0</v>
      </c>
      <c r="G555" s="151">
        <f>'Etude de cas n°1'!D555</f>
        <v>0</v>
      </c>
      <c r="H555" s="218"/>
      <c r="I555" s="218"/>
      <c r="J555" s="218"/>
      <c r="K555" s="218"/>
      <c r="L555" s="218"/>
      <c r="M555" s="218"/>
      <c r="N555" s="218"/>
    </row>
    <row r="556" spans="1:14" s="97" customFormat="1" ht="26.4" x14ac:dyDescent="0.25">
      <c r="A556" s="202" t="s">
        <v>1918</v>
      </c>
      <c r="B556" s="216" t="s">
        <v>1919</v>
      </c>
      <c r="C556" s="217" t="s">
        <v>1034</v>
      </c>
      <c r="D556" s="120"/>
      <c r="E556" s="45">
        <f t="shared" si="33"/>
        <v>0</v>
      </c>
      <c r="F556" s="127">
        <f t="shared" si="34"/>
        <v>0</v>
      </c>
      <c r="G556" s="151">
        <f>'Etude de cas n°1'!D556</f>
        <v>0</v>
      </c>
      <c r="H556" s="218"/>
      <c r="I556" s="218"/>
      <c r="J556" s="218"/>
      <c r="K556" s="218"/>
      <c r="L556" s="218"/>
      <c r="M556" s="218"/>
      <c r="N556" s="218"/>
    </row>
    <row r="557" spans="1:14" s="100" customFormat="1" ht="26.4" x14ac:dyDescent="0.25">
      <c r="A557" s="202" t="s">
        <v>1920</v>
      </c>
      <c r="B557" s="216" t="s">
        <v>1921</v>
      </c>
      <c r="C557" s="217" t="s">
        <v>1034</v>
      </c>
      <c r="D557" s="120"/>
      <c r="E557" s="45">
        <f t="shared" si="33"/>
        <v>0</v>
      </c>
      <c r="F557" s="127">
        <f t="shared" si="34"/>
        <v>0</v>
      </c>
      <c r="G557" s="151">
        <f>'Etude de cas n°1'!D557</f>
        <v>0</v>
      </c>
      <c r="H557" s="176"/>
      <c r="I557" s="176"/>
      <c r="J557" s="176"/>
      <c r="K557" s="176"/>
      <c r="L557" s="176"/>
      <c r="M557" s="176"/>
      <c r="N557" s="176"/>
    </row>
    <row r="558" spans="1:14" s="97" customFormat="1" ht="26.4" x14ac:dyDescent="0.25">
      <c r="A558" s="202" t="s">
        <v>1922</v>
      </c>
      <c r="B558" s="216" t="s">
        <v>1923</v>
      </c>
      <c r="C558" s="217" t="s">
        <v>1034</v>
      </c>
      <c r="D558" s="120"/>
      <c r="E558" s="45">
        <f t="shared" si="33"/>
        <v>0</v>
      </c>
      <c r="F558" s="127">
        <f t="shared" si="34"/>
        <v>0</v>
      </c>
      <c r="G558" s="151">
        <f>'Etude de cas n°1'!D558</f>
        <v>0</v>
      </c>
      <c r="H558" s="218"/>
      <c r="I558" s="218"/>
      <c r="J558" s="218"/>
      <c r="K558" s="218"/>
      <c r="L558" s="218"/>
      <c r="M558" s="218"/>
      <c r="N558" s="218"/>
    </row>
    <row r="559" spans="1:14" s="97" customFormat="1" ht="26.4" x14ac:dyDescent="0.25">
      <c r="A559" s="202" t="s">
        <v>1924</v>
      </c>
      <c r="B559" s="216" t="s">
        <v>1925</v>
      </c>
      <c r="C559" s="217" t="s">
        <v>1034</v>
      </c>
      <c r="D559" s="120"/>
      <c r="E559" s="45">
        <f t="shared" ref="E559:E597" si="35">G559</f>
        <v>0</v>
      </c>
      <c r="F559" s="127">
        <f t="shared" si="34"/>
        <v>0</v>
      </c>
      <c r="G559" s="151">
        <f>'Etude de cas n°1'!D559</f>
        <v>0</v>
      </c>
      <c r="H559" s="218"/>
      <c r="I559" s="218"/>
      <c r="J559" s="218"/>
      <c r="K559" s="218"/>
      <c r="L559" s="218"/>
      <c r="M559" s="218"/>
      <c r="N559" s="218"/>
    </row>
    <row r="560" spans="1:14" s="97" customFormat="1" ht="26.4" x14ac:dyDescent="0.25">
      <c r="A560" s="202" t="s">
        <v>1926</v>
      </c>
      <c r="B560" s="216" t="s">
        <v>1927</v>
      </c>
      <c r="C560" s="217" t="s">
        <v>1034</v>
      </c>
      <c r="D560" s="120"/>
      <c r="E560" s="45">
        <f t="shared" si="35"/>
        <v>0</v>
      </c>
      <c r="F560" s="127">
        <f t="shared" si="34"/>
        <v>0</v>
      </c>
      <c r="G560" s="151">
        <f>'Etude de cas n°1'!D560</f>
        <v>0</v>
      </c>
      <c r="H560" s="218"/>
      <c r="I560" s="218"/>
      <c r="J560" s="218"/>
      <c r="K560" s="218"/>
      <c r="L560" s="218"/>
      <c r="M560" s="218"/>
      <c r="N560" s="218"/>
    </row>
    <row r="561" spans="1:14" s="97" customFormat="1" ht="26.4" x14ac:dyDescent="0.25">
      <c r="A561" s="202" t="s">
        <v>1928</v>
      </c>
      <c r="B561" s="216" t="s">
        <v>1929</v>
      </c>
      <c r="C561" s="217" t="s">
        <v>1034</v>
      </c>
      <c r="D561" s="120"/>
      <c r="E561" s="45">
        <f t="shared" si="35"/>
        <v>0</v>
      </c>
      <c r="F561" s="127">
        <f t="shared" si="34"/>
        <v>0</v>
      </c>
      <c r="G561" s="151">
        <f>'Etude de cas n°1'!D561</f>
        <v>0</v>
      </c>
      <c r="H561" s="218"/>
      <c r="I561" s="218"/>
      <c r="J561" s="218"/>
      <c r="K561" s="218"/>
      <c r="L561" s="218"/>
      <c r="M561" s="218"/>
      <c r="N561" s="218"/>
    </row>
    <row r="562" spans="1:14" s="97" customFormat="1" ht="26.4" x14ac:dyDescent="0.25">
      <c r="A562" s="202" t="s">
        <v>1930</v>
      </c>
      <c r="B562" s="216" t="s">
        <v>1931</v>
      </c>
      <c r="C562" s="217" t="s">
        <v>1034</v>
      </c>
      <c r="D562" s="120"/>
      <c r="E562" s="45">
        <f t="shared" si="35"/>
        <v>0</v>
      </c>
      <c r="F562" s="127">
        <f>D562*E562</f>
        <v>0</v>
      </c>
      <c r="G562" s="151">
        <f>'Etude de cas n°1'!D562</f>
        <v>0</v>
      </c>
      <c r="H562" s="218"/>
      <c r="I562" s="218"/>
      <c r="J562" s="218"/>
      <c r="K562" s="218"/>
      <c r="L562" s="218"/>
      <c r="M562" s="218"/>
      <c r="N562" s="218"/>
    </row>
    <row r="563" spans="1:14" s="97" customFormat="1" ht="26.4" x14ac:dyDescent="0.25">
      <c r="A563" s="202" t="s">
        <v>1932</v>
      </c>
      <c r="B563" s="216" t="s">
        <v>1933</v>
      </c>
      <c r="C563" s="217" t="s">
        <v>1034</v>
      </c>
      <c r="D563" s="120"/>
      <c r="E563" s="45">
        <f t="shared" si="35"/>
        <v>0</v>
      </c>
      <c r="F563" s="127">
        <f t="shared" si="34"/>
        <v>0</v>
      </c>
      <c r="G563" s="151">
        <f>'Etude de cas n°1'!D563</f>
        <v>0</v>
      </c>
      <c r="H563" s="218"/>
      <c r="I563" s="218"/>
      <c r="J563" s="218"/>
      <c r="K563" s="218"/>
      <c r="L563" s="218"/>
      <c r="M563" s="218"/>
      <c r="N563" s="218"/>
    </row>
    <row r="564" spans="1:14" s="97" customFormat="1" ht="26.4" x14ac:dyDescent="0.25">
      <c r="A564" s="202" t="s">
        <v>1934</v>
      </c>
      <c r="B564" s="216" t="s">
        <v>1935</v>
      </c>
      <c r="C564" s="217" t="s">
        <v>1034</v>
      </c>
      <c r="D564" s="120"/>
      <c r="E564" s="45">
        <f t="shared" si="35"/>
        <v>0</v>
      </c>
      <c r="F564" s="127">
        <f t="shared" si="34"/>
        <v>0</v>
      </c>
      <c r="G564" s="151">
        <f>'Etude de cas n°1'!D564</f>
        <v>0</v>
      </c>
      <c r="H564" s="218"/>
      <c r="I564" s="218"/>
      <c r="J564" s="218"/>
      <c r="K564" s="218"/>
      <c r="L564" s="218"/>
      <c r="M564" s="218"/>
      <c r="N564" s="218"/>
    </row>
    <row r="565" spans="1:14" s="97" customFormat="1" ht="26.4" x14ac:dyDescent="0.25">
      <c r="A565" s="202" t="s">
        <v>1936</v>
      </c>
      <c r="B565" s="216" t="s">
        <v>1937</v>
      </c>
      <c r="C565" s="217" t="s">
        <v>1034</v>
      </c>
      <c r="D565" s="120"/>
      <c r="E565" s="45">
        <f t="shared" si="35"/>
        <v>0</v>
      </c>
      <c r="F565" s="127">
        <f t="shared" si="34"/>
        <v>0</v>
      </c>
      <c r="G565" s="151">
        <f>'Etude de cas n°1'!D565</f>
        <v>0</v>
      </c>
      <c r="H565" s="218"/>
      <c r="I565" s="218"/>
      <c r="J565" s="218"/>
      <c r="K565" s="218"/>
      <c r="L565" s="218"/>
      <c r="M565" s="218"/>
      <c r="N565" s="218"/>
    </row>
    <row r="566" spans="1:14" s="97" customFormat="1" ht="26.4" x14ac:dyDescent="0.25">
      <c r="A566" s="202" t="s">
        <v>1938</v>
      </c>
      <c r="B566" s="216" t="s">
        <v>1939</v>
      </c>
      <c r="C566" s="217" t="s">
        <v>1034</v>
      </c>
      <c r="D566" s="120"/>
      <c r="E566" s="45">
        <f t="shared" si="35"/>
        <v>0</v>
      </c>
      <c r="F566" s="127">
        <f t="shared" si="34"/>
        <v>0</v>
      </c>
      <c r="G566" s="151">
        <f>'Etude de cas n°1'!D566</f>
        <v>0</v>
      </c>
      <c r="H566" s="218"/>
      <c r="I566" s="218"/>
      <c r="J566" s="218"/>
      <c r="K566" s="218"/>
      <c r="L566" s="218"/>
      <c r="M566" s="218"/>
      <c r="N566" s="218"/>
    </row>
    <row r="567" spans="1:14" s="97" customFormat="1" ht="26.4" x14ac:dyDescent="0.25">
      <c r="A567" s="202" t="s">
        <v>1940</v>
      </c>
      <c r="B567" s="216" t="s">
        <v>1941</v>
      </c>
      <c r="C567" s="217" t="s">
        <v>1034</v>
      </c>
      <c r="D567" s="120"/>
      <c r="E567" s="45">
        <f t="shared" si="35"/>
        <v>0</v>
      </c>
      <c r="F567" s="127">
        <f t="shared" si="34"/>
        <v>0</v>
      </c>
      <c r="G567" s="151">
        <f>'Etude de cas n°1'!D567</f>
        <v>0</v>
      </c>
      <c r="H567" s="218"/>
      <c r="I567" s="218"/>
      <c r="J567" s="218"/>
      <c r="K567" s="218"/>
      <c r="L567" s="218"/>
      <c r="M567" s="218"/>
      <c r="N567" s="218"/>
    </row>
    <row r="568" spans="1:14" s="97" customFormat="1" ht="13.2" x14ac:dyDescent="0.25">
      <c r="A568" s="202" t="s">
        <v>1942</v>
      </c>
      <c r="B568" s="216" t="s">
        <v>1943</v>
      </c>
      <c r="C568" s="217" t="s">
        <v>1034</v>
      </c>
      <c r="D568" s="120"/>
      <c r="E568" s="45">
        <f t="shared" si="35"/>
        <v>0</v>
      </c>
      <c r="F568" s="127">
        <f t="shared" si="34"/>
        <v>0</v>
      </c>
      <c r="G568" s="151">
        <f>'Etude de cas n°1'!D568</f>
        <v>0</v>
      </c>
      <c r="H568" s="218"/>
      <c r="I568" s="218"/>
      <c r="J568" s="218"/>
      <c r="K568" s="218"/>
      <c r="L568" s="218"/>
      <c r="M568" s="218"/>
      <c r="N568" s="218"/>
    </row>
    <row r="569" spans="1:14" s="97" customFormat="1" ht="13.2" x14ac:dyDescent="0.25">
      <c r="A569" s="202" t="s">
        <v>1944</v>
      </c>
      <c r="B569" s="216" t="s">
        <v>1945</v>
      </c>
      <c r="C569" s="217" t="s">
        <v>1034</v>
      </c>
      <c r="D569" s="120"/>
      <c r="E569" s="45">
        <f t="shared" si="35"/>
        <v>0</v>
      </c>
      <c r="F569" s="127">
        <f t="shared" si="34"/>
        <v>0</v>
      </c>
      <c r="G569" s="151">
        <f>'Etude de cas n°1'!D569</f>
        <v>0</v>
      </c>
      <c r="H569" s="218"/>
      <c r="I569" s="218"/>
      <c r="J569" s="218"/>
      <c r="K569" s="218"/>
      <c r="L569" s="218"/>
      <c r="M569" s="218"/>
      <c r="N569" s="218"/>
    </row>
    <row r="570" spans="1:14" s="97" customFormat="1" ht="13.2" x14ac:dyDescent="0.25">
      <c r="A570" s="202" t="s">
        <v>1946</v>
      </c>
      <c r="B570" s="216" t="s">
        <v>1947</v>
      </c>
      <c r="C570" s="217" t="s">
        <v>1034</v>
      </c>
      <c r="D570" s="120"/>
      <c r="E570" s="45">
        <f t="shared" si="35"/>
        <v>0</v>
      </c>
      <c r="F570" s="127">
        <f t="shared" si="34"/>
        <v>0</v>
      </c>
      <c r="G570" s="151">
        <f>'Etude de cas n°1'!D570</f>
        <v>0</v>
      </c>
      <c r="H570" s="218"/>
      <c r="I570" s="218"/>
      <c r="J570" s="218"/>
      <c r="K570" s="218"/>
      <c r="L570" s="218"/>
      <c r="M570" s="218"/>
      <c r="N570" s="218"/>
    </row>
    <row r="571" spans="1:14" s="94" customFormat="1" ht="13.2" x14ac:dyDescent="0.25">
      <c r="A571" s="202" t="s">
        <v>1948</v>
      </c>
      <c r="B571" s="216" t="s">
        <v>1949</v>
      </c>
      <c r="C571" s="217" t="s">
        <v>1034</v>
      </c>
      <c r="D571" s="120"/>
      <c r="E571" s="45">
        <f t="shared" si="35"/>
        <v>0</v>
      </c>
      <c r="F571" s="127">
        <f t="shared" si="34"/>
        <v>0</v>
      </c>
      <c r="G571" s="151">
        <f>'Etude de cas n°1'!D571</f>
        <v>0</v>
      </c>
      <c r="H571" s="19"/>
      <c r="I571" s="19"/>
      <c r="J571" s="19"/>
      <c r="K571" s="19"/>
      <c r="L571" s="19"/>
      <c r="M571" s="19"/>
      <c r="N571" s="19"/>
    </row>
    <row r="572" spans="1:14" s="94" customFormat="1" ht="13.2" x14ac:dyDescent="0.25">
      <c r="A572" s="202" t="s">
        <v>1950</v>
      </c>
      <c r="B572" s="216" t="s">
        <v>1951</v>
      </c>
      <c r="C572" s="217" t="s">
        <v>1034</v>
      </c>
      <c r="D572" s="120"/>
      <c r="E572" s="45">
        <f t="shared" si="35"/>
        <v>0</v>
      </c>
      <c r="F572" s="127">
        <f t="shared" si="34"/>
        <v>0</v>
      </c>
      <c r="G572" s="151">
        <f>'Etude de cas n°1'!D572</f>
        <v>0</v>
      </c>
      <c r="H572" s="19"/>
      <c r="I572" s="19"/>
      <c r="J572" s="19"/>
      <c r="K572" s="19"/>
      <c r="L572" s="19"/>
      <c r="M572" s="19"/>
      <c r="N572" s="19"/>
    </row>
    <row r="573" spans="1:14" s="94" customFormat="1" ht="13.2" x14ac:dyDescent="0.25">
      <c r="A573" s="202" t="s">
        <v>1952</v>
      </c>
      <c r="B573" s="216" t="s">
        <v>1953</v>
      </c>
      <c r="C573" s="217" t="s">
        <v>1034</v>
      </c>
      <c r="D573" s="120"/>
      <c r="E573" s="45">
        <f t="shared" si="35"/>
        <v>0</v>
      </c>
      <c r="F573" s="127">
        <f t="shared" si="34"/>
        <v>0</v>
      </c>
      <c r="G573" s="151">
        <f>'Etude de cas n°1'!D573</f>
        <v>0</v>
      </c>
      <c r="H573" s="19"/>
      <c r="I573" s="19"/>
      <c r="J573" s="19"/>
      <c r="K573" s="19"/>
      <c r="L573" s="19"/>
      <c r="M573" s="19"/>
      <c r="N573" s="19"/>
    </row>
    <row r="574" spans="1:14" s="94" customFormat="1" ht="26.4" x14ac:dyDescent="0.25">
      <c r="A574" s="202" t="s">
        <v>1954</v>
      </c>
      <c r="B574" s="216" t="s">
        <v>1955</v>
      </c>
      <c r="C574" s="217" t="s">
        <v>1034</v>
      </c>
      <c r="D574" s="120"/>
      <c r="E574" s="45">
        <f t="shared" si="35"/>
        <v>0</v>
      </c>
      <c r="F574" s="127">
        <f t="shared" si="34"/>
        <v>0</v>
      </c>
      <c r="G574" s="151">
        <f>'Etude de cas n°1'!D574</f>
        <v>0</v>
      </c>
      <c r="H574" s="19"/>
      <c r="I574" s="19"/>
      <c r="J574" s="19"/>
      <c r="K574" s="19"/>
      <c r="L574" s="19"/>
      <c r="M574" s="19"/>
      <c r="N574" s="19"/>
    </row>
    <row r="575" spans="1:14" s="94" customFormat="1" ht="13.2" x14ac:dyDescent="0.25">
      <c r="A575" s="202" t="s">
        <v>1956</v>
      </c>
      <c r="B575" s="216" t="s">
        <v>1957</v>
      </c>
      <c r="C575" s="217" t="s">
        <v>1034</v>
      </c>
      <c r="D575" s="120"/>
      <c r="E575" s="45">
        <f t="shared" si="35"/>
        <v>0</v>
      </c>
      <c r="F575" s="127">
        <f t="shared" si="34"/>
        <v>0</v>
      </c>
      <c r="G575" s="151">
        <f>'Etude de cas n°1'!D575</f>
        <v>0</v>
      </c>
      <c r="H575" s="19"/>
      <c r="I575" s="19"/>
      <c r="J575" s="19"/>
      <c r="K575" s="19"/>
      <c r="L575" s="19"/>
      <c r="M575" s="19"/>
      <c r="N575" s="19"/>
    </row>
    <row r="576" spans="1:14" s="94" customFormat="1" ht="13.2" x14ac:dyDescent="0.25">
      <c r="A576" s="202" t="s">
        <v>1958</v>
      </c>
      <c r="B576" s="216" t="s">
        <v>1959</v>
      </c>
      <c r="C576" s="217" t="s">
        <v>1034</v>
      </c>
      <c r="D576" s="120"/>
      <c r="E576" s="45">
        <f t="shared" si="35"/>
        <v>0</v>
      </c>
      <c r="F576" s="127">
        <f>D576*E576</f>
        <v>0</v>
      </c>
      <c r="G576" s="151">
        <f>'Etude de cas n°1'!D576</f>
        <v>0</v>
      </c>
      <c r="H576" s="19"/>
      <c r="I576" s="19"/>
      <c r="J576" s="19"/>
      <c r="K576" s="19"/>
      <c r="L576" s="19"/>
      <c r="M576" s="19"/>
      <c r="N576" s="19"/>
    </row>
    <row r="577" spans="1:14" s="94" customFormat="1" ht="13.2" x14ac:dyDescent="0.25">
      <c r="A577" s="202" t="s">
        <v>1960</v>
      </c>
      <c r="B577" s="216" t="s">
        <v>1961</v>
      </c>
      <c r="C577" s="217" t="s">
        <v>1034</v>
      </c>
      <c r="D577" s="120"/>
      <c r="E577" s="45">
        <f t="shared" si="35"/>
        <v>0</v>
      </c>
      <c r="F577" s="127">
        <f>D577*E577</f>
        <v>0</v>
      </c>
      <c r="G577" s="151">
        <f>'Etude de cas n°1'!D577</f>
        <v>0</v>
      </c>
      <c r="H577" s="19"/>
      <c r="I577" s="19"/>
      <c r="J577" s="19"/>
      <c r="K577" s="19"/>
      <c r="L577" s="19"/>
      <c r="M577" s="19"/>
      <c r="N577" s="19"/>
    </row>
    <row r="578" spans="1:14" s="94" customFormat="1" ht="13.2" x14ac:dyDescent="0.25">
      <c r="A578" s="202" t="s">
        <v>1962</v>
      </c>
      <c r="B578" s="216" t="s">
        <v>1963</v>
      </c>
      <c r="C578" s="217"/>
      <c r="D578" s="120"/>
      <c r="E578" s="45"/>
      <c r="F578" s="127"/>
      <c r="G578" s="151"/>
      <c r="H578" s="19"/>
      <c r="I578" s="19"/>
      <c r="J578" s="19"/>
      <c r="K578" s="19"/>
      <c r="L578" s="19"/>
      <c r="M578" s="19"/>
      <c r="N578" s="19"/>
    </row>
    <row r="579" spans="1:14" s="94" customFormat="1" ht="13.2" x14ac:dyDescent="0.25">
      <c r="A579" s="202" t="s">
        <v>1964</v>
      </c>
      <c r="B579" s="216" t="s">
        <v>1965</v>
      </c>
      <c r="C579" s="217" t="s">
        <v>1034</v>
      </c>
      <c r="D579" s="120"/>
      <c r="E579" s="45">
        <f t="shared" si="35"/>
        <v>0</v>
      </c>
      <c r="F579" s="127">
        <f>D579*E579</f>
        <v>0</v>
      </c>
      <c r="G579" s="151">
        <f>'Etude de cas n°1'!D579</f>
        <v>0</v>
      </c>
      <c r="H579" s="19"/>
      <c r="I579" s="19"/>
      <c r="J579" s="19"/>
      <c r="K579" s="19"/>
      <c r="L579" s="19"/>
      <c r="M579" s="19"/>
      <c r="N579" s="19"/>
    </row>
    <row r="580" spans="1:14" s="94" customFormat="1" ht="13.2" x14ac:dyDescent="0.25">
      <c r="A580" s="202" t="s">
        <v>1966</v>
      </c>
      <c r="B580" s="216" t="s">
        <v>1967</v>
      </c>
      <c r="C580" s="217" t="s">
        <v>1034</v>
      </c>
      <c r="D580" s="120"/>
      <c r="E580" s="45">
        <f t="shared" si="35"/>
        <v>0</v>
      </c>
      <c r="F580" s="127">
        <f>D580*E580</f>
        <v>0</v>
      </c>
      <c r="G580" s="151">
        <f>'Etude de cas n°1'!D580</f>
        <v>0</v>
      </c>
      <c r="H580" s="19"/>
      <c r="I580" s="19"/>
      <c r="J580" s="19"/>
      <c r="K580" s="19"/>
      <c r="L580" s="19"/>
      <c r="M580" s="19"/>
      <c r="N580" s="19"/>
    </row>
    <row r="581" spans="1:14" s="97" customFormat="1" ht="13.2" x14ac:dyDescent="0.25">
      <c r="A581" s="202" t="s">
        <v>1968</v>
      </c>
      <c r="B581" s="216" t="s">
        <v>1969</v>
      </c>
      <c r="C581" s="217" t="s">
        <v>1141</v>
      </c>
      <c r="D581" s="120"/>
      <c r="E581" s="45">
        <f t="shared" si="35"/>
        <v>0</v>
      </c>
      <c r="F581" s="127">
        <f t="shared" si="34"/>
        <v>0</v>
      </c>
      <c r="G581" s="151">
        <f>'Etude de cas n°1'!D581</f>
        <v>0</v>
      </c>
      <c r="H581" s="218"/>
      <c r="I581" s="218"/>
      <c r="J581" s="218"/>
      <c r="K581" s="218"/>
      <c r="L581" s="218"/>
      <c r="M581" s="218"/>
      <c r="N581" s="218"/>
    </row>
    <row r="582" spans="1:14" s="97" customFormat="1" ht="13.2" x14ac:dyDescent="0.25">
      <c r="A582" s="202" t="s">
        <v>1970</v>
      </c>
      <c r="B582" s="216" t="s">
        <v>1971</v>
      </c>
      <c r="C582" s="217"/>
      <c r="D582" s="120"/>
      <c r="E582" s="45"/>
      <c r="F582" s="127"/>
      <c r="G582" s="151"/>
      <c r="H582" s="218"/>
      <c r="I582" s="218"/>
      <c r="J582" s="218"/>
      <c r="K582" s="218"/>
      <c r="L582" s="218"/>
      <c r="M582" s="218"/>
      <c r="N582" s="218"/>
    </row>
    <row r="583" spans="1:14" s="97" customFormat="1" ht="13.2" x14ac:dyDescent="0.25">
      <c r="A583" s="202" t="s">
        <v>1972</v>
      </c>
      <c r="B583" s="216" t="s">
        <v>1973</v>
      </c>
      <c r="C583" s="217" t="s">
        <v>1141</v>
      </c>
      <c r="D583" s="120"/>
      <c r="E583" s="45">
        <f t="shared" si="35"/>
        <v>0</v>
      </c>
      <c r="F583" s="127">
        <f t="shared" si="34"/>
        <v>0</v>
      </c>
      <c r="G583" s="151">
        <f>'Etude de cas n°1'!D583</f>
        <v>0</v>
      </c>
      <c r="H583" s="218"/>
      <c r="I583" s="218"/>
      <c r="J583" s="218"/>
      <c r="K583" s="218"/>
      <c r="L583" s="218"/>
      <c r="M583" s="218"/>
      <c r="N583" s="218"/>
    </row>
    <row r="584" spans="1:14" s="97" customFormat="1" ht="13.2" x14ac:dyDescent="0.25">
      <c r="A584" s="202" t="s">
        <v>1974</v>
      </c>
      <c r="B584" s="216" t="s">
        <v>1975</v>
      </c>
      <c r="C584" s="217" t="s">
        <v>1141</v>
      </c>
      <c r="D584" s="120"/>
      <c r="E584" s="45">
        <f t="shared" si="35"/>
        <v>0</v>
      </c>
      <c r="F584" s="127">
        <f t="shared" si="34"/>
        <v>0</v>
      </c>
      <c r="G584" s="151">
        <f>'Etude de cas n°1'!D584</f>
        <v>0</v>
      </c>
      <c r="H584" s="218"/>
      <c r="I584" s="218"/>
      <c r="J584" s="218"/>
      <c r="K584" s="218"/>
      <c r="L584" s="218"/>
      <c r="M584" s="218"/>
      <c r="N584" s="218"/>
    </row>
    <row r="585" spans="1:14" s="97" customFormat="1" ht="13.2" x14ac:dyDescent="0.25">
      <c r="A585" s="202" t="s">
        <v>1976</v>
      </c>
      <c r="B585" s="216" t="s">
        <v>1977</v>
      </c>
      <c r="C585" s="217" t="s">
        <v>1141</v>
      </c>
      <c r="D585" s="120"/>
      <c r="E585" s="45">
        <f t="shared" si="35"/>
        <v>0</v>
      </c>
      <c r="F585" s="127">
        <f t="shared" si="34"/>
        <v>0</v>
      </c>
      <c r="G585" s="151">
        <f>'Etude de cas n°1'!D585</f>
        <v>0</v>
      </c>
      <c r="H585" s="218"/>
      <c r="I585" s="218"/>
      <c r="J585" s="218"/>
      <c r="K585" s="218"/>
      <c r="L585" s="218"/>
      <c r="M585" s="218"/>
      <c r="N585" s="218"/>
    </row>
    <row r="586" spans="1:14" s="97" customFormat="1" ht="13.2" x14ac:dyDescent="0.25">
      <c r="A586" s="202" t="s">
        <v>1978</v>
      </c>
      <c r="B586" s="216" t="s">
        <v>1979</v>
      </c>
      <c r="C586" s="217" t="s">
        <v>1141</v>
      </c>
      <c r="D586" s="120"/>
      <c r="E586" s="45">
        <f t="shared" si="35"/>
        <v>0</v>
      </c>
      <c r="F586" s="127">
        <f t="shared" ref="F586" si="36">D586*E586</f>
        <v>0</v>
      </c>
      <c r="G586" s="151">
        <f>'Etude de cas n°1'!D586</f>
        <v>0</v>
      </c>
      <c r="H586" s="218"/>
      <c r="I586" s="218"/>
      <c r="J586" s="218"/>
      <c r="K586" s="218"/>
      <c r="L586" s="218"/>
      <c r="M586" s="218"/>
      <c r="N586" s="218"/>
    </row>
    <row r="587" spans="1:14" s="97" customFormat="1" ht="13.2" x14ac:dyDescent="0.25">
      <c r="A587" s="202" t="s">
        <v>1980</v>
      </c>
      <c r="B587" s="216" t="s">
        <v>1981</v>
      </c>
      <c r="C587" s="217" t="s">
        <v>1034</v>
      </c>
      <c r="D587" s="120"/>
      <c r="E587" s="45">
        <f t="shared" si="35"/>
        <v>0</v>
      </c>
      <c r="F587" s="127">
        <f t="shared" si="34"/>
        <v>0</v>
      </c>
      <c r="G587" s="151">
        <f>'Etude de cas n°1'!D587</f>
        <v>0</v>
      </c>
      <c r="H587" s="218"/>
      <c r="I587" s="218"/>
      <c r="J587" s="218"/>
      <c r="K587" s="218"/>
      <c r="L587" s="218"/>
      <c r="M587" s="218"/>
      <c r="N587" s="218"/>
    </row>
    <row r="588" spans="1:14" s="97" customFormat="1" ht="13.2" x14ac:dyDescent="0.25">
      <c r="A588" s="202" t="s">
        <v>1982</v>
      </c>
      <c r="B588" s="216" t="s">
        <v>1983</v>
      </c>
      <c r="C588" s="217" t="s">
        <v>1984</v>
      </c>
      <c r="D588" s="120"/>
      <c r="E588" s="45">
        <f t="shared" si="35"/>
        <v>0</v>
      </c>
      <c r="F588" s="127">
        <f t="shared" si="34"/>
        <v>0</v>
      </c>
      <c r="G588" s="151">
        <f>'Etude de cas n°1'!D588</f>
        <v>0</v>
      </c>
      <c r="H588" s="218"/>
      <c r="I588" s="218"/>
      <c r="J588" s="218"/>
      <c r="K588" s="218"/>
      <c r="L588" s="218"/>
      <c r="M588" s="218"/>
      <c r="N588" s="218"/>
    </row>
    <row r="589" spans="1:14" s="97" customFormat="1" ht="13.2" x14ac:dyDescent="0.25">
      <c r="A589" s="202" t="s">
        <v>1985</v>
      </c>
      <c r="B589" s="216" t="s">
        <v>1986</v>
      </c>
      <c r="C589" s="217" t="s">
        <v>1011</v>
      </c>
      <c r="D589" s="120"/>
      <c r="E589" s="45">
        <f t="shared" si="35"/>
        <v>0</v>
      </c>
      <c r="F589" s="127">
        <f t="shared" si="34"/>
        <v>0</v>
      </c>
      <c r="G589" s="151">
        <f>'Etude de cas n°1'!D589</f>
        <v>0</v>
      </c>
      <c r="H589" s="218"/>
      <c r="I589" s="218"/>
      <c r="J589" s="218"/>
      <c r="K589" s="218"/>
      <c r="L589" s="218"/>
      <c r="M589" s="218"/>
      <c r="N589" s="218"/>
    </row>
    <row r="590" spans="1:14" s="97" customFormat="1" ht="13.2" x14ac:dyDescent="0.25">
      <c r="A590" s="202" t="s">
        <v>1987</v>
      </c>
      <c r="B590" s="216" t="s">
        <v>1988</v>
      </c>
      <c r="C590" s="217" t="s">
        <v>1011</v>
      </c>
      <c r="D590" s="120"/>
      <c r="E590" s="45">
        <f t="shared" si="35"/>
        <v>0</v>
      </c>
      <c r="F590" s="127">
        <f t="shared" si="34"/>
        <v>0</v>
      </c>
      <c r="G590" s="151">
        <f>'Etude de cas n°1'!D590</f>
        <v>0</v>
      </c>
      <c r="H590" s="218"/>
      <c r="I590" s="218"/>
      <c r="J590" s="218"/>
      <c r="K590" s="218"/>
      <c r="L590" s="218"/>
      <c r="M590" s="218"/>
      <c r="N590" s="218"/>
    </row>
    <row r="591" spans="1:14" s="94" customFormat="1" ht="13.2" x14ac:dyDescent="0.25">
      <c r="A591" s="202" t="s">
        <v>1989</v>
      </c>
      <c r="B591" s="216" t="s">
        <v>1990</v>
      </c>
      <c r="C591" s="217" t="s">
        <v>1991</v>
      </c>
      <c r="D591" s="120"/>
      <c r="E591" s="45">
        <f t="shared" si="35"/>
        <v>0</v>
      </c>
      <c r="F591" s="127">
        <f t="shared" si="34"/>
        <v>0</v>
      </c>
      <c r="G591" s="151">
        <f>'Etude de cas n°1'!D591</f>
        <v>0</v>
      </c>
      <c r="H591" s="19"/>
      <c r="I591" s="19"/>
      <c r="J591" s="19"/>
      <c r="K591" s="19"/>
      <c r="L591" s="19"/>
      <c r="M591" s="19"/>
      <c r="N591" s="19"/>
    </row>
    <row r="592" spans="1:14" s="97" customFormat="1" ht="13.2" x14ac:dyDescent="0.25">
      <c r="A592" s="202" t="s">
        <v>1992</v>
      </c>
      <c r="B592" s="216" t="s">
        <v>1993</v>
      </c>
      <c r="C592" s="217" t="s">
        <v>1011</v>
      </c>
      <c r="D592" s="120"/>
      <c r="E592" s="45">
        <f t="shared" si="35"/>
        <v>0</v>
      </c>
      <c r="F592" s="127">
        <f t="shared" si="34"/>
        <v>0</v>
      </c>
      <c r="G592" s="151">
        <f>'Etude de cas n°1'!D592</f>
        <v>0</v>
      </c>
      <c r="H592" s="218"/>
      <c r="I592" s="218"/>
      <c r="J592" s="218"/>
      <c r="K592" s="218"/>
      <c r="L592" s="218"/>
      <c r="M592" s="218"/>
      <c r="N592" s="218"/>
    </row>
    <row r="593" spans="1:14" s="97" customFormat="1" ht="13.2" x14ac:dyDescent="0.25">
      <c r="A593" s="202" t="s">
        <v>1994</v>
      </c>
      <c r="B593" s="216" t="s">
        <v>1995</v>
      </c>
      <c r="C593" s="217" t="s">
        <v>1991</v>
      </c>
      <c r="D593" s="120"/>
      <c r="E593" s="45">
        <f t="shared" si="35"/>
        <v>0</v>
      </c>
      <c r="F593" s="127">
        <f t="shared" si="34"/>
        <v>0</v>
      </c>
      <c r="G593" s="151">
        <f>'Etude de cas n°1'!D593</f>
        <v>0</v>
      </c>
      <c r="H593" s="218"/>
      <c r="I593" s="218"/>
      <c r="J593" s="218"/>
      <c r="K593" s="218"/>
      <c r="L593" s="218"/>
      <c r="M593" s="218"/>
      <c r="N593" s="218"/>
    </row>
    <row r="594" spans="1:14" s="97" customFormat="1" ht="13.2" x14ac:dyDescent="0.25">
      <c r="A594" s="28" t="s">
        <v>1996</v>
      </c>
      <c r="B594" s="6" t="s">
        <v>1997</v>
      </c>
      <c r="C594" s="217" t="s">
        <v>1011</v>
      </c>
      <c r="D594" s="120"/>
      <c r="E594" s="45">
        <f t="shared" si="35"/>
        <v>0</v>
      </c>
      <c r="F594" s="127">
        <f t="shared" si="34"/>
        <v>0</v>
      </c>
      <c r="G594" s="151">
        <f>'Etude de cas n°1'!D594</f>
        <v>0</v>
      </c>
      <c r="H594" s="218"/>
      <c r="I594" s="218"/>
      <c r="J594" s="218"/>
      <c r="K594" s="218"/>
      <c r="L594" s="218"/>
      <c r="M594" s="218"/>
      <c r="N594" s="218"/>
    </row>
    <row r="595" spans="1:14" s="97" customFormat="1" ht="13.2" x14ac:dyDescent="0.25">
      <c r="A595" s="28" t="s">
        <v>1998</v>
      </c>
      <c r="B595" s="6" t="s">
        <v>1999</v>
      </c>
      <c r="C595" s="217" t="s">
        <v>1011</v>
      </c>
      <c r="D595" s="120"/>
      <c r="E595" s="45">
        <f t="shared" si="35"/>
        <v>0</v>
      </c>
      <c r="F595" s="127">
        <f t="shared" si="34"/>
        <v>0</v>
      </c>
      <c r="G595" s="151">
        <f>'Etude de cas n°1'!D595</f>
        <v>0</v>
      </c>
      <c r="H595" s="218"/>
      <c r="I595" s="218"/>
      <c r="J595" s="218"/>
      <c r="K595" s="218"/>
      <c r="L595" s="218"/>
      <c r="M595" s="218"/>
      <c r="N595" s="218"/>
    </row>
    <row r="596" spans="1:14" s="97" customFormat="1" ht="13.2" x14ac:dyDescent="0.25">
      <c r="A596" s="28" t="s">
        <v>2000</v>
      </c>
      <c r="B596" s="6" t="s">
        <v>2001</v>
      </c>
      <c r="C596" s="217" t="s">
        <v>1011</v>
      </c>
      <c r="D596" s="120"/>
      <c r="E596" s="45">
        <f t="shared" si="35"/>
        <v>0</v>
      </c>
      <c r="F596" s="127">
        <f t="shared" si="34"/>
        <v>0</v>
      </c>
      <c r="G596" s="151">
        <f>'Etude de cas n°1'!D596</f>
        <v>0</v>
      </c>
      <c r="H596" s="218"/>
      <c r="I596" s="218"/>
      <c r="J596" s="218"/>
      <c r="K596" s="218"/>
      <c r="L596" s="218"/>
      <c r="M596" s="218"/>
      <c r="N596" s="218"/>
    </row>
    <row r="597" spans="1:14" s="97" customFormat="1" ht="13.2" x14ac:dyDescent="0.25">
      <c r="A597" s="28" t="s">
        <v>2002</v>
      </c>
      <c r="B597" s="6" t="s">
        <v>2003</v>
      </c>
      <c r="C597" s="217" t="s">
        <v>1011</v>
      </c>
      <c r="D597" s="120"/>
      <c r="E597" s="45">
        <f t="shared" si="35"/>
        <v>0</v>
      </c>
      <c r="F597" s="127">
        <f t="shared" si="34"/>
        <v>0</v>
      </c>
      <c r="G597" s="151">
        <f>'Etude de cas n°1'!D597</f>
        <v>0</v>
      </c>
      <c r="H597" s="218"/>
      <c r="I597" s="218"/>
      <c r="J597" s="218"/>
      <c r="K597" s="218"/>
      <c r="L597" s="218"/>
      <c r="M597" s="218"/>
      <c r="N597" s="218"/>
    </row>
    <row r="598" spans="1:14" s="97" customFormat="1" ht="13.2" x14ac:dyDescent="0.25">
      <c r="A598" s="202"/>
      <c r="B598" s="216"/>
      <c r="C598" s="216"/>
      <c r="D598" s="126"/>
      <c r="E598" s="216"/>
      <c r="F598" s="216"/>
      <c r="G598" s="151"/>
      <c r="H598" s="218"/>
      <c r="I598" s="218"/>
      <c r="J598" s="218"/>
      <c r="K598" s="218"/>
      <c r="L598" s="218"/>
      <c r="M598" s="218"/>
      <c r="N598" s="218"/>
    </row>
    <row r="599" spans="1:14" s="97" customFormat="1" ht="13.2" x14ac:dyDescent="0.25">
      <c r="A599" s="202"/>
      <c r="B599" s="122" t="s">
        <v>2004</v>
      </c>
      <c r="C599" s="217"/>
      <c r="D599" s="120"/>
      <c r="E599" s="45"/>
      <c r="F599" s="158">
        <f>SUM(F430:F597)</f>
        <v>0</v>
      </c>
      <c r="G599" s="151"/>
      <c r="H599" s="218"/>
      <c r="I599" s="218"/>
      <c r="J599" s="218"/>
      <c r="K599" s="218"/>
      <c r="L599" s="218"/>
      <c r="M599" s="218"/>
      <c r="N599" s="218"/>
    </row>
    <row r="600" spans="1:14" s="97" customFormat="1" ht="13.2" x14ac:dyDescent="0.25">
      <c r="A600" s="202"/>
      <c r="B600" s="216"/>
      <c r="C600" s="216"/>
      <c r="D600" s="126"/>
      <c r="E600" s="216"/>
      <c r="F600" s="216"/>
      <c r="G600" s="151"/>
      <c r="H600" s="218"/>
      <c r="I600" s="218"/>
      <c r="J600" s="218"/>
      <c r="K600" s="218"/>
      <c r="L600" s="218"/>
      <c r="M600" s="218"/>
      <c r="N600" s="218"/>
    </row>
    <row r="601" spans="1:14" s="94" customFormat="1" ht="13.2" x14ac:dyDescent="0.25">
      <c r="A601" s="29" t="s">
        <v>2005</v>
      </c>
      <c r="B601" s="30" t="s">
        <v>2006</v>
      </c>
      <c r="C601" s="224"/>
      <c r="D601" s="123"/>
      <c r="E601" s="224"/>
      <c r="F601" s="224"/>
      <c r="G601" s="153"/>
      <c r="H601" s="19"/>
      <c r="I601" s="19"/>
      <c r="J601" s="19"/>
      <c r="K601" s="19"/>
      <c r="L601" s="19"/>
      <c r="M601" s="19"/>
      <c r="N601" s="19"/>
    </row>
    <row r="602" spans="1:14" s="97" customFormat="1" ht="26.4" x14ac:dyDescent="0.25">
      <c r="A602" s="27" t="s">
        <v>2007</v>
      </c>
      <c r="B602" s="3" t="s">
        <v>2008</v>
      </c>
      <c r="C602" s="217" t="s">
        <v>1011</v>
      </c>
      <c r="D602" s="120"/>
      <c r="E602" s="45">
        <f t="shared" ref="E602:E642" si="37">G602</f>
        <v>15</v>
      </c>
      <c r="F602" s="127">
        <f>D602*E602</f>
        <v>0</v>
      </c>
      <c r="G602" s="151">
        <f>'Etude de cas n°1'!D602</f>
        <v>15</v>
      </c>
      <c r="H602" s="218"/>
      <c r="I602" s="218"/>
      <c r="J602" s="218"/>
      <c r="K602" s="218"/>
      <c r="L602" s="218"/>
      <c r="M602" s="218"/>
      <c r="N602" s="218"/>
    </row>
    <row r="603" spans="1:14" s="97" customFormat="1" ht="13.2" x14ac:dyDescent="0.25">
      <c r="A603" s="202" t="s">
        <v>117</v>
      </c>
      <c r="B603" s="192" t="s">
        <v>2009</v>
      </c>
      <c r="C603" s="217" t="s">
        <v>1011</v>
      </c>
      <c r="D603" s="120"/>
      <c r="E603" s="45">
        <f t="shared" si="37"/>
        <v>0</v>
      </c>
      <c r="F603" s="127">
        <f t="shared" ref="F603:F669" si="38">D603*E603</f>
        <v>0</v>
      </c>
      <c r="G603" s="151">
        <f>'Etude de cas n°1'!D603</f>
        <v>0</v>
      </c>
      <c r="H603" s="218"/>
      <c r="I603" s="218"/>
      <c r="J603" s="218"/>
      <c r="K603" s="218"/>
      <c r="L603" s="218"/>
      <c r="M603" s="218"/>
      <c r="N603" s="218"/>
    </row>
    <row r="604" spans="1:14" s="97" customFormat="1" ht="13.2" x14ac:dyDescent="0.25">
      <c r="A604" s="27" t="s">
        <v>2010</v>
      </c>
      <c r="B604" s="3" t="s">
        <v>2011</v>
      </c>
      <c r="C604" s="217" t="s">
        <v>1141</v>
      </c>
      <c r="D604" s="120"/>
      <c r="E604" s="45">
        <f t="shared" si="37"/>
        <v>0</v>
      </c>
      <c r="F604" s="127">
        <f t="shared" si="38"/>
        <v>0</v>
      </c>
      <c r="G604" s="151">
        <f>'Etude de cas n°1'!D604</f>
        <v>0</v>
      </c>
      <c r="H604" s="218"/>
      <c r="I604" s="218"/>
      <c r="J604" s="218"/>
      <c r="K604" s="218"/>
      <c r="L604" s="218"/>
      <c r="M604" s="218"/>
      <c r="N604" s="218"/>
    </row>
    <row r="605" spans="1:14" s="97" customFormat="1" ht="13.2" x14ac:dyDescent="0.25">
      <c r="A605" s="27" t="s">
        <v>2012</v>
      </c>
      <c r="B605" s="3" t="s">
        <v>2013</v>
      </c>
      <c r="C605" s="217" t="s">
        <v>1034</v>
      </c>
      <c r="D605" s="120"/>
      <c r="E605" s="45">
        <f t="shared" si="37"/>
        <v>0</v>
      </c>
      <c r="F605" s="127">
        <f>D605*E605</f>
        <v>0</v>
      </c>
      <c r="G605" s="151">
        <f>'Etude de cas n°1'!D605</f>
        <v>0</v>
      </c>
      <c r="H605" s="218"/>
      <c r="I605" s="218"/>
      <c r="J605" s="218"/>
      <c r="K605" s="218"/>
      <c r="L605" s="218"/>
      <c r="M605" s="218"/>
      <c r="N605" s="218"/>
    </row>
    <row r="606" spans="1:14" s="97" customFormat="1" ht="13.2" x14ac:dyDescent="0.25">
      <c r="A606" s="27" t="s">
        <v>2014</v>
      </c>
      <c r="B606" s="6" t="s">
        <v>2015</v>
      </c>
      <c r="C606" s="217" t="s">
        <v>1141</v>
      </c>
      <c r="D606" s="120"/>
      <c r="E606" s="45">
        <f t="shared" si="37"/>
        <v>0</v>
      </c>
      <c r="F606" s="127">
        <f t="shared" si="38"/>
        <v>0</v>
      </c>
      <c r="G606" s="151">
        <f>'Etude de cas n°1'!D606</f>
        <v>0</v>
      </c>
      <c r="H606" s="218"/>
      <c r="I606" s="218"/>
      <c r="J606" s="218"/>
      <c r="K606" s="218"/>
      <c r="L606" s="218"/>
      <c r="M606" s="218"/>
      <c r="N606" s="218"/>
    </row>
    <row r="607" spans="1:14" s="97" customFormat="1" ht="26.25" customHeight="1" x14ac:dyDescent="0.25">
      <c r="A607" s="27" t="s">
        <v>2016</v>
      </c>
      <c r="B607" s="6" t="s">
        <v>2017</v>
      </c>
      <c r="C607" s="217" t="s">
        <v>1232</v>
      </c>
      <c r="D607" s="120"/>
      <c r="E607" s="45">
        <f t="shared" si="37"/>
        <v>0</v>
      </c>
      <c r="F607" s="127">
        <f>D607*E607</f>
        <v>0</v>
      </c>
      <c r="G607" s="151">
        <f>'Etude de cas n°1'!D607</f>
        <v>0</v>
      </c>
      <c r="H607" s="218"/>
      <c r="I607" s="218"/>
      <c r="J607" s="218"/>
      <c r="K607" s="218"/>
      <c r="L607" s="218"/>
      <c r="M607" s="218"/>
      <c r="N607" s="218"/>
    </row>
    <row r="608" spans="1:14" s="97" customFormat="1" ht="26.4" x14ac:dyDescent="0.25">
      <c r="A608" s="27" t="s">
        <v>2018</v>
      </c>
      <c r="B608" s="6" t="s">
        <v>2019</v>
      </c>
      <c r="C608" s="217"/>
      <c r="D608" s="120"/>
      <c r="E608" s="45"/>
      <c r="F608" s="127"/>
      <c r="G608" s="151"/>
      <c r="H608" s="218"/>
      <c r="I608" s="218"/>
      <c r="J608" s="218"/>
      <c r="K608" s="218"/>
      <c r="L608" s="218"/>
      <c r="M608" s="218"/>
      <c r="N608" s="218"/>
    </row>
    <row r="609" spans="1:14" s="97" customFormat="1" ht="26.4" x14ac:dyDescent="0.25">
      <c r="A609" s="202" t="s">
        <v>2020</v>
      </c>
      <c r="B609" s="216" t="s">
        <v>2021</v>
      </c>
      <c r="C609" s="217" t="s">
        <v>1232</v>
      </c>
      <c r="D609" s="120"/>
      <c r="E609" s="45">
        <f t="shared" si="37"/>
        <v>0</v>
      </c>
      <c r="F609" s="127">
        <f t="shared" si="38"/>
        <v>0</v>
      </c>
      <c r="G609" s="151">
        <f>'Etude de cas n°1'!D609</f>
        <v>0</v>
      </c>
      <c r="H609" s="218"/>
      <c r="I609" s="218"/>
      <c r="J609" s="218"/>
      <c r="K609" s="218"/>
      <c r="L609" s="218"/>
      <c r="M609" s="218"/>
      <c r="N609" s="218"/>
    </row>
    <row r="610" spans="1:14" s="97" customFormat="1" ht="26.4" x14ac:dyDescent="0.25">
      <c r="A610" s="202" t="s">
        <v>2022</v>
      </c>
      <c r="B610" s="216" t="s">
        <v>2023</v>
      </c>
      <c r="C610" s="217" t="s">
        <v>1232</v>
      </c>
      <c r="D610" s="120"/>
      <c r="E610" s="45">
        <f t="shared" si="37"/>
        <v>0</v>
      </c>
      <c r="F610" s="127">
        <f t="shared" si="38"/>
        <v>0</v>
      </c>
      <c r="G610" s="151">
        <f>'Etude de cas n°1'!D610</f>
        <v>0</v>
      </c>
      <c r="H610" s="218"/>
      <c r="I610" s="218"/>
      <c r="J610" s="218"/>
      <c r="K610" s="218"/>
      <c r="L610" s="218"/>
      <c r="M610" s="218"/>
      <c r="N610" s="218"/>
    </row>
    <row r="611" spans="1:14" s="97" customFormat="1" ht="26.4" x14ac:dyDescent="0.25">
      <c r="A611" s="27" t="s">
        <v>2024</v>
      </c>
      <c r="B611" s="6" t="s">
        <v>2025</v>
      </c>
      <c r="C611" s="217"/>
      <c r="D611" s="120"/>
      <c r="E611" s="45"/>
      <c r="F611" s="127"/>
      <c r="G611" s="151"/>
      <c r="H611" s="218"/>
      <c r="I611" s="218"/>
      <c r="J611" s="218"/>
      <c r="K611" s="218"/>
      <c r="L611" s="218"/>
      <c r="M611" s="218"/>
      <c r="N611" s="218"/>
    </row>
    <row r="612" spans="1:14" s="97" customFormat="1" ht="26.4" x14ac:dyDescent="0.25">
      <c r="A612" s="202" t="s">
        <v>2026</v>
      </c>
      <c r="B612" s="216" t="s">
        <v>2027</v>
      </c>
      <c r="C612" s="217" t="s">
        <v>1232</v>
      </c>
      <c r="D612" s="120"/>
      <c r="E612" s="45">
        <f t="shared" si="37"/>
        <v>354.02</v>
      </c>
      <c r="F612" s="127">
        <f t="shared" si="38"/>
        <v>0</v>
      </c>
      <c r="G612" s="151">
        <f>'Etude de cas n°1'!D612</f>
        <v>354.02</v>
      </c>
      <c r="H612" s="218"/>
      <c r="I612" s="218"/>
      <c r="J612" s="218"/>
      <c r="K612" s="218"/>
      <c r="L612" s="218"/>
      <c r="M612" s="218"/>
      <c r="N612" s="218"/>
    </row>
    <row r="613" spans="1:14" s="97" customFormat="1" ht="26.4" x14ac:dyDescent="0.25">
      <c r="A613" s="202" t="s">
        <v>2028</v>
      </c>
      <c r="B613" s="216" t="s">
        <v>2029</v>
      </c>
      <c r="C613" s="217" t="s">
        <v>1232</v>
      </c>
      <c r="D613" s="120"/>
      <c r="E613" s="45">
        <f t="shared" si="37"/>
        <v>88.51</v>
      </c>
      <c r="F613" s="127">
        <f t="shared" si="38"/>
        <v>0</v>
      </c>
      <c r="G613" s="151">
        <f>'Etude de cas n°1'!D613</f>
        <v>88.51</v>
      </c>
      <c r="H613" s="218"/>
      <c r="I613" s="218"/>
      <c r="J613" s="218"/>
      <c r="K613" s="218"/>
      <c r="L613" s="218"/>
      <c r="M613" s="218"/>
      <c r="N613" s="218"/>
    </row>
    <row r="614" spans="1:14" s="94" customFormat="1" ht="26.4" x14ac:dyDescent="0.25">
      <c r="A614" s="27" t="s">
        <v>2030</v>
      </c>
      <c r="B614" s="6" t="s">
        <v>2031</v>
      </c>
      <c r="C614" s="217"/>
      <c r="D614" s="120"/>
      <c r="E614" s="45"/>
      <c r="F614" s="127"/>
      <c r="G614" s="151"/>
      <c r="H614" s="19"/>
      <c r="I614" s="19"/>
      <c r="J614" s="19"/>
      <c r="K614" s="19"/>
      <c r="L614" s="19"/>
      <c r="M614" s="19"/>
      <c r="N614" s="19"/>
    </row>
    <row r="615" spans="1:14" s="97" customFormat="1" ht="26.4" x14ac:dyDescent="0.25">
      <c r="A615" s="202" t="s">
        <v>2032</v>
      </c>
      <c r="B615" s="216" t="s">
        <v>2033</v>
      </c>
      <c r="C615" s="217" t="s">
        <v>1232</v>
      </c>
      <c r="D615" s="120"/>
      <c r="E615" s="45">
        <f t="shared" si="37"/>
        <v>20</v>
      </c>
      <c r="F615" s="127">
        <f t="shared" si="38"/>
        <v>0</v>
      </c>
      <c r="G615" s="151">
        <f>'Etude de cas n°1'!D615</f>
        <v>20</v>
      </c>
      <c r="H615" s="218"/>
      <c r="I615" s="218"/>
      <c r="J615" s="218"/>
      <c r="K615" s="218"/>
      <c r="L615" s="218"/>
      <c r="M615" s="218"/>
      <c r="N615" s="218"/>
    </row>
    <row r="616" spans="1:14" s="97" customFormat="1" ht="26.4" x14ac:dyDescent="0.25">
      <c r="A616" s="202" t="s">
        <v>2034</v>
      </c>
      <c r="B616" s="216" t="s">
        <v>2035</v>
      </c>
      <c r="C616" s="217" t="s">
        <v>1232</v>
      </c>
      <c r="D616" s="120"/>
      <c r="E616" s="45">
        <f t="shared" si="37"/>
        <v>0</v>
      </c>
      <c r="F616" s="127">
        <f t="shared" si="38"/>
        <v>0</v>
      </c>
      <c r="G616" s="151">
        <f>'Etude de cas n°1'!D616</f>
        <v>0</v>
      </c>
      <c r="H616" s="218"/>
      <c r="I616" s="218"/>
      <c r="J616" s="218"/>
      <c r="K616" s="218"/>
      <c r="L616" s="218"/>
      <c r="M616" s="218"/>
      <c r="N616" s="218"/>
    </row>
    <row r="617" spans="1:14" s="97" customFormat="1" ht="26.4" x14ac:dyDescent="0.25">
      <c r="A617" s="27" t="s">
        <v>2036</v>
      </c>
      <c r="B617" s="6" t="s">
        <v>2037</v>
      </c>
      <c r="C617" s="217"/>
      <c r="D617" s="120"/>
      <c r="E617" s="45"/>
      <c r="F617" s="127"/>
      <c r="G617" s="151"/>
      <c r="H617" s="218"/>
      <c r="I617" s="218"/>
      <c r="J617" s="218"/>
      <c r="K617" s="218"/>
      <c r="L617" s="218"/>
      <c r="M617" s="218"/>
      <c r="N617" s="218"/>
    </row>
    <row r="618" spans="1:14" s="97" customFormat="1" ht="13.2" x14ac:dyDescent="0.25">
      <c r="A618" s="202" t="s">
        <v>2038</v>
      </c>
      <c r="B618" s="216" t="s">
        <v>2039</v>
      </c>
      <c r="C618" s="217" t="s">
        <v>1232</v>
      </c>
      <c r="D618" s="120"/>
      <c r="E618" s="45">
        <f t="shared" si="37"/>
        <v>0</v>
      </c>
      <c r="F618" s="127">
        <f t="shared" si="38"/>
        <v>0</v>
      </c>
      <c r="G618" s="151">
        <f>'Etude de cas n°1'!D618</f>
        <v>0</v>
      </c>
      <c r="H618" s="218"/>
      <c r="I618" s="218"/>
      <c r="J618" s="218"/>
      <c r="K618" s="218"/>
      <c r="L618" s="218"/>
      <c r="M618" s="218"/>
      <c r="N618" s="218"/>
    </row>
    <row r="619" spans="1:14" s="97" customFormat="1" ht="26.4" x14ac:dyDescent="0.25">
      <c r="A619" s="202" t="s">
        <v>2040</v>
      </c>
      <c r="B619" s="216" t="s">
        <v>2041</v>
      </c>
      <c r="C619" s="217" t="s">
        <v>1232</v>
      </c>
      <c r="D619" s="120"/>
      <c r="E619" s="45">
        <f t="shared" si="37"/>
        <v>0</v>
      </c>
      <c r="F619" s="127">
        <f t="shared" si="38"/>
        <v>0</v>
      </c>
      <c r="G619" s="151">
        <f>'Etude de cas n°1'!D619</f>
        <v>0</v>
      </c>
      <c r="H619" s="218"/>
      <c r="I619" s="218"/>
      <c r="J619" s="218"/>
      <c r="K619" s="218"/>
      <c r="L619" s="218"/>
      <c r="M619" s="218"/>
      <c r="N619" s="218"/>
    </row>
    <row r="620" spans="1:14" s="97" customFormat="1" ht="13.2" x14ac:dyDescent="0.25">
      <c r="A620" s="27" t="s">
        <v>2042</v>
      </c>
      <c r="B620" s="6" t="s">
        <v>2043</v>
      </c>
      <c r="C620" s="217"/>
      <c r="D620" s="120"/>
      <c r="E620" s="45"/>
      <c r="F620" s="127"/>
      <c r="G620" s="151"/>
      <c r="H620" s="218"/>
      <c r="I620" s="218"/>
      <c r="J620" s="218"/>
      <c r="K620" s="218"/>
      <c r="L620" s="218"/>
      <c r="M620" s="218"/>
      <c r="N620" s="218"/>
    </row>
    <row r="621" spans="1:14" s="97" customFormat="1" ht="13.2" x14ac:dyDescent="0.25">
      <c r="A621" s="202" t="s">
        <v>2044</v>
      </c>
      <c r="B621" s="216" t="s">
        <v>2045</v>
      </c>
      <c r="C621" s="217" t="s">
        <v>1232</v>
      </c>
      <c r="D621" s="120"/>
      <c r="E621" s="45">
        <f t="shared" si="37"/>
        <v>0</v>
      </c>
      <c r="F621" s="127">
        <f t="shared" si="38"/>
        <v>0</v>
      </c>
      <c r="G621" s="151">
        <f>'Etude de cas n°1'!D621</f>
        <v>0</v>
      </c>
      <c r="H621" s="218"/>
      <c r="I621" s="218"/>
      <c r="J621" s="218"/>
      <c r="K621" s="218"/>
      <c r="L621" s="218"/>
      <c r="M621" s="218"/>
      <c r="N621" s="218"/>
    </row>
    <row r="622" spans="1:14" s="97" customFormat="1" ht="13.2" x14ac:dyDescent="0.25">
      <c r="A622" s="202" t="s">
        <v>2046</v>
      </c>
      <c r="B622" s="216" t="s">
        <v>2047</v>
      </c>
      <c r="C622" s="217" t="s">
        <v>1232</v>
      </c>
      <c r="D622" s="120"/>
      <c r="E622" s="45">
        <f t="shared" si="37"/>
        <v>0</v>
      </c>
      <c r="F622" s="127">
        <f t="shared" si="38"/>
        <v>0</v>
      </c>
      <c r="G622" s="151">
        <f>'Etude de cas n°1'!D622</f>
        <v>0</v>
      </c>
      <c r="H622" s="218"/>
      <c r="I622" s="218"/>
      <c r="J622" s="218"/>
      <c r="K622" s="218"/>
      <c r="L622" s="218"/>
      <c r="M622" s="218"/>
      <c r="N622" s="218"/>
    </row>
    <row r="623" spans="1:14" s="97" customFormat="1" ht="13.2" x14ac:dyDescent="0.25">
      <c r="A623" s="27" t="s">
        <v>2048</v>
      </c>
      <c r="B623" s="6" t="s">
        <v>2049</v>
      </c>
      <c r="C623" s="217"/>
      <c r="D623" s="120"/>
      <c r="E623" s="45"/>
      <c r="F623" s="127"/>
      <c r="G623" s="151"/>
      <c r="H623" s="218"/>
      <c r="I623" s="218"/>
      <c r="J623" s="218"/>
      <c r="K623" s="218"/>
      <c r="L623" s="218"/>
      <c r="M623" s="218"/>
      <c r="N623" s="218"/>
    </row>
    <row r="624" spans="1:14" s="97" customFormat="1" ht="26.4" x14ac:dyDescent="0.25">
      <c r="A624" s="202" t="s">
        <v>2050</v>
      </c>
      <c r="B624" s="216" t="s">
        <v>2051</v>
      </c>
      <c r="C624" s="217" t="s">
        <v>1232</v>
      </c>
      <c r="D624" s="120"/>
      <c r="E624" s="45">
        <f t="shared" si="37"/>
        <v>0</v>
      </c>
      <c r="F624" s="127">
        <f t="shared" si="38"/>
        <v>0</v>
      </c>
      <c r="G624" s="151">
        <f>'Etude de cas n°1'!D624</f>
        <v>0</v>
      </c>
      <c r="H624" s="218"/>
      <c r="I624" s="218"/>
      <c r="J624" s="218"/>
      <c r="K624" s="218"/>
      <c r="L624" s="218"/>
      <c r="M624" s="218"/>
      <c r="N624" s="218"/>
    </row>
    <row r="625" spans="1:14" s="94" customFormat="1" ht="26.4" x14ac:dyDescent="0.25">
      <c r="A625" s="202" t="s">
        <v>2052</v>
      </c>
      <c r="B625" s="216" t="s">
        <v>2053</v>
      </c>
      <c r="C625" s="217" t="s">
        <v>1232</v>
      </c>
      <c r="D625" s="120"/>
      <c r="E625" s="45">
        <f t="shared" si="37"/>
        <v>0</v>
      </c>
      <c r="F625" s="127">
        <f t="shared" si="38"/>
        <v>0</v>
      </c>
      <c r="G625" s="151">
        <f>'Etude de cas n°1'!D625</f>
        <v>0</v>
      </c>
      <c r="H625" s="19"/>
      <c r="I625" s="19"/>
      <c r="J625" s="19"/>
      <c r="K625" s="19"/>
      <c r="L625" s="19"/>
      <c r="M625" s="19"/>
      <c r="N625" s="19"/>
    </row>
    <row r="626" spans="1:14" s="97" customFormat="1" ht="13.2" x14ac:dyDescent="0.25">
      <c r="A626" s="27" t="s">
        <v>2054</v>
      </c>
      <c r="B626" s="6" t="s">
        <v>2055</v>
      </c>
      <c r="C626" s="217"/>
      <c r="D626" s="120"/>
      <c r="E626" s="45"/>
      <c r="F626" s="127"/>
      <c r="G626" s="151"/>
      <c r="H626" s="218"/>
      <c r="I626" s="218"/>
      <c r="J626" s="218"/>
      <c r="K626" s="218"/>
      <c r="L626" s="218"/>
      <c r="M626" s="218"/>
      <c r="N626" s="218"/>
    </row>
    <row r="627" spans="1:14" s="97" customFormat="1" ht="13.2" x14ac:dyDescent="0.25">
      <c r="A627" s="202" t="s">
        <v>2056</v>
      </c>
      <c r="B627" s="216" t="s">
        <v>2057</v>
      </c>
      <c r="C627" s="217" t="s">
        <v>1232</v>
      </c>
      <c r="D627" s="120"/>
      <c r="E627" s="45">
        <f t="shared" si="37"/>
        <v>0</v>
      </c>
      <c r="F627" s="127">
        <f t="shared" si="38"/>
        <v>0</v>
      </c>
      <c r="G627" s="151">
        <f>'Etude de cas n°1'!D627</f>
        <v>0</v>
      </c>
      <c r="H627" s="218"/>
      <c r="I627" s="218"/>
      <c r="J627" s="218"/>
      <c r="K627" s="218"/>
      <c r="L627" s="218"/>
      <c r="M627" s="218"/>
      <c r="N627" s="218"/>
    </row>
    <row r="628" spans="1:14" s="97" customFormat="1" ht="13.2" x14ac:dyDescent="0.25">
      <c r="A628" s="202" t="s">
        <v>2058</v>
      </c>
      <c r="B628" s="216" t="s">
        <v>2059</v>
      </c>
      <c r="C628" s="217" t="s">
        <v>1232</v>
      </c>
      <c r="D628" s="120"/>
      <c r="E628" s="45">
        <f t="shared" si="37"/>
        <v>0</v>
      </c>
      <c r="F628" s="127">
        <f t="shared" si="38"/>
        <v>0</v>
      </c>
      <c r="G628" s="151">
        <f>'Etude de cas n°1'!D628</f>
        <v>0</v>
      </c>
      <c r="H628" s="218"/>
      <c r="I628" s="218"/>
      <c r="J628" s="218"/>
      <c r="K628" s="218"/>
      <c r="L628" s="218"/>
      <c r="M628" s="218"/>
      <c r="N628" s="218"/>
    </row>
    <row r="629" spans="1:14" s="97" customFormat="1" ht="13.2" x14ac:dyDescent="0.25">
      <c r="A629" s="27" t="s">
        <v>2060</v>
      </c>
      <c r="B629" s="6" t="s">
        <v>2061</v>
      </c>
      <c r="C629" s="217" t="s">
        <v>1232</v>
      </c>
      <c r="D629" s="120"/>
      <c r="E629" s="45">
        <f t="shared" si="37"/>
        <v>0</v>
      </c>
      <c r="F629" s="127">
        <f t="shared" si="38"/>
        <v>0</v>
      </c>
      <c r="G629" s="151">
        <f>'Etude de cas n°1'!D629</f>
        <v>0</v>
      </c>
      <c r="H629" s="218"/>
      <c r="I629" s="218"/>
      <c r="J629" s="218"/>
      <c r="K629" s="218"/>
      <c r="L629" s="218"/>
      <c r="M629" s="218"/>
      <c r="N629" s="218"/>
    </row>
    <row r="630" spans="1:14" s="97" customFormat="1" ht="26.4" x14ac:dyDescent="0.25">
      <c r="A630" s="27" t="s">
        <v>2062</v>
      </c>
      <c r="B630" s="6" t="s">
        <v>2063</v>
      </c>
      <c r="C630" s="217" t="s">
        <v>1232</v>
      </c>
      <c r="D630" s="120"/>
      <c r="E630" s="45">
        <f t="shared" si="37"/>
        <v>80.459999999999994</v>
      </c>
      <c r="F630" s="127">
        <f t="shared" si="38"/>
        <v>0</v>
      </c>
      <c r="G630" s="151">
        <f>'Etude de cas n°1'!D630</f>
        <v>80.459999999999994</v>
      </c>
      <c r="H630" s="218"/>
      <c r="I630" s="218"/>
      <c r="J630" s="218"/>
      <c r="K630" s="218"/>
      <c r="L630" s="218"/>
      <c r="M630" s="218"/>
      <c r="N630" s="218"/>
    </row>
    <row r="631" spans="1:14" s="97" customFormat="1" ht="13.2" x14ac:dyDescent="0.25">
      <c r="A631" s="27" t="s">
        <v>2064</v>
      </c>
      <c r="B631" s="6" t="s">
        <v>2065</v>
      </c>
      <c r="C631" s="217" t="s">
        <v>1232</v>
      </c>
      <c r="D631" s="120"/>
      <c r="E631" s="45">
        <f t="shared" si="37"/>
        <v>0</v>
      </c>
      <c r="F631" s="127">
        <f t="shared" si="38"/>
        <v>0</v>
      </c>
      <c r="G631" s="151">
        <f>'Etude de cas n°1'!D631</f>
        <v>0</v>
      </c>
      <c r="H631" s="218"/>
      <c r="I631" s="218"/>
      <c r="J631" s="218"/>
      <c r="K631" s="218"/>
      <c r="L631" s="218"/>
      <c r="M631" s="218"/>
      <c r="N631" s="218"/>
    </row>
    <row r="632" spans="1:14" s="97" customFormat="1" ht="13.2" x14ac:dyDescent="0.25">
      <c r="A632" s="27" t="s">
        <v>2066</v>
      </c>
      <c r="B632" s="6" t="s">
        <v>2067</v>
      </c>
      <c r="C632" s="217" t="s">
        <v>1232</v>
      </c>
      <c r="D632" s="120"/>
      <c r="E632" s="45">
        <f t="shared" si="37"/>
        <v>0</v>
      </c>
      <c r="F632" s="127">
        <f t="shared" si="38"/>
        <v>0</v>
      </c>
      <c r="G632" s="151">
        <f>'Etude de cas n°1'!D632</f>
        <v>0</v>
      </c>
      <c r="H632" s="218"/>
      <c r="I632" s="218"/>
      <c r="J632" s="218"/>
      <c r="K632" s="218"/>
      <c r="L632" s="218"/>
      <c r="M632" s="218"/>
      <c r="N632" s="218"/>
    </row>
    <row r="633" spans="1:14" s="94" customFormat="1" ht="26.4" x14ac:dyDescent="0.25">
      <c r="A633" s="27" t="s">
        <v>2068</v>
      </c>
      <c r="B633" s="6" t="s">
        <v>2069</v>
      </c>
      <c r="C633" s="217" t="s">
        <v>1232</v>
      </c>
      <c r="D633" s="120"/>
      <c r="E633" s="45">
        <f t="shared" si="37"/>
        <v>0</v>
      </c>
      <c r="F633" s="127">
        <f t="shared" si="38"/>
        <v>0</v>
      </c>
      <c r="G633" s="151">
        <f>'Etude de cas n°1'!D633</f>
        <v>0</v>
      </c>
      <c r="H633" s="19"/>
      <c r="I633" s="19"/>
      <c r="J633" s="19"/>
      <c r="K633" s="19"/>
      <c r="L633" s="19"/>
      <c r="M633" s="19"/>
      <c r="N633" s="19"/>
    </row>
    <row r="634" spans="1:14" s="97" customFormat="1" ht="26.4" x14ac:dyDescent="0.25">
      <c r="A634" s="27" t="s">
        <v>2070</v>
      </c>
      <c r="B634" s="6" t="s">
        <v>2071</v>
      </c>
      <c r="C634" s="217"/>
      <c r="D634" s="120"/>
      <c r="E634" s="45"/>
      <c r="F634" s="127"/>
      <c r="G634" s="151"/>
      <c r="H634" s="218"/>
      <c r="I634" s="218"/>
      <c r="J634" s="218"/>
      <c r="K634" s="218"/>
      <c r="L634" s="218"/>
      <c r="M634" s="218"/>
      <c r="N634" s="218"/>
    </row>
    <row r="635" spans="1:14" s="97" customFormat="1" ht="13.2" x14ac:dyDescent="0.25">
      <c r="A635" s="202" t="s">
        <v>2072</v>
      </c>
      <c r="B635" s="216" t="s">
        <v>2073</v>
      </c>
      <c r="C635" s="217" t="s">
        <v>1232</v>
      </c>
      <c r="D635" s="120"/>
      <c r="E635" s="45">
        <f t="shared" si="37"/>
        <v>0</v>
      </c>
      <c r="F635" s="127">
        <f t="shared" si="38"/>
        <v>0</v>
      </c>
      <c r="G635" s="151">
        <f>'Etude de cas n°1'!D635</f>
        <v>0</v>
      </c>
      <c r="H635" s="218"/>
      <c r="I635" s="218"/>
      <c r="J635" s="218"/>
      <c r="K635" s="218"/>
      <c r="L635" s="218"/>
      <c r="M635" s="218"/>
      <c r="N635" s="218"/>
    </row>
    <row r="636" spans="1:14" s="97" customFormat="1" ht="13.2" x14ac:dyDescent="0.25">
      <c r="A636" s="202" t="s">
        <v>2074</v>
      </c>
      <c r="B636" s="216" t="s">
        <v>2075</v>
      </c>
      <c r="C636" s="217" t="s">
        <v>1232</v>
      </c>
      <c r="D636" s="120"/>
      <c r="E636" s="45">
        <f t="shared" ref="E636" si="39">G636</f>
        <v>0</v>
      </c>
      <c r="F636" s="127">
        <f t="shared" si="38"/>
        <v>0</v>
      </c>
      <c r="G636" s="151">
        <f>'Etude de cas n°1'!D636</f>
        <v>0</v>
      </c>
      <c r="H636" s="218"/>
      <c r="I636" s="218"/>
      <c r="J636" s="218"/>
      <c r="K636" s="218"/>
      <c r="L636" s="218"/>
      <c r="M636" s="218"/>
      <c r="N636" s="218"/>
    </row>
    <row r="637" spans="1:14" s="97" customFormat="1" ht="13.2" x14ac:dyDescent="0.25">
      <c r="A637" s="202" t="s">
        <v>2076</v>
      </c>
      <c r="B637" s="216" t="s">
        <v>2077</v>
      </c>
      <c r="C637" s="217" t="s">
        <v>1232</v>
      </c>
      <c r="D637" s="120"/>
      <c r="E637" s="45">
        <f t="shared" si="37"/>
        <v>402.3</v>
      </c>
      <c r="F637" s="127">
        <f t="shared" si="38"/>
        <v>0</v>
      </c>
      <c r="G637" s="151">
        <f>'Etude de cas n°1'!D637</f>
        <v>402.3</v>
      </c>
      <c r="H637" s="218"/>
      <c r="I637" s="218"/>
      <c r="J637" s="218"/>
      <c r="K637" s="218"/>
      <c r="L637" s="218"/>
      <c r="M637" s="218"/>
      <c r="N637" s="218"/>
    </row>
    <row r="638" spans="1:14" s="97" customFormat="1" ht="13.2" x14ac:dyDescent="0.25">
      <c r="A638" s="202" t="s">
        <v>2078</v>
      </c>
      <c r="B638" s="216" t="s">
        <v>2079</v>
      </c>
      <c r="C638" s="217" t="s">
        <v>1232</v>
      </c>
      <c r="D638" s="120"/>
      <c r="E638" s="45">
        <f t="shared" si="37"/>
        <v>0</v>
      </c>
      <c r="F638" s="127">
        <f t="shared" si="38"/>
        <v>0</v>
      </c>
      <c r="G638" s="151">
        <f>'Etude de cas n°1'!D638</f>
        <v>0</v>
      </c>
      <c r="H638" s="218"/>
      <c r="I638" s="218"/>
      <c r="J638" s="218"/>
      <c r="K638" s="218"/>
      <c r="L638" s="218"/>
      <c r="M638" s="218"/>
      <c r="N638" s="218"/>
    </row>
    <row r="639" spans="1:14" s="97" customFormat="1" ht="26.4" x14ac:dyDescent="0.25">
      <c r="A639" s="202" t="s">
        <v>2080</v>
      </c>
      <c r="B639" s="216" t="s">
        <v>2081</v>
      </c>
      <c r="C639" s="217" t="s">
        <v>1232</v>
      </c>
      <c r="D639" s="120"/>
      <c r="E639" s="45">
        <f t="shared" si="37"/>
        <v>0</v>
      </c>
      <c r="F639" s="127">
        <f t="shared" si="38"/>
        <v>0</v>
      </c>
      <c r="G639" s="151">
        <f>'Etude de cas n°1'!D639</f>
        <v>0</v>
      </c>
      <c r="H639" s="218"/>
      <c r="I639" s="218"/>
      <c r="J639" s="218"/>
      <c r="K639" s="218"/>
      <c r="L639" s="218"/>
      <c r="M639" s="218"/>
      <c r="N639" s="218"/>
    </row>
    <row r="640" spans="1:14" s="97" customFormat="1" ht="13.2" x14ac:dyDescent="0.25">
      <c r="A640" s="83" t="s">
        <v>2082</v>
      </c>
      <c r="B640" s="4" t="s">
        <v>2083</v>
      </c>
      <c r="C640" s="217" t="s">
        <v>1232</v>
      </c>
      <c r="D640" s="120"/>
      <c r="E640" s="45">
        <f t="shared" si="37"/>
        <v>0</v>
      </c>
      <c r="F640" s="127">
        <f t="shared" ref="F640" si="40">D640*E640</f>
        <v>0</v>
      </c>
      <c r="G640" s="151">
        <f>'Etude de cas n°1'!D640</f>
        <v>0</v>
      </c>
      <c r="H640" s="218"/>
      <c r="I640" s="218"/>
      <c r="J640" s="218"/>
      <c r="K640" s="218"/>
      <c r="L640" s="218"/>
      <c r="M640" s="218"/>
      <c r="N640" s="218"/>
    </row>
    <row r="641" spans="1:14" s="97" customFormat="1" ht="13.2" x14ac:dyDescent="0.25">
      <c r="A641" s="83" t="s">
        <v>2084</v>
      </c>
      <c r="B641" s="4" t="s">
        <v>2085</v>
      </c>
      <c r="C641" s="217" t="s">
        <v>1232</v>
      </c>
      <c r="D641" s="120"/>
      <c r="E641" s="45">
        <f t="shared" si="37"/>
        <v>0</v>
      </c>
      <c r="F641" s="127">
        <f t="shared" ref="F641" si="41">D641*E641</f>
        <v>0</v>
      </c>
      <c r="G641" s="151">
        <f>'Etude de cas n°1'!D641</f>
        <v>0</v>
      </c>
      <c r="H641" s="218"/>
      <c r="I641" s="218"/>
      <c r="J641" s="218"/>
      <c r="K641" s="218"/>
      <c r="L641" s="218"/>
      <c r="M641" s="218"/>
      <c r="N641" s="218"/>
    </row>
    <row r="642" spans="1:14" s="97" customFormat="1" ht="13.2" x14ac:dyDescent="0.25">
      <c r="A642" s="83" t="s">
        <v>2086</v>
      </c>
      <c r="B642" s="4" t="s">
        <v>2087</v>
      </c>
      <c r="C642" s="217" t="s">
        <v>2088</v>
      </c>
      <c r="D642" s="120"/>
      <c r="E642" s="45">
        <f t="shared" si="37"/>
        <v>0</v>
      </c>
      <c r="F642" s="127">
        <f t="shared" ref="F642" si="42">D642*E642</f>
        <v>0</v>
      </c>
      <c r="G642" s="151">
        <f>'Etude de cas n°1'!D642</f>
        <v>0</v>
      </c>
      <c r="H642" s="218"/>
      <c r="I642" s="218"/>
      <c r="J642" s="218"/>
      <c r="K642" s="218"/>
      <c r="L642" s="218"/>
      <c r="M642" s="218"/>
      <c r="N642" s="218"/>
    </row>
    <row r="643" spans="1:14" s="97" customFormat="1" ht="13.2" x14ac:dyDescent="0.25">
      <c r="A643" s="27" t="s">
        <v>2089</v>
      </c>
      <c r="B643" s="6" t="s">
        <v>2090</v>
      </c>
      <c r="C643" s="217"/>
      <c r="D643" s="120"/>
      <c r="E643" s="45"/>
      <c r="F643" s="127"/>
      <c r="G643" s="151"/>
      <c r="H643" s="218"/>
      <c r="I643" s="218"/>
      <c r="J643" s="218"/>
      <c r="K643" s="218"/>
      <c r="L643" s="218"/>
      <c r="M643" s="218"/>
      <c r="N643" s="218"/>
    </row>
    <row r="644" spans="1:14" s="94" customFormat="1" ht="13.2" x14ac:dyDescent="0.25">
      <c r="A644" s="202" t="s">
        <v>2091</v>
      </c>
      <c r="B644" s="216" t="s">
        <v>2092</v>
      </c>
      <c r="C644" s="217"/>
      <c r="D644" s="120"/>
      <c r="E644" s="45"/>
      <c r="F644" s="127"/>
      <c r="G644" s="151"/>
      <c r="H644" s="19"/>
      <c r="I644" s="19"/>
      <c r="J644" s="19"/>
      <c r="K644" s="19"/>
      <c r="L644" s="19"/>
      <c r="M644" s="19"/>
      <c r="N644" s="19"/>
    </row>
    <row r="645" spans="1:14" s="97" customFormat="1" ht="13.2" x14ac:dyDescent="0.25">
      <c r="A645" s="202" t="s">
        <v>2093</v>
      </c>
      <c r="B645" s="216" t="s">
        <v>2094</v>
      </c>
      <c r="C645" s="217" t="s">
        <v>1141</v>
      </c>
      <c r="D645" s="120"/>
      <c r="E645" s="45">
        <f t="shared" ref="E645:E657" si="43">G645</f>
        <v>0</v>
      </c>
      <c r="F645" s="127">
        <f t="shared" si="38"/>
        <v>0</v>
      </c>
      <c r="G645" s="151">
        <f>'Etude de cas n°1'!D645</f>
        <v>0</v>
      </c>
      <c r="H645" s="218"/>
      <c r="I645" s="218"/>
      <c r="J645" s="218"/>
      <c r="K645" s="218"/>
      <c r="L645" s="218"/>
      <c r="M645" s="218"/>
      <c r="N645" s="218"/>
    </row>
    <row r="646" spans="1:14" s="97" customFormat="1" ht="13.2" x14ac:dyDescent="0.25">
      <c r="A646" s="202" t="s">
        <v>2095</v>
      </c>
      <c r="B646" s="216" t="s">
        <v>2096</v>
      </c>
      <c r="C646" s="217" t="s">
        <v>1141</v>
      </c>
      <c r="D646" s="120"/>
      <c r="E646" s="45">
        <f t="shared" si="43"/>
        <v>145.05000000000001</v>
      </c>
      <c r="F646" s="127">
        <f t="shared" si="38"/>
        <v>0</v>
      </c>
      <c r="G646" s="151">
        <f>'Etude de cas n°1'!D646</f>
        <v>145.05000000000001</v>
      </c>
      <c r="H646" s="218"/>
      <c r="I646" s="218"/>
      <c r="J646" s="218"/>
      <c r="K646" s="218"/>
      <c r="L646" s="218"/>
      <c r="M646" s="218"/>
      <c r="N646" s="218"/>
    </row>
    <row r="647" spans="1:14" s="97" customFormat="1" ht="13.2" x14ac:dyDescent="0.25">
      <c r="A647" s="202" t="s">
        <v>2097</v>
      </c>
      <c r="B647" s="216" t="s">
        <v>2098</v>
      </c>
      <c r="C647" s="217" t="s">
        <v>1141</v>
      </c>
      <c r="D647" s="120"/>
      <c r="E647" s="45">
        <f t="shared" si="43"/>
        <v>0</v>
      </c>
      <c r="F647" s="127">
        <f t="shared" si="38"/>
        <v>0</v>
      </c>
      <c r="G647" s="151">
        <f>'Etude de cas n°1'!D647</f>
        <v>0</v>
      </c>
      <c r="H647" s="218"/>
      <c r="I647" s="218"/>
      <c r="J647" s="218"/>
      <c r="K647" s="218"/>
      <c r="L647" s="218"/>
      <c r="M647" s="218"/>
      <c r="N647" s="218"/>
    </row>
    <row r="648" spans="1:14" s="97" customFormat="1" ht="13.2" x14ac:dyDescent="0.25">
      <c r="A648" s="202" t="s">
        <v>2099</v>
      </c>
      <c r="B648" s="216" t="s">
        <v>2100</v>
      </c>
      <c r="C648" s="217" t="s">
        <v>1141</v>
      </c>
      <c r="D648" s="120"/>
      <c r="E648" s="45">
        <f t="shared" si="43"/>
        <v>0</v>
      </c>
      <c r="F648" s="127">
        <f t="shared" si="38"/>
        <v>0</v>
      </c>
      <c r="G648" s="151">
        <f>'Etude de cas n°1'!D648</f>
        <v>0</v>
      </c>
      <c r="H648" s="218"/>
      <c r="I648" s="218"/>
      <c r="J648" s="218"/>
      <c r="K648" s="218"/>
      <c r="L648" s="218"/>
      <c r="M648" s="218"/>
      <c r="N648" s="218"/>
    </row>
    <row r="649" spans="1:14" s="97" customFormat="1" ht="13.2" x14ac:dyDescent="0.25">
      <c r="A649" s="202" t="s">
        <v>2101</v>
      </c>
      <c r="B649" s="216" t="s">
        <v>2102</v>
      </c>
      <c r="C649" s="217" t="s">
        <v>1141</v>
      </c>
      <c r="D649" s="120"/>
      <c r="E649" s="45">
        <f t="shared" si="43"/>
        <v>200</v>
      </c>
      <c r="F649" s="127">
        <f t="shared" si="38"/>
        <v>0</v>
      </c>
      <c r="G649" s="151">
        <f>'Etude de cas n°1'!D649</f>
        <v>200</v>
      </c>
      <c r="H649" s="218"/>
      <c r="I649" s="218"/>
      <c r="J649" s="218"/>
      <c r="K649" s="218"/>
      <c r="L649" s="218"/>
      <c r="M649" s="218"/>
      <c r="N649" s="218"/>
    </row>
    <row r="650" spans="1:14" s="97" customFormat="1" ht="13.2" x14ac:dyDescent="0.25">
      <c r="A650" s="202" t="s">
        <v>2103</v>
      </c>
      <c r="B650" s="216" t="s">
        <v>2104</v>
      </c>
      <c r="C650" s="217" t="s">
        <v>1141</v>
      </c>
      <c r="D650" s="120"/>
      <c r="E650" s="45">
        <f t="shared" si="43"/>
        <v>0</v>
      </c>
      <c r="F650" s="127">
        <f t="shared" si="38"/>
        <v>0</v>
      </c>
      <c r="G650" s="151">
        <f>'Etude de cas n°1'!D650</f>
        <v>0</v>
      </c>
      <c r="H650" s="218"/>
      <c r="I650" s="218"/>
      <c r="J650" s="218"/>
      <c r="K650" s="218"/>
      <c r="L650" s="218"/>
      <c r="M650" s="218"/>
      <c r="N650" s="218"/>
    </row>
    <row r="651" spans="1:14" s="97" customFormat="1" ht="13.2" x14ac:dyDescent="0.25">
      <c r="A651" s="202" t="s">
        <v>2105</v>
      </c>
      <c r="B651" s="216" t="s">
        <v>2106</v>
      </c>
      <c r="C651" s="217" t="s">
        <v>1141</v>
      </c>
      <c r="D651" s="120"/>
      <c r="E651" s="45">
        <f t="shared" si="43"/>
        <v>0</v>
      </c>
      <c r="F651" s="127">
        <f t="shared" si="38"/>
        <v>0</v>
      </c>
      <c r="G651" s="151">
        <f>'Etude de cas n°1'!D651</f>
        <v>0</v>
      </c>
      <c r="H651" s="218"/>
      <c r="I651" s="218"/>
      <c r="J651" s="218"/>
      <c r="K651" s="218"/>
      <c r="L651" s="218"/>
      <c r="M651" s="218"/>
      <c r="N651" s="218"/>
    </row>
    <row r="652" spans="1:14" s="97" customFormat="1" ht="13.2" x14ac:dyDescent="0.25">
      <c r="A652" s="202" t="s">
        <v>2107</v>
      </c>
      <c r="B652" s="216" t="s">
        <v>2108</v>
      </c>
      <c r="C652" s="217" t="s">
        <v>2109</v>
      </c>
      <c r="D652" s="120"/>
      <c r="E652" s="45">
        <f t="shared" si="43"/>
        <v>0</v>
      </c>
      <c r="F652" s="127">
        <f t="shared" si="38"/>
        <v>0</v>
      </c>
      <c r="G652" s="151">
        <f>'Etude de cas n°1'!D652</f>
        <v>0</v>
      </c>
      <c r="H652" s="218"/>
      <c r="I652" s="218"/>
      <c r="J652" s="218"/>
      <c r="K652" s="218"/>
      <c r="L652" s="218"/>
      <c r="M652" s="218"/>
      <c r="N652" s="218"/>
    </row>
    <row r="653" spans="1:14" s="97" customFormat="1" ht="13.2" x14ac:dyDescent="0.25">
      <c r="A653" s="202" t="s">
        <v>2110</v>
      </c>
      <c r="B653" s="216" t="s">
        <v>2111</v>
      </c>
      <c r="C653" s="217"/>
      <c r="D653" s="120"/>
      <c r="E653" s="47"/>
      <c r="F653" s="127"/>
      <c r="G653" s="151"/>
      <c r="H653" s="218"/>
      <c r="I653" s="218"/>
      <c r="J653" s="218"/>
      <c r="K653" s="218"/>
      <c r="L653" s="218"/>
      <c r="M653" s="218"/>
      <c r="N653" s="218"/>
    </row>
    <row r="654" spans="1:14" s="97" customFormat="1" ht="13.2" x14ac:dyDescent="0.25">
      <c r="A654" s="202" t="s">
        <v>2112</v>
      </c>
      <c r="B654" s="216" t="s">
        <v>2113</v>
      </c>
      <c r="C654" s="217" t="s">
        <v>1141</v>
      </c>
      <c r="D654" s="120"/>
      <c r="E654" s="45">
        <f t="shared" si="43"/>
        <v>0</v>
      </c>
      <c r="F654" s="127">
        <f t="shared" si="38"/>
        <v>0</v>
      </c>
      <c r="G654" s="151">
        <f>'Etude de cas n°1'!D654</f>
        <v>0</v>
      </c>
      <c r="H654" s="218"/>
      <c r="I654" s="218"/>
      <c r="J654" s="218"/>
      <c r="K654" s="218"/>
      <c r="L654" s="218"/>
      <c r="M654" s="218"/>
      <c r="N654" s="218"/>
    </row>
    <row r="655" spans="1:14" s="97" customFormat="1" ht="13.2" x14ac:dyDescent="0.25">
      <c r="A655" s="202" t="s">
        <v>2114</v>
      </c>
      <c r="B655" s="216" t="s">
        <v>2115</v>
      </c>
      <c r="C655" s="217" t="s">
        <v>1141</v>
      </c>
      <c r="D655" s="120"/>
      <c r="E655" s="45">
        <f t="shared" si="43"/>
        <v>0</v>
      </c>
      <c r="F655" s="127">
        <f t="shared" si="38"/>
        <v>0</v>
      </c>
      <c r="G655" s="151">
        <f>'Etude de cas n°1'!D655</f>
        <v>0</v>
      </c>
      <c r="H655" s="218"/>
      <c r="I655" s="218"/>
      <c r="J655" s="218"/>
      <c r="K655" s="218"/>
      <c r="L655" s="218"/>
      <c r="M655" s="218"/>
      <c r="N655" s="218"/>
    </row>
    <row r="656" spans="1:14" s="97" customFormat="1" ht="13.2" x14ac:dyDescent="0.25">
      <c r="A656" s="202" t="s">
        <v>2116</v>
      </c>
      <c r="B656" s="216" t="s">
        <v>2117</v>
      </c>
      <c r="C656" s="217" t="s">
        <v>2109</v>
      </c>
      <c r="D656" s="120"/>
      <c r="E656" s="45">
        <f t="shared" si="43"/>
        <v>0</v>
      </c>
      <c r="F656" s="127">
        <f t="shared" si="38"/>
        <v>0</v>
      </c>
      <c r="G656" s="151">
        <f>'Etude de cas n°1'!D656</f>
        <v>0</v>
      </c>
      <c r="H656" s="218"/>
      <c r="I656" s="218"/>
      <c r="J656" s="218"/>
      <c r="K656" s="218"/>
      <c r="L656" s="218"/>
      <c r="M656" s="218"/>
      <c r="N656" s="218"/>
    </row>
    <row r="657" spans="1:14" s="94" customFormat="1" ht="13.2" x14ac:dyDescent="0.25">
      <c r="A657" s="202" t="s">
        <v>2118</v>
      </c>
      <c r="B657" s="216" t="s">
        <v>2119</v>
      </c>
      <c r="C657" s="217" t="s">
        <v>1141</v>
      </c>
      <c r="D657" s="120"/>
      <c r="E657" s="45">
        <f t="shared" si="43"/>
        <v>0</v>
      </c>
      <c r="F657" s="127">
        <f t="shared" si="38"/>
        <v>0</v>
      </c>
      <c r="G657" s="151">
        <f>'Etude de cas n°1'!D657</f>
        <v>0</v>
      </c>
      <c r="H657" s="19"/>
      <c r="I657" s="19"/>
      <c r="J657" s="19"/>
      <c r="K657" s="19"/>
      <c r="L657" s="19"/>
      <c r="M657" s="19"/>
      <c r="N657" s="19"/>
    </row>
    <row r="658" spans="1:14" s="97" customFormat="1" ht="13.2" x14ac:dyDescent="0.25">
      <c r="A658" s="202" t="s">
        <v>2120</v>
      </c>
      <c r="B658" s="216" t="s">
        <v>2121</v>
      </c>
      <c r="C658" s="217"/>
      <c r="D658" s="120"/>
      <c r="E658" s="45"/>
      <c r="F658" s="127"/>
      <c r="G658" s="151"/>
      <c r="H658" s="218"/>
      <c r="I658" s="218"/>
      <c r="J658" s="218"/>
      <c r="K658" s="218"/>
      <c r="L658" s="218"/>
      <c r="M658" s="218"/>
      <c r="N658" s="218"/>
    </row>
    <row r="659" spans="1:14" s="97" customFormat="1" ht="13.2" x14ac:dyDescent="0.25">
      <c r="A659" s="202" t="s">
        <v>2122</v>
      </c>
      <c r="B659" s="216" t="s">
        <v>2123</v>
      </c>
      <c r="C659" s="217"/>
      <c r="D659" s="120"/>
      <c r="E659" s="45"/>
      <c r="F659" s="127"/>
      <c r="G659" s="151"/>
      <c r="H659" s="218"/>
      <c r="I659" s="218"/>
      <c r="J659" s="218"/>
      <c r="K659" s="218"/>
      <c r="L659" s="218"/>
      <c r="M659" s="218"/>
      <c r="N659" s="218"/>
    </row>
    <row r="660" spans="1:14" s="97" customFormat="1" ht="13.2" x14ac:dyDescent="0.25">
      <c r="A660" s="202" t="s">
        <v>2124</v>
      </c>
      <c r="B660" s="216" t="s">
        <v>2125</v>
      </c>
      <c r="C660" s="217" t="s">
        <v>984</v>
      </c>
      <c r="D660" s="120"/>
      <c r="E660" s="45">
        <f t="shared" ref="E660:E669" si="44">G660</f>
        <v>0</v>
      </c>
      <c r="F660" s="127">
        <f t="shared" si="38"/>
        <v>0</v>
      </c>
      <c r="G660" s="151">
        <f>'Etude de cas n°1'!D660</f>
        <v>0</v>
      </c>
      <c r="H660" s="218"/>
      <c r="I660" s="218"/>
      <c r="J660" s="218"/>
      <c r="K660" s="218"/>
      <c r="L660" s="218"/>
      <c r="M660" s="218"/>
      <c r="N660" s="218"/>
    </row>
    <row r="661" spans="1:14" s="97" customFormat="1" ht="13.2" x14ac:dyDescent="0.25">
      <c r="A661" s="202" t="s">
        <v>2126</v>
      </c>
      <c r="B661" s="216" t="s">
        <v>2127</v>
      </c>
      <c r="C661" s="217" t="s">
        <v>984</v>
      </c>
      <c r="D661" s="120"/>
      <c r="E661" s="45">
        <f t="shared" si="44"/>
        <v>0</v>
      </c>
      <c r="F661" s="127">
        <f t="shared" si="38"/>
        <v>0</v>
      </c>
      <c r="G661" s="151">
        <f>'Etude de cas n°1'!D661</f>
        <v>0</v>
      </c>
      <c r="H661" s="218"/>
      <c r="I661" s="218"/>
      <c r="J661" s="218"/>
      <c r="K661" s="218"/>
      <c r="L661" s="218"/>
      <c r="M661" s="218"/>
      <c r="N661" s="218"/>
    </row>
    <row r="662" spans="1:14" s="94" customFormat="1" ht="13.2" x14ac:dyDescent="0.25">
      <c r="A662" s="202" t="s">
        <v>2128</v>
      </c>
      <c r="B662" s="216" t="s">
        <v>2129</v>
      </c>
      <c r="C662" s="217" t="s">
        <v>984</v>
      </c>
      <c r="D662" s="120"/>
      <c r="E662" s="45">
        <f t="shared" si="44"/>
        <v>0</v>
      </c>
      <c r="F662" s="127">
        <f t="shared" si="38"/>
        <v>0</v>
      </c>
      <c r="G662" s="151">
        <f>'Etude de cas n°1'!D662</f>
        <v>0</v>
      </c>
      <c r="H662" s="19"/>
      <c r="I662" s="19"/>
      <c r="J662" s="19"/>
      <c r="K662" s="19"/>
      <c r="L662" s="19"/>
      <c r="M662" s="19"/>
      <c r="N662" s="19"/>
    </row>
    <row r="663" spans="1:14" s="97" customFormat="1" ht="13.2" x14ac:dyDescent="0.25">
      <c r="A663" s="202" t="s">
        <v>2130</v>
      </c>
      <c r="B663" s="216" t="s">
        <v>2131</v>
      </c>
      <c r="C663" s="217" t="s">
        <v>2109</v>
      </c>
      <c r="D663" s="120"/>
      <c r="E663" s="45">
        <f t="shared" si="44"/>
        <v>0</v>
      </c>
      <c r="F663" s="127">
        <f t="shared" si="38"/>
        <v>0</v>
      </c>
      <c r="G663" s="151">
        <f>'Etude de cas n°1'!D663</f>
        <v>0</v>
      </c>
      <c r="H663" s="218"/>
      <c r="I663" s="218"/>
      <c r="J663" s="218"/>
      <c r="K663" s="218"/>
      <c r="L663" s="218"/>
      <c r="M663" s="218"/>
      <c r="N663" s="218"/>
    </row>
    <row r="664" spans="1:14" s="97" customFormat="1" ht="13.2" x14ac:dyDescent="0.25">
      <c r="A664" s="202" t="s">
        <v>2132</v>
      </c>
      <c r="B664" s="216" t="s">
        <v>2133</v>
      </c>
      <c r="C664" s="217" t="s">
        <v>1034</v>
      </c>
      <c r="D664" s="120"/>
      <c r="E664" s="45">
        <f t="shared" si="44"/>
        <v>0</v>
      </c>
      <c r="F664" s="127">
        <f t="shared" si="38"/>
        <v>0</v>
      </c>
      <c r="G664" s="151">
        <f>'Etude de cas n°1'!D664</f>
        <v>0</v>
      </c>
      <c r="H664" s="218"/>
      <c r="I664" s="218"/>
      <c r="J664" s="218"/>
      <c r="K664" s="218"/>
      <c r="L664" s="218"/>
      <c r="M664" s="218"/>
      <c r="N664" s="218"/>
    </row>
    <row r="665" spans="1:14" s="97" customFormat="1" ht="13.2" x14ac:dyDescent="0.25">
      <c r="A665" s="202" t="s">
        <v>2134</v>
      </c>
      <c r="B665" s="216" t="s">
        <v>2135</v>
      </c>
      <c r="C665" s="217"/>
      <c r="D665" s="120"/>
      <c r="E665" s="45"/>
      <c r="F665" s="127"/>
      <c r="G665" s="151">
        <f>'Etude de cas n°1'!D665</f>
        <v>0</v>
      </c>
      <c r="H665" s="218"/>
      <c r="I665" s="218"/>
      <c r="J665" s="218"/>
      <c r="K665" s="218"/>
      <c r="L665" s="218"/>
      <c r="M665" s="218"/>
      <c r="N665" s="218"/>
    </row>
    <row r="666" spans="1:14" s="97" customFormat="1" ht="13.2" x14ac:dyDescent="0.25">
      <c r="A666" s="202" t="s">
        <v>2136</v>
      </c>
      <c r="B666" s="216" t="s">
        <v>2137</v>
      </c>
      <c r="C666" s="217" t="s">
        <v>1141</v>
      </c>
      <c r="D666" s="120"/>
      <c r="E666" s="45">
        <f t="shared" si="44"/>
        <v>0</v>
      </c>
      <c r="F666" s="127">
        <f t="shared" si="38"/>
        <v>0</v>
      </c>
      <c r="G666" s="151">
        <f>'Etude de cas n°1'!D666</f>
        <v>0</v>
      </c>
      <c r="H666" s="218"/>
      <c r="I666" s="218"/>
      <c r="J666" s="218"/>
      <c r="K666" s="218"/>
      <c r="L666" s="218"/>
      <c r="M666" s="218"/>
      <c r="N666" s="218"/>
    </row>
    <row r="667" spans="1:14" s="97" customFormat="1" ht="13.2" x14ac:dyDescent="0.25">
      <c r="A667" s="202" t="s">
        <v>2138</v>
      </c>
      <c r="B667" s="216" t="s">
        <v>2139</v>
      </c>
      <c r="C667" s="217" t="s">
        <v>1141</v>
      </c>
      <c r="D667" s="120"/>
      <c r="E667" s="45">
        <f t="shared" si="44"/>
        <v>0</v>
      </c>
      <c r="F667" s="127">
        <f t="shared" si="38"/>
        <v>0</v>
      </c>
      <c r="G667" s="151">
        <f>'Etude de cas n°1'!D667</f>
        <v>0</v>
      </c>
      <c r="H667" s="218"/>
      <c r="I667" s="218"/>
      <c r="J667" s="218"/>
      <c r="K667" s="218"/>
      <c r="L667" s="218"/>
      <c r="M667" s="218"/>
      <c r="N667" s="218"/>
    </row>
    <row r="668" spans="1:14" s="97" customFormat="1" ht="13.2" x14ac:dyDescent="0.25">
      <c r="A668" s="202" t="s">
        <v>2140</v>
      </c>
      <c r="B668" s="216" t="s">
        <v>2141</v>
      </c>
      <c r="C668" s="217" t="s">
        <v>1141</v>
      </c>
      <c r="D668" s="120"/>
      <c r="E668" s="45">
        <f t="shared" si="44"/>
        <v>0</v>
      </c>
      <c r="F668" s="127">
        <f t="shared" si="38"/>
        <v>0</v>
      </c>
      <c r="G668" s="151">
        <f>'Etude de cas n°1'!D668</f>
        <v>0</v>
      </c>
      <c r="H668" s="218"/>
      <c r="I668" s="218"/>
      <c r="J668" s="218"/>
      <c r="K668" s="218"/>
      <c r="L668" s="218"/>
      <c r="M668" s="218"/>
      <c r="N668" s="218"/>
    </row>
    <row r="669" spans="1:14" s="97" customFormat="1" ht="13.2" x14ac:dyDescent="0.25">
      <c r="A669" s="202" t="s">
        <v>2142</v>
      </c>
      <c r="B669" s="216" t="s">
        <v>2143</v>
      </c>
      <c r="C669" s="217" t="s">
        <v>2109</v>
      </c>
      <c r="D669" s="120"/>
      <c r="E669" s="45">
        <f t="shared" si="44"/>
        <v>0</v>
      </c>
      <c r="F669" s="127">
        <f t="shared" si="38"/>
        <v>0</v>
      </c>
      <c r="G669" s="151">
        <f>'Etude de cas n°1'!D669</f>
        <v>0</v>
      </c>
      <c r="H669" s="218"/>
      <c r="I669" s="218"/>
      <c r="J669" s="218"/>
      <c r="K669" s="218"/>
      <c r="L669" s="218"/>
      <c r="M669" s="218"/>
      <c r="N669" s="218"/>
    </row>
    <row r="670" spans="1:14" s="97" customFormat="1" ht="13.2" x14ac:dyDescent="0.25">
      <c r="A670" s="27" t="s">
        <v>2144</v>
      </c>
      <c r="B670" s="3" t="s">
        <v>2145</v>
      </c>
      <c r="C670" s="217"/>
      <c r="D670" s="120"/>
      <c r="E670" s="45"/>
      <c r="F670" s="127"/>
      <c r="G670" s="151"/>
      <c r="H670" s="218"/>
      <c r="I670" s="218"/>
      <c r="J670" s="218"/>
      <c r="K670" s="218"/>
      <c r="L670" s="218"/>
      <c r="M670" s="218"/>
      <c r="N670" s="218"/>
    </row>
    <row r="671" spans="1:14" s="97" customFormat="1" ht="13.2" x14ac:dyDescent="0.25">
      <c r="A671" s="202" t="s">
        <v>2146</v>
      </c>
      <c r="B671" s="216" t="s">
        <v>2147</v>
      </c>
      <c r="C671" s="217"/>
      <c r="D671" s="120"/>
      <c r="E671" s="45"/>
      <c r="F671" s="127"/>
      <c r="G671" s="151"/>
      <c r="H671" s="218"/>
      <c r="I671" s="218"/>
      <c r="J671" s="218"/>
      <c r="K671" s="218"/>
      <c r="L671" s="218"/>
      <c r="M671" s="218"/>
      <c r="N671" s="218"/>
    </row>
    <row r="672" spans="1:14" s="97" customFormat="1" ht="13.2" x14ac:dyDescent="0.25">
      <c r="A672" s="202" t="s">
        <v>2148</v>
      </c>
      <c r="B672" s="216" t="s">
        <v>2149</v>
      </c>
      <c r="C672" s="217" t="s">
        <v>1232</v>
      </c>
      <c r="D672" s="120"/>
      <c r="E672" s="45">
        <f t="shared" ref="E672:E707" si="45">G672</f>
        <v>0</v>
      </c>
      <c r="F672" s="127">
        <f t="shared" ref="F672:F707" si="46">D672*E672</f>
        <v>0</v>
      </c>
      <c r="G672" s="151">
        <f>'Etude de cas n°1'!D672</f>
        <v>0</v>
      </c>
      <c r="H672" s="218"/>
      <c r="I672" s="218"/>
      <c r="J672" s="218"/>
      <c r="K672" s="218"/>
      <c r="L672" s="218"/>
      <c r="M672" s="218"/>
      <c r="N672" s="218"/>
    </row>
    <row r="673" spans="1:14" s="96" customFormat="1" ht="13.2" x14ac:dyDescent="0.25">
      <c r="A673" s="202" t="s">
        <v>2150</v>
      </c>
      <c r="B673" s="216" t="s">
        <v>2151</v>
      </c>
      <c r="C673" s="217" t="s">
        <v>1232</v>
      </c>
      <c r="D673" s="120"/>
      <c r="E673" s="45">
        <f t="shared" si="45"/>
        <v>0</v>
      </c>
      <c r="F673" s="127">
        <f t="shared" si="46"/>
        <v>0</v>
      </c>
      <c r="G673" s="151">
        <f>'Etude de cas n°1'!D673</f>
        <v>0</v>
      </c>
      <c r="H673" s="17"/>
      <c r="I673" s="17"/>
      <c r="J673" s="17"/>
      <c r="K673" s="17"/>
      <c r="L673" s="17"/>
      <c r="M673" s="17"/>
      <c r="N673" s="17"/>
    </row>
    <row r="674" spans="1:14" s="96" customFormat="1" ht="13.2" x14ac:dyDescent="0.25">
      <c r="A674" s="202" t="s">
        <v>2152</v>
      </c>
      <c r="B674" s="216" t="s">
        <v>2153</v>
      </c>
      <c r="C674" s="217"/>
      <c r="D674" s="120"/>
      <c r="E674" s="45"/>
      <c r="F674" s="127"/>
      <c r="G674" s="151"/>
      <c r="H674" s="17"/>
      <c r="I674" s="17"/>
      <c r="J674" s="17"/>
      <c r="K674" s="17"/>
      <c r="L674" s="17"/>
      <c r="M674" s="17"/>
      <c r="N674" s="17"/>
    </row>
    <row r="675" spans="1:14" s="96" customFormat="1" ht="13.2" x14ac:dyDescent="0.25">
      <c r="A675" s="202" t="s">
        <v>2154</v>
      </c>
      <c r="B675" s="216" t="s">
        <v>2149</v>
      </c>
      <c r="C675" s="217" t="s">
        <v>1232</v>
      </c>
      <c r="D675" s="120"/>
      <c r="E675" s="45">
        <f t="shared" si="45"/>
        <v>0</v>
      </c>
      <c r="F675" s="127">
        <f t="shared" si="46"/>
        <v>0</v>
      </c>
      <c r="G675" s="151">
        <f>'Etude de cas n°1'!D675</f>
        <v>0</v>
      </c>
      <c r="H675" s="17"/>
      <c r="I675" s="17"/>
      <c r="J675" s="17"/>
      <c r="K675" s="17"/>
      <c r="L675" s="17"/>
      <c r="M675" s="17"/>
      <c r="N675" s="17"/>
    </row>
    <row r="676" spans="1:14" s="96" customFormat="1" ht="13.2" x14ac:dyDescent="0.25">
      <c r="A676" s="202" t="s">
        <v>2155</v>
      </c>
      <c r="B676" s="216" t="s">
        <v>2151</v>
      </c>
      <c r="C676" s="217" t="s">
        <v>1232</v>
      </c>
      <c r="D676" s="120"/>
      <c r="E676" s="45">
        <f t="shared" si="45"/>
        <v>0</v>
      </c>
      <c r="F676" s="127">
        <f t="shared" si="46"/>
        <v>0</v>
      </c>
      <c r="G676" s="151">
        <f>'Etude de cas n°1'!D676</f>
        <v>0</v>
      </c>
      <c r="H676" s="17"/>
      <c r="I676" s="17"/>
      <c r="J676" s="17"/>
      <c r="K676" s="17"/>
      <c r="L676" s="17"/>
      <c r="M676" s="17"/>
      <c r="N676" s="17"/>
    </row>
    <row r="677" spans="1:14" s="96" customFormat="1" ht="13.2" x14ac:dyDescent="0.25">
      <c r="A677" s="83" t="s">
        <v>2156</v>
      </c>
      <c r="B677" s="4" t="s">
        <v>2157</v>
      </c>
      <c r="C677" s="217"/>
      <c r="D677" s="120"/>
      <c r="E677" s="45"/>
      <c r="F677" s="127"/>
      <c r="G677" s="151"/>
      <c r="H677" s="17"/>
      <c r="I677" s="17"/>
      <c r="J677" s="17"/>
      <c r="K677" s="17"/>
      <c r="L677" s="17"/>
      <c r="M677" s="17"/>
      <c r="N677" s="17"/>
    </row>
    <row r="678" spans="1:14" s="96" customFormat="1" ht="13.2" x14ac:dyDescent="0.25">
      <c r="A678" s="202" t="s">
        <v>2158</v>
      </c>
      <c r="B678" s="216" t="s">
        <v>2159</v>
      </c>
      <c r="C678" s="229" t="s">
        <v>1141</v>
      </c>
      <c r="D678" s="120"/>
      <c r="E678" s="45">
        <f t="shared" si="45"/>
        <v>136.16999999999999</v>
      </c>
      <c r="F678" s="127">
        <f t="shared" si="46"/>
        <v>0</v>
      </c>
      <c r="G678" s="151">
        <f>'Etude de cas n°1'!D678</f>
        <v>136.16999999999999</v>
      </c>
      <c r="H678" s="17"/>
      <c r="I678" s="17"/>
      <c r="J678" s="17"/>
      <c r="K678" s="17"/>
      <c r="L678" s="17"/>
      <c r="M678" s="17"/>
      <c r="N678" s="17"/>
    </row>
    <row r="679" spans="1:14" s="96" customFormat="1" ht="13.2" x14ac:dyDescent="0.25">
      <c r="A679" s="202" t="s">
        <v>2160</v>
      </c>
      <c r="B679" s="216" t="s">
        <v>2161</v>
      </c>
      <c r="C679" s="229" t="s">
        <v>1141</v>
      </c>
      <c r="D679" s="120"/>
      <c r="E679" s="45">
        <f t="shared" si="45"/>
        <v>0</v>
      </c>
      <c r="F679" s="127">
        <f t="shared" si="46"/>
        <v>0</v>
      </c>
      <c r="G679" s="151">
        <f>'Etude de cas n°1'!D679</f>
        <v>0</v>
      </c>
      <c r="H679" s="17"/>
      <c r="I679" s="17"/>
      <c r="J679" s="17"/>
      <c r="K679" s="17"/>
      <c r="L679" s="17"/>
      <c r="M679" s="17"/>
      <c r="N679" s="17"/>
    </row>
    <row r="680" spans="1:14" s="96" customFormat="1" ht="13.2" x14ac:dyDescent="0.25">
      <c r="A680" s="202" t="s">
        <v>2162</v>
      </c>
      <c r="B680" s="216" t="s">
        <v>2163</v>
      </c>
      <c r="C680" s="229" t="s">
        <v>1141</v>
      </c>
      <c r="D680" s="120"/>
      <c r="E680" s="45">
        <f t="shared" si="45"/>
        <v>0</v>
      </c>
      <c r="F680" s="127">
        <f t="shared" si="46"/>
        <v>0</v>
      </c>
      <c r="G680" s="151">
        <f>'Etude de cas n°1'!D680</f>
        <v>0</v>
      </c>
      <c r="H680" s="17"/>
      <c r="I680" s="17"/>
      <c r="J680" s="17"/>
      <c r="K680" s="17"/>
      <c r="L680" s="17"/>
      <c r="M680" s="17"/>
      <c r="N680" s="17"/>
    </row>
    <row r="681" spans="1:14" s="96" customFormat="1" ht="13.2" x14ac:dyDescent="0.25">
      <c r="A681" s="202" t="s">
        <v>2164</v>
      </c>
      <c r="B681" s="216" t="s">
        <v>2165</v>
      </c>
      <c r="C681" s="227" t="s">
        <v>1883</v>
      </c>
      <c r="D681" s="120"/>
      <c r="E681" s="45"/>
      <c r="F681" s="127"/>
      <c r="G681" s="151"/>
      <c r="H681" s="17"/>
      <c r="I681" s="17"/>
      <c r="J681" s="17"/>
      <c r="K681" s="17"/>
      <c r="L681" s="17"/>
      <c r="M681" s="17"/>
      <c r="N681" s="17"/>
    </row>
    <row r="682" spans="1:14" s="96" customFormat="1" ht="13.2" x14ac:dyDescent="0.25">
      <c r="A682" s="202" t="s">
        <v>2166</v>
      </c>
      <c r="B682" s="216" t="s">
        <v>2167</v>
      </c>
      <c r="C682" s="217" t="s">
        <v>1232</v>
      </c>
      <c r="D682" s="120"/>
      <c r="E682" s="45">
        <f t="shared" si="45"/>
        <v>13.62</v>
      </c>
      <c r="F682" s="127">
        <f t="shared" si="46"/>
        <v>0</v>
      </c>
      <c r="G682" s="151">
        <f>'Etude de cas n°1'!D682</f>
        <v>13.62</v>
      </c>
      <c r="H682" s="17"/>
      <c r="I682" s="17"/>
      <c r="J682" s="17"/>
      <c r="K682" s="17"/>
      <c r="L682" s="17"/>
      <c r="M682" s="17"/>
      <c r="N682" s="17"/>
    </row>
    <row r="683" spans="1:14" s="96" customFormat="1" ht="13.2" x14ac:dyDescent="0.25">
      <c r="A683" s="202" t="s">
        <v>2168</v>
      </c>
      <c r="B683" s="216" t="s">
        <v>2169</v>
      </c>
      <c r="C683" s="217" t="s">
        <v>1232</v>
      </c>
      <c r="D683" s="120"/>
      <c r="E683" s="45">
        <f t="shared" si="45"/>
        <v>0</v>
      </c>
      <c r="F683" s="127">
        <f t="shared" si="46"/>
        <v>0</v>
      </c>
      <c r="G683" s="151">
        <f>'Etude de cas n°1'!D683</f>
        <v>0</v>
      </c>
      <c r="H683" s="17"/>
      <c r="I683" s="17"/>
      <c r="J683" s="17"/>
      <c r="K683" s="17"/>
      <c r="L683" s="17"/>
      <c r="M683" s="17"/>
      <c r="N683" s="17"/>
    </row>
    <row r="684" spans="1:14" s="96" customFormat="1" ht="13.2" x14ac:dyDescent="0.25">
      <c r="A684" s="202" t="s">
        <v>2170</v>
      </c>
      <c r="B684" s="216" t="s">
        <v>2171</v>
      </c>
      <c r="C684" s="217" t="s">
        <v>1232</v>
      </c>
      <c r="D684" s="120"/>
      <c r="E684" s="45">
        <f t="shared" si="45"/>
        <v>0</v>
      </c>
      <c r="F684" s="127">
        <f t="shared" si="46"/>
        <v>0</v>
      </c>
      <c r="G684" s="151">
        <f>'Etude de cas n°1'!D684</f>
        <v>0</v>
      </c>
      <c r="H684" s="17"/>
      <c r="I684" s="17"/>
      <c r="J684" s="17"/>
      <c r="K684" s="17"/>
      <c r="L684" s="17"/>
      <c r="M684" s="17"/>
      <c r="N684" s="17"/>
    </row>
    <row r="685" spans="1:14" s="94" customFormat="1" ht="13.2" x14ac:dyDescent="0.25">
      <c r="A685" s="202" t="s">
        <v>2172</v>
      </c>
      <c r="B685" s="216" t="s">
        <v>2173</v>
      </c>
      <c r="C685" s="217" t="s">
        <v>1232</v>
      </c>
      <c r="D685" s="120"/>
      <c r="E685" s="45">
        <f t="shared" si="45"/>
        <v>0</v>
      </c>
      <c r="F685" s="127">
        <f t="shared" si="46"/>
        <v>0</v>
      </c>
      <c r="G685" s="151">
        <f>'Etude de cas n°1'!D685</f>
        <v>0</v>
      </c>
      <c r="H685" s="19"/>
      <c r="I685" s="19"/>
      <c r="J685" s="19"/>
      <c r="K685" s="19"/>
      <c r="L685" s="19"/>
      <c r="M685" s="19"/>
      <c r="N685" s="19"/>
    </row>
    <row r="686" spans="1:14" s="97" customFormat="1" ht="13.2" x14ac:dyDescent="0.25">
      <c r="A686" s="202" t="s">
        <v>2174</v>
      </c>
      <c r="B686" s="216" t="s">
        <v>2175</v>
      </c>
      <c r="C686" s="227"/>
      <c r="D686" s="120"/>
      <c r="E686" s="45"/>
      <c r="F686" s="127"/>
      <c r="G686" s="151"/>
      <c r="H686" s="218"/>
      <c r="I686" s="218"/>
      <c r="J686" s="218"/>
      <c r="K686" s="218"/>
      <c r="L686" s="218"/>
      <c r="M686" s="218"/>
      <c r="N686" s="218"/>
    </row>
    <row r="687" spans="1:14" s="97" customFormat="1" ht="13.2" x14ac:dyDescent="0.25">
      <c r="A687" s="202" t="s">
        <v>2176</v>
      </c>
      <c r="B687" s="216" t="s">
        <v>2177</v>
      </c>
      <c r="C687" s="217" t="s">
        <v>1232</v>
      </c>
      <c r="D687" s="120"/>
      <c r="E687" s="45">
        <f t="shared" si="45"/>
        <v>42.03</v>
      </c>
      <c r="F687" s="127">
        <f t="shared" si="46"/>
        <v>0</v>
      </c>
      <c r="G687" s="151">
        <f>'Etude de cas n°1'!D687</f>
        <v>42.03</v>
      </c>
      <c r="H687" s="218"/>
      <c r="I687" s="218"/>
      <c r="J687" s="218"/>
      <c r="K687" s="218"/>
      <c r="L687" s="218"/>
      <c r="M687" s="218"/>
      <c r="N687" s="218"/>
    </row>
    <row r="688" spans="1:14" s="97" customFormat="1" ht="13.2" x14ac:dyDescent="0.25">
      <c r="A688" s="202" t="s">
        <v>2178</v>
      </c>
      <c r="B688" s="216" t="s">
        <v>2179</v>
      </c>
      <c r="C688" s="217" t="s">
        <v>1232</v>
      </c>
      <c r="D688" s="120"/>
      <c r="E688" s="45">
        <f t="shared" si="45"/>
        <v>0</v>
      </c>
      <c r="F688" s="127">
        <f t="shared" si="46"/>
        <v>0</v>
      </c>
      <c r="G688" s="151">
        <f>'Etude de cas n°1'!D688</f>
        <v>0</v>
      </c>
      <c r="H688" s="218"/>
      <c r="I688" s="218"/>
      <c r="J688" s="218"/>
      <c r="K688" s="218"/>
      <c r="L688" s="218"/>
      <c r="M688" s="218"/>
      <c r="N688" s="218"/>
    </row>
    <row r="689" spans="1:14" s="97" customFormat="1" ht="13.2" x14ac:dyDescent="0.25">
      <c r="A689" s="202" t="s">
        <v>2180</v>
      </c>
      <c r="B689" s="216" t="s">
        <v>2181</v>
      </c>
      <c r="C689" s="217" t="s">
        <v>1232</v>
      </c>
      <c r="D689" s="120"/>
      <c r="E689" s="45">
        <f t="shared" si="45"/>
        <v>0</v>
      </c>
      <c r="F689" s="127">
        <f t="shared" si="46"/>
        <v>0</v>
      </c>
      <c r="G689" s="151">
        <f>'Etude de cas n°1'!D689</f>
        <v>0</v>
      </c>
      <c r="H689" s="218"/>
      <c r="I689" s="218"/>
      <c r="J689" s="218"/>
      <c r="K689" s="218"/>
      <c r="L689" s="218"/>
      <c r="M689" s="218"/>
      <c r="N689" s="218"/>
    </row>
    <row r="690" spans="1:14" s="97" customFormat="1" ht="13.2" x14ac:dyDescent="0.25">
      <c r="A690" s="202" t="s">
        <v>2182</v>
      </c>
      <c r="B690" s="216" t="s">
        <v>2183</v>
      </c>
      <c r="C690" s="217" t="s">
        <v>1232</v>
      </c>
      <c r="D690" s="120"/>
      <c r="E690" s="45">
        <f t="shared" si="45"/>
        <v>0</v>
      </c>
      <c r="F690" s="127">
        <f t="shared" si="46"/>
        <v>0</v>
      </c>
      <c r="G690" s="151">
        <f>'Etude de cas n°1'!D690</f>
        <v>0</v>
      </c>
      <c r="H690" s="218"/>
      <c r="I690" s="218"/>
      <c r="J690" s="218"/>
      <c r="K690" s="218"/>
      <c r="L690" s="218"/>
      <c r="M690" s="218"/>
      <c r="N690" s="218"/>
    </row>
    <row r="691" spans="1:14" s="97" customFormat="1" ht="13.2" x14ac:dyDescent="0.25">
      <c r="A691" s="202" t="s">
        <v>2184</v>
      </c>
      <c r="B691" s="216" t="s">
        <v>2185</v>
      </c>
      <c r="C691" s="217" t="s">
        <v>1232</v>
      </c>
      <c r="D691" s="120"/>
      <c r="E691" s="45">
        <f t="shared" si="45"/>
        <v>0</v>
      </c>
      <c r="F691" s="127">
        <f t="shared" si="46"/>
        <v>0</v>
      </c>
      <c r="G691" s="151">
        <f>'Etude de cas n°1'!D691</f>
        <v>0</v>
      </c>
      <c r="H691" s="218"/>
      <c r="I691" s="218"/>
      <c r="J691" s="218"/>
      <c r="K691" s="218"/>
      <c r="L691" s="218"/>
      <c r="M691" s="218"/>
      <c r="N691" s="218"/>
    </row>
    <row r="692" spans="1:14" s="97" customFormat="1" ht="13.2" x14ac:dyDescent="0.25">
      <c r="A692" s="202" t="s">
        <v>2186</v>
      </c>
      <c r="B692" s="216" t="s">
        <v>2187</v>
      </c>
      <c r="C692" s="227" t="s">
        <v>1883</v>
      </c>
      <c r="D692" s="120"/>
      <c r="E692" s="45"/>
      <c r="F692" s="127"/>
      <c r="G692" s="151"/>
      <c r="H692" s="218"/>
      <c r="I692" s="218"/>
      <c r="J692" s="218"/>
      <c r="K692" s="218"/>
      <c r="L692" s="218"/>
      <c r="M692" s="218"/>
      <c r="N692" s="218"/>
    </row>
    <row r="693" spans="1:14" s="97" customFormat="1" ht="13.2" x14ac:dyDescent="0.25">
      <c r="A693" s="202" t="s">
        <v>2188</v>
      </c>
      <c r="B693" s="223" t="s">
        <v>2189</v>
      </c>
      <c r="C693" s="217" t="s">
        <v>1232</v>
      </c>
      <c r="D693" s="120"/>
      <c r="E693" s="45">
        <f t="shared" si="45"/>
        <v>0</v>
      </c>
      <c r="F693" s="127">
        <f t="shared" si="46"/>
        <v>0</v>
      </c>
      <c r="G693" s="151">
        <f>'Etude de cas n°1'!D693</f>
        <v>0</v>
      </c>
      <c r="H693" s="218"/>
      <c r="I693" s="218"/>
      <c r="J693" s="218"/>
      <c r="K693" s="218"/>
      <c r="L693" s="218"/>
      <c r="M693" s="218"/>
      <c r="N693" s="218"/>
    </row>
    <row r="694" spans="1:14" s="97" customFormat="1" ht="13.2" x14ac:dyDescent="0.25">
      <c r="A694" s="202" t="s">
        <v>2190</v>
      </c>
      <c r="B694" s="223" t="s">
        <v>2191</v>
      </c>
      <c r="C694" s="217" t="s">
        <v>1232</v>
      </c>
      <c r="D694" s="120"/>
      <c r="E694" s="45">
        <f t="shared" si="45"/>
        <v>0</v>
      </c>
      <c r="F694" s="127">
        <f t="shared" si="46"/>
        <v>0</v>
      </c>
      <c r="G694" s="151">
        <f>'Etude de cas n°1'!D694</f>
        <v>0</v>
      </c>
      <c r="H694" s="218"/>
      <c r="I694" s="218"/>
      <c r="J694" s="218"/>
      <c r="K694" s="218"/>
      <c r="L694" s="218"/>
      <c r="M694" s="218"/>
      <c r="N694" s="218"/>
    </row>
    <row r="695" spans="1:14" s="97" customFormat="1" ht="13.2" x14ac:dyDescent="0.25">
      <c r="A695" s="202" t="s">
        <v>2192</v>
      </c>
      <c r="B695" s="223" t="s">
        <v>2193</v>
      </c>
      <c r="C695" s="217" t="s">
        <v>1232</v>
      </c>
      <c r="D695" s="120"/>
      <c r="E695" s="45">
        <f t="shared" si="45"/>
        <v>0</v>
      </c>
      <c r="F695" s="127">
        <f t="shared" si="46"/>
        <v>0</v>
      </c>
      <c r="G695" s="151">
        <f>'Etude de cas n°1'!D695</f>
        <v>0</v>
      </c>
      <c r="H695" s="218"/>
      <c r="I695" s="218"/>
      <c r="J695" s="218"/>
      <c r="K695" s="218"/>
      <c r="L695" s="218"/>
      <c r="M695" s="218"/>
      <c r="N695" s="218"/>
    </row>
    <row r="696" spans="1:14" s="94" customFormat="1" ht="13.2" x14ac:dyDescent="0.25">
      <c r="A696" s="202" t="s">
        <v>2194</v>
      </c>
      <c r="B696" s="216" t="s">
        <v>2195</v>
      </c>
      <c r="C696" s="217" t="s">
        <v>1232</v>
      </c>
      <c r="D696" s="120"/>
      <c r="E696" s="45">
        <f t="shared" si="45"/>
        <v>0</v>
      </c>
      <c r="F696" s="127">
        <f t="shared" si="46"/>
        <v>0</v>
      </c>
      <c r="G696" s="151">
        <f>'Etude de cas n°1'!D696</f>
        <v>0</v>
      </c>
      <c r="H696" s="19"/>
      <c r="I696" s="19"/>
      <c r="J696" s="19"/>
      <c r="K696" s="19"/>
      <c r="L696" s="19"/>
      <c r="M696" s="19"/>
      <c r="N696" s="19"/>
    </row>
    <row r="697" spans="1:14" s="97" customFormat="1" ht="13.2" x14ac:dyDescent="0.25">
      <c r="A697" s="202" t="s">
        <v>2196</v>
      </c>
      <c r="B697" s="216" t="s">
        <v>2197</v>
      </c>
      <c r="C697" s="217" t="s">
        <v>1232</v>
      </c>
      <c r="D697" s="120"/>
      <c r="E697" s="45">
        <f t="shared" si="45"/>
        <v>259.45</v>
      </c>
      <c r="F697" s="127">
        <f t="shared" si="46"/>
        <v>0</v>
      </c>
      <c r="G697" s="151">
        <f>'Etude de cas n°1'!D697</f>
        <v>259.45</v>
      </c>
      <c r="H697" s="218"/>
      <c r="I697" s="218"/>
      <c r="J697" s="218"/>
      <c r="K697" s="218"/>
      <c r="L697" s="218"/>
      <c r="M697" s="218"/>
      <c r="N697" s="218"/>
    </row>
    <row r="698" spans="1:14" s="97" customFormat="1" ht="13.2" x14ac:dyDescent="0.25">
      <c r="A698" s="202" t="s">
        <v>2198</v>
      </c>
      <c r="B698" s="216" t="s">
        <v>2199</v>
      </c>
      <c r="C698" s="217" t="s">
        <v>1232</v>
      </c>
      <c r="D698" s="120"/>
      <c r="E698" s="45">
        <f t="shared" si="45"/>
        <v>0</v>
      </c>
      <c r="F698" s="127">
        <f t="shared" si="46"/>
        <v>0</v>
      </c>
      <c r="G698" s="151">
        <f>'Etude de cas n°1'!D698</f>
        <v>0</v>
      </c>
      <c r="H698" s="218"/>
      <c r="I698" s="218"/>
      <c r="J698" s="218"/>
      <c r="K698" s="218"/>
      <c r="L698" s="218"/>
      <c r="M698" s="218"/>
      <c r="N698" s="218"/>
    </row>
    <row r="699" spans="1:14" s="97" customFormat="1" ht="13.2" x14ac:dyDescent="0.25">
      <c r="A699" s="202" t="s">
        <v>2200</v>
      </c>
      <c r="B699" s="216" t="s">
        <v>2201</v>
      </c>
      <c r="C699" s="217" t="s">
        <v>1232</v>
      </c>
      <c r="D699" s="120"/>
      <c r="E699" s="45">
        <f t="shared" si="45"/>
        <v>133.04</v>
      </c>
      <c r="F699" s="127">
        <f t="shared" si="46"/>
        <v>0</v>
      </c>
      <c r="G699" s="151">
        <f>'Etude de cas n°1'!D699</f>
        <v>133.04</v>
      </c>
      <c r="H699" s="218"/>
      <c r="I699" s="218"/>
      <c r="J699" s="218"/>
      <c r="K699" s="218"/>
      <c r="L699" s="218"/>
      <c r="M699" s="218"/>
      <c r="N699" s="218"/>
    </row>
    <row r="700" spans="1:14" s="97" customFormat="1" ht="13.2" x14ac:dyDescent="0.25">
      <c r="A700" s="83" t="s">
        <v>2202</v>
      </c>
      <c r="B700" s="4" t="s">
        <v>2203</v>
      </c>
      <c r="C700" s="217" t="s">
        <v>1232</v>
      </c>
      <c r="D700" s="120"/>
      <c r="E700" s="45">
        <f t="shared" si="45"/>
        <v>0</v>
      </c>
      <c r="F700" s="127">
        <f t="shared" si="46"/>
        <v>0</v>
      </c>
      <c r="G700" s="151">
        <f>'Etude de cas n°1'!D700</f>
        <v>0</v>
      </c>
      <c r="H700" s="218"/>
      <c r="I700" s="218"/>
      <c r="J700" s="218"/>
      <c r="K700" s="218"/>
      <c r="L700" s="218"/>
      <c r="M700" s="218"/>
      <c r="N700" s="218"/>
    </row>
    <row r="701" spans="1:14" s="193" customFormat="1" ht="26.4" x14ac:dyDescent="0.25">
      <c r="A701" s="83" t="s">
        <v>2204</v>
      </c>
      <c r="B701" s="247" t="s">
        <v>2205</v>
      </c>
      <c r="C701" s="217" t="s">
        <v>1232</v>
      </c>
      <c r="D701" s="120"/>
      <c r="E701" s="45">
        <f t="shared" si="45"/>
        <v>0</v>
      </c>
      <c r="F701" s="127">
        <f t="shared" ref="F701" si="47">D701*E701</f>
        <v>0</v>
      </c>
      <c r="G701" s="151">
        <f>'Etude de cas n°1'!D701</f>
        <v>0</v>
      </c>
      <c r="H701" s="218"/>
      <c r="I701" s="218"/>
      <c r="J701" s="218"/>
      <c r="K701" s="218"/>
      <c r="L701" s="218"/>
      <c r="M701" s="218"/>
      <c r="N701" s="218"/>
    </row>
    <row r="702" spans="1:14" s="97" customFormat="1" ht="13.2" x14ac:dyDescent="0.25">
      <c r="A702" s="203" t="s">
        <v>2206</v>
      </c>
      <c r="B702" s="3" t="s">
        <v>2207</v>
      </c>
      <c r="C702" s="217"/>
      <c r="D702" s="120"/>
      <c r="E702" s="45"/>
      <c r="F702" s="127"/>
      <c r="G702" s="151"/>
      <c r="H702" s="218"/>
      <c r="I702" s="218"/>
      <c r="J702" s="218"/>
      <c r="K702" s="218"/>
      <c r="L702" s="218"/>
      <c r="M702" s="218"/>
      <c r="N702" s="218"/>
    </row>
    <row r="703" spans="1:14" s="97" customFormat="1" ht="13.8" x14ac:dyDescent="0.25">
      <c r="A703" s="202" t="s">
        <v>2208</v>
      </c>
      <c r="B703" s="216" t="s">
        <v>2209</v>
      </c>
      <c r="C703" s="217" t="s">
        <v>1034</v>
      </c>
      <c r="D703" s="120"/>
      <c r="E703" s="45">
        <f t="shared" si="45"/>
        <v>42.39</v>
      </c>
      <c r="F703" s="127">
        <f t="shared" si="46"/>
        <v>0</v>
      </c>
      <c r="G703" s="151">
        <f>'Etude de cas n°1'!D703</f>
        <v>42.39</v>
      </c>
      <c r="H703" s="218"/>
      <c r="I703" s="218"/>
      <c r="J703" s="218"/>
      <c r="K703" s="218"/>
      <c r="L703" s="218"/>
      <c r="M703" s="218"/>
      <c r="N703" s="218"/>
    </row>
    <row r="704" spans="1:14" s="97" customFormat="1" ht="13.8" x14ac:dyDescent="0.25">
      <c r="A704" s="202" t="s">
        <v>2210</v>
      </c>
      <c r="B704" s="216" t="s">
        <v>2211</v>
      </c>
      <c r="C704" s="217" t="s">
        <v>1034</v>
      </c>
      <c r="D704" s="120"/>
      <c r="E704" s="45">
        <f t="shared" si="45"/>
        <v>43.2</v>
      </c>
      <c r="F704" s="127">
        <f t="shared" si="46"/>
        <v>0</v>
      </c>
      <c r="G704" s="151">
        <f>'Etude de cas n°1'!D704</f>
        <v>43.2</v>
      </c>
      <c r="H704" s="218"/>
      <c r="I704" s="218"/>
      <c r="J704" s="218"/>
      <c r="K704" s="218"/>
      <c r="L704" s="218"/>
      <c r="M704" s="218"/>
      <c r="N704" s="218"/>
    </row>
    <row r="705" spans="1:14" s="94" customFormat="1" ht="13.2" x14ac:dyDescent="0.25">
      <c r="A705" s="202" t="s">
        <v>2212</v>
      </c>
      <c r="B705" s="216" t="s">
        <v>2213</v>
      </c>
      <c r="C705" s="217" t="s">
        <v>1034</v>
      </c>
      <c r="D705" s="120"/>
      <c r="E705" s="45">
        <f t="shared" si="45"/>
        <v>0</v>
      </c>
      <c r="F705" s="127">
        <f t="shared" si="46"/>
        <v>0</v>
      </c>
      <c r="G705" s="151">
        <f>'Etude de cas n°1'!D705</f>
        <v>0</v>
      </c>
      <c r="H705" s="19"/>
      <c r="I705" s="19"/>
      <c r="J705" s="19"/>
      <c r="K705" s="19"/>
      <c r="L705" s="19"/>
      <c r="M705" s="19"/>
      <c r="N705" s="19"/>
    </row>
    <row r="706" spans="1:14" s="97" customFormat="1" ht="13.2" x14ac:dyDescent="0.25">
      <c r="A706" s="27" t="s">
        <v>2214</v>
      </c>
      <c r="B706" s="3" t="s">
        <v>2215</v>
      </c>
      <c r="C706" s="217" t="s">
        <v>1232</v>
      </c>
      <c r="D706" s="120"/>
      <c r="E706" s="45">
        <f t="shared" si="45"/>
        <v>14</v>
      </c>
      <c r="F706" s="127">
        <f t="shared" si="46"/>
        <v>0</v>
      </c>
      <c r="G706" s="151">
        <f>'Etude de cas n°1'!D706</f>
        <v>14</v>
      </c>
      <c r="H706" s="218"/>
      <c r="I706" s="218"/>
      <c r="J706" s="218"/>
      <c r="K706" s="218"/>
      <c r="L706" s="218"/>
      <c r="M706" s="218"/>
      <c r="N706" s="218"/>
    </row>
    <row r="707" spans="1:14" s="97" customFormat="1" ht="13.2" x14ac:dyDescent="0.25">
      <c r="A707" s="27" t="s">
        <v>2216</v>
      </c>
      <c r="B707" s="3" t="s">
        <v>2217</v>
      </c>
      <c r="C707" s="217" t="s">
        <v>1034</v>
      </c>
      <c r="D707" s="120"/>
      <c r="E707" s="45">
        <f t="shared" si="45"/>
        <v>82.8</v>
      </c>
      <c r="F707" s="127">
        <f t="shared" si="46"/>
        <v>0</v>
      </c>
      <c r="G707" s="151">
        <f>'Etude de cas n°1'!D707</f>
        <v>82.8</v>
      </c>
      <c r="H707" s="218"/>
      <c r="I707" s="218"/>
      <c r="J707" s="218"/>
      <c r="K707" s="218"/>
      <c r="L707" s="218"/>
      <c r="M707" s="218"/>
      <c r="N707" s="218"/>
    </row>
    <row r="708" spans="1:14" s="97" customFormat="1" ht="13.2" x14ac:dyDescent="0.25">
      <c r="A708" s="201"/>
      <c r="B708" s="122" t="s">
        <v>2218</v>
      </c>
      <c r="C708" s="217"/>
      <c r="D708" s="120"/>
      <c r="E708" s="45"/>
      <c r="F708" s="158">
        <f>SUM(F602:F707)</f>
        <v>0</v>
      </c>
      <c r="G708" s="151"/>
      <c r="H708" s="218"/>
      <c r="I708" s="218"/>
      <c r="J708" s="218"/>
      <c r="K708" s="218"/>
      <c r="L708" s="218"/>
      <c r="M708" s="218"/>
      <c r="N708" s="218"/>
    </row>
    <row r="709" spans="1:14" s="97" customFormat="1" ht="13.2" x14ac:dyDescent="0.25">
      <c r="A709" s="201"/>
      <c r="B709" s="216"/>
      <c r="C709" s="217"/>
      <c r="D709" s="128"/>
      <c r="E709" s="47"/>
      <c r="F709" s="47"/>
      <c r="G709" s="151"/>
      <c r="H709" s="218"/>
      <c r="I709" s="218"/>
      <c r="J709" s="218"/>
      <c r="K709" s="218"/>
      <c r="L709" s="218"/>
      <c r="M709" s="218"/>
      <c r="N709" s="218"/>
    </row>
    <row r="710" spans="1:14" s="97" customFormat="1" ht="26.4" x14ac:dyDescent="0.25">
      <c r="A710" s="29" t="s">
        <v>2219</v>
      </c>
      <c r="B710" s="32" t="s">
        <v>2220</v>
      </c>
      <c r="C710" s="224" t="s">
        <v>1883</v>
      </c>
      <c r="D710" s="123"/>
      <c r="E710" s="224" t="s">
        <v>1883</v>
      </c>
      <c r="F710" s="224" t="s">
        <v>1883</v>
      </c>
      <c r="G710" s="153" t="s">
        <v>1883</v>
      </c>
      <c r="H710" s="218"/>
      <c r="I710" s="218"/>
      <c r="J710" s="218"/>
      <c r="K710" s="218"/>
      <c r="L710" s="218"/>
      <c r="M710" s="218"/>
      <c r="N710" s="218"/>
    </row>
    <row r="711" spans="1:14" s="94" customFormat="1" ht="26.4" x14ac:dyDescent="0.25">
      <c r="A711" s="27" t="s">
        <v>203</v>
      </c>
      <c r="B711" s="3" t="s">
        <v>4357</v>
      </c>
      <c r="C711" s="217" t="s">
        <v>1883</v>
      </c>
      <c r="D711" s="120"/>
      <c r="E711" s="45"/>
      <c r="F711" s="127"/>
      <c r="G711" s="151"/>
      <c r="H711" s="19"/>
      <c r="I711" s="19"/>
      <c r="J711" s="19"/>
      <c r="K711" s="19"/>
      <c r="L711" s="19"/>
      <c r="M711" s="19"/>
      <c r="N711" s="19"/>
    </row>
    <row r="712" spans="1:14" s="97" customFormat="1" ht="13.2" x14ac:dyDescent="0.25">
      <c r="A712" s="202" t="s">
        <v>2221</v>
      </c>
      <c r="B712" s="216" t="s">
        <v>2222</v>
      </c>
      <c r="C712" s="217" t="s">
        <v>1034</v>
      </c>
      <c r="D712" s="120"/>
      <c r="E712" s="45">
        <f t="shared" ref="E712:E775" si="48">G712</f>
        <v>36.9</v>
      </c>
      <c r="F712" s="127">
        <f>D712*E712</f>
        <v>0</v>
      </c>
      <c r="G712" s="151">
        <f>'Etude de cas n°1'!D712</f>
        <v>36.9</v>
      </c>
      <c r="H712" s="218"/>
      <c r="I712" s="218"/>
      <c r="J712" s="218"/>
      <c r="K712" s="218"/>
      <c r="L712" s="218"/>
      <c r="M712" s="218"/>
      <c r="N712" s="218"/>
    </row>
    <row r="713" spans="1:14" s="97" customFormat="1" ht="13.2" x14ac:dyDescent="0.25">
      <c r="A713" s="202" t="s">
        <v>2223</v>
      </c>
      <c r="B713" s="216" t="s">
        <v>2224</v>
      </c>
      <c r="C713" s="217" t="s">
        <v>1034</v>
      </c>
      <c r="D713" s="120"/>
      <c r="E713" s="45">
        <f t="shared" si="48"/>
        <v>2.7</v>
      </c>
      <c r="F713" s="127">
        <f t="shared" ref="F713:F776" si="49">D713*E713</f>
        <v>0</v>
      </c>
      <c r="G713" s="151">
        <f>'Etude de cas n°1'!D713</f>
        <v>2.7</v>
      </c>
      <c r="H713" s="218"/>
      <c r="I713" s="218"/>
      <c r="J713" s="218"/>
      <c r="K713" s="218"/>
      <c r="L713" s="218"/>
      <c r="M713" s="218"/>
      <c r="N713" s="218"/>
    </row>
    <row r="714" spans="1:14" s="97" customFormat="1" ht="13.2" x14ac:dyDescent="0.25">
      <c r="A714" s="202" t="s">
        <v>2225</v>
      </c>
      <c r="B714" s="216" t="s">
        <v>2226</v>
      </c>
      <c r="C714" s="217" t="s">
        <v>1034</v>
      </c>
      <c r="D714" s="120"/>
      <c r="E714" s="45">
        <f t="shared" si="48"/>
        <v>0</v>
      </c>
      <c r="F714" s="127">
        <f t="shared" si="49"/>
        <v>0</v>
      </c>
      <c r="G714" s="151">
        <f>'Etude de cas n°1'!D714</f>
        <v>0</v>
      </c>
      <c r="H714" s="218"/>
      <c r="I714" s="218"/>
      <c r="J714" s="218"/>
      <c r="K714" s="218"/>
      <c r="L714" s="218"/>
      <c r="M714" s="218"/>
      <c r="N714" s="218"/>
    </row>
    <row r="715" spans="1:14" s="97" customFormat="1" ht="13.2" x14ac:dyDescent="0.25">
      <c r="A715" s="202" t="s">
        <v>2227</v>
      </c>
      <c r="B715" s="216" t="s">
        <v>2228</v>
      </c>
      <c r="C715" s="217" t="s">
        <v>1034</v>
      </c>
      <c r="D715" s="120"/>
      <c r="E715" s="45">
        <f t="shared" si="48"/>
        <v>0</v>
      </c>
      <c r="F715" s="127">
        <f t="shared" si="49"/>
        <v>0</v>
      </c>
      <c r="G715" s="151">
        <f>'Etude de cas n°1'!D715</f>
        <v>0</v>
      </c>
      <c r="H715" s="218"/>
      <c r="I715" s="218"/>
      <c r="J715" s="218"/>
      <c r="K715" s="218"/>
      <c r="L715" s="218"/>
      <c r="M715" s="218"/>
      <c r="N715" s="218"/>
    </row>
    <row r="716" spans="1:14" s="94" customFormat="1" ht="13.2" x14ac:dyDescent="0.25">
      <c r="A716" s="202" t="s">
        <v>2229</v>
      </c>
      <c r="B716" s="216" t="s">
        <v>2230</v>
      </c>
      <c r="C716" s="217" t="s">
        <v>1034</v>
      </c>
      <c r="D716" s="120"/>
      <c r="E716" s="45">
        <f t="shared" si="48"/>
        <v>43.2</v>
      </c>
      <c r="F716" s="127">
        <f t="shared" si="49"/>
        <v>0</v>
      </c>
      <c r="G716" s="151">
        <f>'Etude de cas n°1'!D716</f>
        <v>43.2</v>
      </c>
      <c r="H716" s="19"/>
      <c r="I716" s="19"/>
      <c r="J716" s="19"/>
      <c r="K716" s="19"/>
      <c r="L716" s="19"/>
      <c r="M716" s="19"/>
      <c r="N716" s="19"/>
    </row>
    <row r="717" spans="1:14" s="97" customFormat="1" ht="13.2" x14ac:dyDescent="0.25">
      <c r="A717" s="202" t="s">
        <v>2231</v>
      </c>
      <c r="B717" s="216" t="s">
        <v>2232</v>
      </c>
      <c r="C717" s="217" t="s">
        <v>1034</v>
      </c>
      <c r="D717" s="120"/>
      <c r="E717" s="45">
        <f t="shared" si="48"/>
        <v>0</v>
      </c>
      <c r="F717" s="127">
        <f t="shared" si="49"/>
        <v>0</v>
      </c>
      <c r="G717" s="151">
        <f>'Etude de cas n°1'!D717</f>
        <v>0</v>
      </c>
      <c r="H717" s="218"/>
      <c r="I717" s="218"/>
      <c r="J717" s="218"/>
      <c r="K717" s="218"/>
      <c r="L717" s="218"/>
      <c r="M717" s="218"/>
      <c r="N717" s="218"/>
    </row>
    <row r="718" spans="1:14" s="97" customFormat="1" ht="13.2" x14ac:dyDescent="0.25">
      <c r="A718" s="202" t="s">
        <v>2233</v>
      </c>
      <c r="B718" s="216" t="s">
        <v>2234</v>
      </c>
      <c r="C718" s="217" t="s">
        <v>1034</v>
      </c>
      <c r="D718" s="120"/>
      <c r="E718" s="45">
        <f t="shared" si="48"/>
        <v>0</v>
      </c>
      <c r="F718" s="127">
        <f t="shared" si="49"/>
        <v>0</v>
      </c>
      <c r="G718" s="151">
        <f>'Etude de cas n°1'!D718</f>
        <v>0</v>
      </c>
      <c r="H718" s="218"/>
      <c r="I718" s="218"/>
      <c r="J718" s="218"/>
      <c r="K718" s="218"/>
      <c r="L718" s="218"/>
      <c r="M718" s="218"/>
      <c r="N718" s="218"/>
    </row>
    <row r="719" spans="1:14" s="97" customFormat="1" ht="13.2" x14ac:dyDescent="0.25">
      <c r="A719" s="202" t="s">
        <v>2235</v>
      </c>
      <c r="B719" s="216" t="s">
        <v>2236</v>
      </c>
      <c r="C719" s="217" t="s">
        <v>1034</v>
      </c>
      <c r="D719" s="120"/>
      <c r="E719" s="45">
        <f t="shared" si="48"/>
        <v>0</v>
      </c>
      <c r="F719" s="127">
        <f t="shared" si="49"/>
        <v>0</v>
      </c>
      <c r="G719" s="151">
        <f>'Etude de cas n°1'!D719</f>
        <v>0</v>
      </c>
      <c r="H719" s="218"/>
      <c r="I719" s="218"/>
      <c r="J719" s="218"/>
      <c r="K719" s="218"/>
      <c r="L719" s="218"/>
      <c r="M719" s="218"/>
      <c r="N719" s="218"/>
    </row>
    <row r="720" spans="1:14" s="97" customFormat="1" ht="13.2" x14ac:dyDescent="0.25">
      <c r="A720" s="202" t="s">
        <v>2237</v>
      </c>
      <c r="B720" s="216" t="s">
        <v>2238</v>
      </c>
      <c r="C720" s="217" t="s">
        <v>1034</v>
      </c>
      <c r="D720" s="120"/>
      <c r="E720" s="45">
        <f t="shared" si="48"/>
        <v>0</v>
      </c>
      <c r="F720" s="127">
        <f t="shared" si="49"/>
        <v>0</v>
      </c>
      <c r="G720" s="151">
        <f>'Etude de cas n°1'!D720</f>
        <v>0</v>
      </c>
      <c r="H720" s="218"/>
      <c r="I720" s="218"/>
      <c r="J720" s="218"/>
      <c r="K720" s="218"/>
      <c r="L720" s="218"/>
      <c r="M720" s="218"/>
      <c r="N720" s="218"/>
    </row>
    <row r="721" spans="1:14" s="97" customFormat="1" ht="26.4" x14ac:dyDescent="0.25">
      <c r="A721" s="27" t="s">
        <v>204</v>
      </c>
      <c r="B721" s="3" t="s">
        <v>4356</v>
      </c>
      <c r="C721" s="217" t="s">
        <v>1883</v>
      </c>
      <c r="D721" s="120"/>
      <c r="E721" s="45"/>
      <c r="F721" s="127"/>
      <c r="G721" s="151"/>
      <c r="H721" s="218"/>
      <c r="I721" s="218"/>
      <c r="J721" s="218"/>
      <c r="K721" s="218"/>
      <c r="L721" s="218"/>
      <c r="M721" s="218"/>
      <c r="N721" s="218"/>
    </row>
    <row r="722" spans="1:14" s="94" customFormat="1" ht="13.2" x14ac:dyDescent="0.25">
      <c r="A722" s="202" t="s">
        <v>2239</v>
      </c>
      <c r="B722" s="216" t="s">
        <v>2240</v>
      </c>
      <c r="C722" s="217" t="s">
        <v>1034</v>
      </c>
      <c r="D722" s="120"/>
      <c r="E722" s="45">
        <f t="shared" si="48"/>
        <v>0</v>
      </c>
      <c r="F722" s="127">
        <f t="shared" si="49"/>
        <v>0</v>
      </c>
      <c r="G722" s="151">
        <f>'Etude de cas n°1'!D722</f>
        <v>0</v>
      </c>
      <c r="H722" s="19"/>
      <c r="I722" s="19"/>
      <c r="J722" s="19"/>
      <c r="K722" s="19"/>
      <c r="L722" s="19"/>
      <c r="M722" s="19"/>
      <c r="N722" s="19"/>
    </row>
    <row r="723" spans="1:14" s="97" customFormat="1" ht="13.2" x14ac:dyDescent="0.25">
      <c r="A723" s="202" t="s">
        <v>2241</v>
      </c>
      <c r="B723" s="216" t="s">
        <v>2242</v>
      </c>
      <c r="C723" s="217" t="s">
        <v>1034</v>
      </c>
      <c r="D723" s="120"/>
      <c r="E723" s="45">
        <f t="shared" si="48"/>
        <v>0</v>
      </c>
      <c r="F723" s="127">
        <f t="shared" si="49"/>
        <v>0</v>
      </c>
      <c r="G723" s="151">
        <f>'Etude de cas n°1'!D723</f>
        <v>0</v>
      </c>
      <c r="H723" s="218"/>
      <c r="I723" s="218"/>
      <c r="J723" s="218"/>
      <c r="K723" s="218"/>
      <c r="L723" s="218"/>
      <c r="M723" s="218"/>
      <c r="N723" s="218"/>
    </row>
    <row r="724" spans="1:14" s="97" customFormat="1" ht="13.2" x14ac:dyDescent="0.25">
      <c r="A724" s="202" t="s">
        <v>2243</v>
      </c>
      <c r="B724" s="216" t="s">
        <v>2222</v>
      </c>
      <c r="C724" s="217" t="s">
        <v>1034</v>
      </c>
      <c r="D724" s="120"/>
      <c r="E724" s="45">
        <f t="shared" si="48"/>
        <v>0</v>
      </c>
      <c r="F724" s="127">
        <f t="shared" si="49"/>
        <v>0</v>
      </c>
      <c r="G724" s="151">
        <f>'Etude de cas n°1'!D724</f>
        <v>0</v>
      </c>
      <c r="H724" s="218"/>
      <c r="I724" s="218"/>
      <c r="J724" s="218"/>
      <c r="K724" s="218"/>
      <c r="L724" s="218"/>
      <c r="M724" s="218"/>
      <c r="N724" s="218"/>
    </row>
    <row r="725" spans="1:14" s="97" customFormat="1" ht="13.2" x14ac:dyDescent="0.25">
      <c r="A725" s="202" t="s">
        <v>2244</v>
      </c>
      <c r="B725" s="216" t="s">
        <v>2224</v>
      </c>
      <c r="C725" s="217" t="s">
        <v>1034</v>
      </c>
      <c r="D725" s="120"/>
      <c r="E725" s="45">
        <f t="shared" si="48"/>
        <v>0</v>
      </c>
      <c r="F725" s="127">
        <f t="shared" si="49"/>
        <v>0</v>
      </c>
      <c r="G725" s="151">
        <f>'Etude de cas n°1'!D725</f>
        <v>0</v>
      </c>
      <c r="H725" s="218"/>
      <c r="I725" s="218"/>
      <c r="J725" s="218"/>
      <c r="K725" s="218"/>
      <c r="L725" s="218"/>
      <c r="M725" s="218"/>
      <c r="N725" s="218"/>
    </row>
    <row r="726" spans="1:14" s="97" customFormat="1" ht="13.2" x14ac:dyDescent="0.25">
      <c r="A726" s="202" t="s">
        <v>2245</v>
      </c>
      <c r="B726" s="216" t="s">
        <v>2226</v>
      </c>
      <c r="C726" s="217" t="s">
        <v>1034</v>
      </c>
      <c r="D726" s="120"/>
      <c r="E726" s="45">
        <f t="shared" si="48"/>
        <v>0</v>
      </c>
      <c r="F726" s="127">
        <f t="shared" si="49"/>
        <v>0</v>
      </c>
      <c r="G726" s="151">
        <f>'Etude de cas n°1'!D726</f>
        <v>0</v>
      </c>
      <c r="H726" s="218"/>
      <c r="I726" s="218"/>
      <c r="J726" s="218"/>
      <c r="K726" s="218"/>
      <c r="L726" s="218"/>
      <c r="M726" s="218"/>
      <c r="N726" s="218"/>
    </row>
    <row r="727" spans="1:14" s="97" customFormat="1" ht="13.2" x14ac:dyDescent="0.25">
      <c r="A727" s="202" t="s">
        <v>2246</v>
      </c>
      <c r="B727" s="216" t="s">
        <v>2228</v>
      </c>
      <c r="C727" s="217" t="s">
        <v>1034</v>
      </c>
      <c r="D727" s="120"/>
      <c r="E727" s="45">
        <f t="shared" si="48"/>
        <v>0</v>
      </c>
      <c r="F727" s="127">
        <f t="shared" si="49"/>
        <v>0</v>
      </c>
      <c r="G727" s="151">
        <f>'Etude de cas n°1'!D727</f>
        <v>0</v>
      </c>
      <c r="H727" s="218"/>
      <c r="I727" s="218"/>
      <c r="J727" s="218"/>
      <c r="K727" s="218"/>
      <c r="L727" s="218"/>
      <c r="M727" s="218"/>
      <c r="N727" s="218"/>
    </row>
    <row r="728" spans="1:14" s="97" customFormat="1" ht="13.2" x14ac:dyDescent="0.25">
      <c r="A728" s="202" t="s">
        <v>2247</v>
      </c>
      <c r="B728" s="216" t="s">
        <v>2230</v>
      </c>
      <c r="C728" s="217" t="s">
        <v>1034</v>
      </c>
      <c r="D728" s="120"/>
      <c r="E728" s="45">
        <f t="shared" si="48"/>
        <v>0</v>
      </c>
      <c r="F728" s="127">
        <f t="shared" si="49"/>
        <v>0</v>
      </c>
      <c r="G728" s="151">
        <f>'Etude de cas n°1'!D728</f>
        <v>0</v>
      </c>
      <c r="H728" s="218"/>
      <c r="I728" s="218"/>
      <c r="J728" s="218"/>
      <c r="K728" s="218"/>
      <c r="L728" s="218"/>
      <c r="M728" s="218"/>
      <c r="N728" s="218"/>
    </row>
    <row r="729" spans="1:14" s="97" customFormat="1" ht="13.2" x14ac:dyDescent="0.25">
      <c r="A729" s="202" t="s">
        <v>2248</v>
      </c>
      <c r="B729" s="216" t="s">
        <v>2232</v>
      </c>
      <c r="C729" s="217" t="s">
        <v>1034</v>
      </c>
      <c r="D729" s="120"/>
      <c r="E729" s="45">
        <f t="shared" si="48"/>
        <v>0</v>
      </c>
      <c r="F729" s="127">
        <f t="shared" si="49"/>
        <v>0</v>
      </c>
      <c r="G729" s="151">
        <f>'Etude de cas n°1'!D729</f>
        <v>0</v>
      </c>
      <c r="H729" s="218"/>
      <c r="I729" s="218"/>
      <c r="J729" s="218"/>
      <c r="K729" s="218"/>
      <c r="L729" s="218"/>
      <c r="M729" s="218"/>
      <c r="N729" s="218"/>
    </row>
    <row r="730" spans="1:14" s="97" customFormat="1" ht="13.2" x14ac:dyDescent="0.25">
      <c r="A730" s="202" t="s">
        <v>2249</v>
      </c>
      <c r="B730" s="216" t="s">
        <v>2234</v>
      </c>
      <c r="C730" s="217" t="s">
        <v>1034</v>
      </c>
      <c r="D730" s="120"/>
      <c r="E730" s="45">
        <f t="shared" si="48"/>
        <v>0</v>
      </c>
      <c r="F730" s="127">
        <f t="shared" si="49"/>
        <v>0</v>
      </c>
      <c r="G730" s="151">
        <f>'Etude de cas n°1'!D730</f>
        <v>0</v>
      </c>
      <c r="H730" s="218"/>
      <c r="I730" s="218"/>
      <c r="J730" s="218"/>
      <c r="K730" s="218"/>
      <c r="L730" s="218"/>
      <c r="M730" s="218"/>
      <c r="N730" s="218"/>
    </row>
    <row r="731" spans="1:14" s="97" customFormat="1" ht="13.2" x14ac:dyDescent="0.25">
      <c r="A731" s="202" t="s">
        <v>2250</v>
      </c>
      <c r="B731" s="216" t="s">
        <v>2236</v>
      </c>
      <c r="C731" s="217" t="s">
        <v>1034</v>
      </c>
      <c r="D731" s="120"/>
      <c r="E731" s="45">
        <f t="shared" si="48"/>
        <v>0</v>
      </c>
      <c r="F731" s="127">
        <f t="shared" si="49"/>
        <v>0</v>
      </c>
      <c r="G731" s="151">
        <f>'Etude de cas n°1'!D731</f>
        <v>0</v>
      </c>
      <c r="H731" s="218"/>
      <c r="I731" s="218"/>
      <c r="J731" s="218"/>
      <c r="K731" s="218"/>
      <c r="L731" s="218"/>
      <c r="M731" s="218"/>
      <c r="N731" s="218"/>
    </row>
    <row r="732" spans="1:14" s="97" customFormat="1" ht="13.2" x14ac:dyDescent="0.25">
      <c r="A732" s="202" t="s">
        <v>2251</v>
      </c>
      <c r="B732" s="216" t="s">
        <v>2238</v>
      </c>
      <c r="C732" s="217" t="s">
        <v>1034</v>
      </c>
      <c r="D732" s="120"/>
      <c r="E732" s="45">
        <f t="shared" si="48"/>
        <v>0</v>
      </c>
      <c r="F732" s="127">
        <f t="shared" si="49"/>
        <v>0</v>
      </c>
      <c r="G732" s="151">
        <f>'Etude de cas n°1'!D732</f>
        <v>0</v>
      </c>
      <c r="H732" s="218"/>
      <c r="I732" s="218"/>
      <c r="J732" s="218"/>
      <c r="K732" s="218"/>
      <c r="L732" s="218"/>
      <c r="M732" s="218"/>
      <c r="N732" s="218"/>
    </row>
    <row r="733" spans="1:14" s="97" customFormat="1" ht="26.4" x14ac:dyDescent="0.25">
      <c r="A733" s="27" t="s">
        <v>205</v>
      </c>
      <c r="B733" s="3" t="s">
        <v>2252</v>
      </c>
      <c r="C733" s="217" t="s">
        <v>1883</v>
      </c>
      <c r="D733" s="120"/>
      <c r="E733" s="45"/>
      <c r="F733" s="127"/>
      <c r="G733" s="151"/>
      <c r="H733" s="218"/>
      <c r="I733" s="218"/>
      <c r="J733" s="218"/>
      <c r="K733" s="218"/>
      <c r="L733" s="218"/>
      <c r="M733" s="218"/>
      <c r="N733" s="218"/>
    </row>
    <row r="734" spans="1:14" s="97" customFormat="1" ht="13.2" x14ac:dyDescent="0.25">
      <c r="A734" s="201" t="s">
        <v>2253</v>
      </c>
      <c r="B734" s="216" t="s">
        <v>2254</v>
      </c>
      <c r="C734" s="217" t="s">
        <v>1034</v>
      </c>
      <c r="D734" s="120"/>
      <c r="E734" s="45">
        <f t="shared" si="48"/>
        <v>0</v>
      </c>
      <c r="F734" s="127">
        <f t="shared" si="49"/>
        <v>0</v>
      </c>
      <c r="G734" s="151">
        <f>'Etude de cas n°1'!D734</f>
        <v>0</v>
      </c>
      <c r="H734" s="218"/>
      <c r="I734" s="218"/>
      <c r="J734" s="218"/>
      <c r="K734" s="218"/>
      <c r="L734" s="218"/>
      <c r="M734" s="218"/>
      <c r="N734" s="218"/>
    </row>
    <row r="735" spans="1:14" s="97" customFormat="1" ht="13.2" x14ac:dyDescent="0.25">
      <c r="A735" s="201" t="s">
        <v>2255</v>
      </c>
      <c r="B735" s="216" t="s">
        <v>2224</v>
      </c>
      <c r="C735" s="217" t="s">
        <v>1034</v>
      </c>
      <c r="D735" s="120"/>
      <c r="E735" s="45">
        <f t="shared" si="48"/>
        <v>0</v>
      </c>
      <c r="F735" s="127">
        <f t="shared" si="49"/>
        <v>0</v>
      </c>
      <c r="G735" s="151">
        <f>'Etude de cas n°1'!D735</f>
        <v>0</v>
      </c>
      <c r="H735" s="218"/>
      <c r="I735" s="218"/>
      <c r="J735" s="218"/>
      <c r="K735" s="218"/>
      <c r="L735" s="218"/>
      <c r="M735" s="218"/>
      <c r="N735" s="218"/>
    </row>
    <row r="736" spans="1:14" s="97" customFormat="1" ht="13.2" x14ac:dyDescent="0.25">
      <c r="A736" s="201" t="s">
        <v>2256</v>
      </c>
      <c r="B736" s="216" t="s">
        <v>2226</v>
      </c>
      <c r="C736" s="217" t="s">
        <v>1034</v>
      </c>
      <c r="D736" s="120"/>
      <c r="E736" s="45">
        <f t="shared" si="48"/>
        <v>0</v>
      </c>
      <c r="F736" s="127">
        <f t="shared" si="49"/>
        <v>0</v>
      </c>
      <c r="G736" s="151">
        <f>'Etude de cas n°1'!D736</f>
        <v>0</v>
      </c>
      <c r="H736" s="218"/>
      <c r="I736" s="218"/>
      <c r="J736" s="218"/>
      <c r="K736" s="218"/>
      <c r="L736" s="218"/>
      <c r="M736" s="218"/>
      <c r="N736" s="218"/>
    </row>
    <row r="737" spans="1:14" s="97" customFormat="1" ht="13.2" x14ac:dyDescent="0.25">
      <c r="A737" s="201" t="s">
        <v>2257</v>
      </c>
      <c r="B737" s="216" t="s">
        <v>2258</v>
      </c>
      <c r="C737" s="217" t="s">
        <v>1034</v>
      </c>
      <c r="D737" s="120"/>
      <c r="E737" s="45">
        <f t="shared" si="48"/>
        <v>0</v>
      </c>
      <c r="F737" s="127">
        <f t="shared" si="49"/>
        <v>0</v>
      </c>
      <c r="G737" s="151">
        <f>'Etude de cas n°1'!D737</f>
        <v>0</v>
      </c>
      <c r="H737" s="218"/>
      <c r="I737" s="218"/>
      <c r="J737" s="218"/>
      <c r="K737" s="218"/>
      <c r="L737" s="218"/>
      <c r="M737" s="218"/>
      <c r="N737" s="218"/>
    </row>
    <row r="738" spans="1:14" s="97" customFormat="1" ht="26.4" x14ac:dyDescent="0.25">
      <c r="A738" s="27" t="s">
        <v>206</v>
      </c>
      <c r="B738" s="3" t="s">
        <v>2259</v>
      </c>
      <c r="C738" s="217" t="s">
        <v>1883</v>
      </c>
      <c r="D738" s="120"/>
      <c r="E738" s="45"/>
      <c r="F738" s="127"/>
      <c r="G738" s="151"/>
      <c r="H738" s="218"/>
      <c r="I738" s="218"/>
      <c r="J738" s="218"/>
      <c r="K738" s="218"/>
      <c r="L738" s="218"/>
      <c r="M738" s="218"/>
      <c r="N738" s="218"/>
    </row>
    <row r="739" spans="1:14" s="97" customFormat="1" ht="13.2" x14ac:dyDescent="0.25">
      <c r="A739" s="202" t="s">
        <v>2260</v>
      </c>
      <c r="B739" s="216" t="s">
        <v>2261</v>
      </c>
      <c r="C739" s="217" t="s">
        <v>1034</v>
      </c>
      <c r="D739" s="120"/>
      <c r="E739" s="45">
        <f t="shared" si="48"/>
        <v>0</v>
      </c>
      <c r="F739" s="127">
        <f t="shared" si="49"/>
        <v>0</v>
      </c>
      <c r="G739" s="151">
        <f>'Etude de cas n°1'!D739</f>
        <v>0</v>
      </c>
      <c r="H739" s="218"/>
      <c r="I739" s="218"/>
      <c r="J739" s="218"/>
      <c r="K739" s="218"/>
      <c r="L739" s="218"/>
      <c r="M739" s="218"/>
      <c r="N739" s="218"/>
    </row>
    <row r="740" spans="1:14" s="94" customFormat="1" ht="13.2" x14ac:dyDescent="0.25">
      <c r="A740" s="202" t="s">
        <v>2262</v>
      </c>
      <c r="B740" s="216" t="s">
        <v>2230</v>
      </c>
      <c r="C740" s="217" t="s">
        <v>1034</v>
      </c>
      <c r="D740" s="120"/>
      <c r="E740" s="45">
        <f t="shared" si="48"/>
        <v>0</v>
      </c>
      <c r="F740" s="127">
        <f t="shared" si="49"/>
        <v>0</v>
      </c>
      <c r="G740" s="151">
        <f>'Etude de cas n°1'!D740</f>
        <v>0</v>
      </c>
      <c r="H740" s="19"/>
      <c r="I740" s="19"/>
      <c r="J740" s="19"/>
      <c r="K740" s="19"/>
      <c r="L740" s="19"/>
      <c r="M740" s="19"/>
      <c r="N740" s="19"/>
    </row>
    <row r="741" spans="1:14" s="94" customFormat="1" ht="13.2" x14ac:dyDescent="0.25">
      <c r="A741" s="202" t="s">
        <v>2263</v>
      </c>
      <c r="B741" s="216" t="s">
        <v>2264</v>
      </c>
      <c r="C741" s="217" t="s">
        <v>1034</v>
      </c>
      <c r="D741" s="120"/>
      <c r="E741" s="45">
        <f t="shared" si="48"/>
        <v>0</v>
      </c>
      <c r="F741" s="127">
        <f t="shared" si="49"/>
        <v>0</v>
      </c>
      <c r="G741" s="151">
        <f>'Etude de cas n°1'!D741</f>
        <v>0</v>
      </c>
      <c r="H741" s="19"/>
      <c r="I741" s="19"/>
      <c r="J741" s="19"/>
      <c r="K741" s="19"/>
      <c r="L741" s="19"/>
      <c r="M741" s="19"/>
      <c r="N741" s="19"/>
    </row>
    <row r="742" spans="1:14" s="97" customFormat="1" ht="13.2" x14ac:dyDescent="0.25">
      <c r="A742" s="202" t="s">
        <v>2265</v>
      </c>
      <c r="B742" s="216" t="s">
        <v>2232</v>
      </c>
      <c r="C742" s="217" t="s">
        <v>1034</v>
      </c>
      <c r="D742" s="120"/>
      <c r="E742" s="45">
        <f t="shared" si="48"/>
        <v>0</v>
      </c>
      <c r="F742" s="127">
        <f t="shared" si="49"/>
        <v>0</v>
      </c>
      <c r="G742" s="151">
        <f>'Etude de cas n°1'!D742</f>
        <v>0</v>
      </c>
      <c r="H742" s="218"/>
      <c r="I742" s="218"/>
      <c r="J742" s="218"/>
      <c r="K742" s="218"/>
      <c r="L742" s="218"/>
      <c r="M742" s="218"/>
      <c r="N742" s="218"/>
    </row>
    <row r="743" spans="1:14" s="97" customFormat="1" ht="13.2" x14ac:dyDescent="0.25">
      <c r="A743" s="202" t="s">
        <v>2266</v>
      </c>
      <c r="B743" s="216" t="s">
        <v>2267</v>
      </c>
      <c r="C743" s="217" t="s">
        <v>1034</v>
      </c>
      <c r="D743" s="120"/>
      <c r="E743" s="45">
        <f t="shared" si="48"/>
        <v>0</v>
      </c>
      <c r="F743" s="127">
        <f t="shared" si="49"/>
        <v>0</v>
      </c>
      <c r="G743" s="151">
        <f>'Etude de cas n°1'!D743</f>
        <v>0</v>
      </c>
      <c r="H743" s="218"/>
      <c r="I743" s="218"/>
      <c r="J743" s="218"/>
      <c r="K743" s="218"/>
      <c r="L743" s="218"/>
      <c r="M743" s="218"/>
      <c r="N743" s="218"/>
    </row>
    <row r="744" spans="1:14" s="97" customFormat="1" ht="13.2" x14ac:dyDescent="0.25">
      <c r="A744" s="202" t="s">
        <v>2268</v>
      </c>
      <c r="B744" s="216" t="s">
        <v>2269</v>
      </c>
      <c r="C744" s="217" t="s">
        <v>1034</v>
      </c>
      <c r="D744" s="120"/>
      <c r="E744" s="45">
        <f t="shared" si="48"/>
        <v>0</v>
      </c>
      <c r="F744" s="127">
        <f t="shared" si="49"/>
        <v>0</v>
      </c>
      <c r="G744" s="151">
        <f>'Etude de cas n°1'!D744</f>
        <v>0</v>
      </c>
      <c r="H744" s="218"/>
      <c r="I744" s="218"/>
      <c r="J744" s="218"/>
      <c r="K744" s="218"/>
      <c r="L744" s="218"/>
      <c r="M744" s="218"/>
      <c r="N744" s="218"/>
    </row>
    <row r="745" spans="1:14" s="97" customFormat="1" ht="13.2" x14ac:dyDescent="0.25">
      <c r="A745" s="202" t="s">
        <v>2270</v>
      </c>
      <c r="B745" s="216" t="s">
        <v>2238</v>
      </c>
      <c r="C745" s="217" t="s">
        <v>1034</v>
      </c>
      <c r="D745" s="120"/>
      <c r="E745" s="45">
        <f t="shared" si="48"/>
        <v>0</v>
      </c>
      <c r="F745" s="127">
        <f t="shared" si="49"/>
        <v>0</v>
      </c>
      <c r="G745" s="151">
        <f>'Etude de cas n°1'!D745</f>
        <v>0</v>
      </c>
      <c r="H745" s="218"/>
      <c r="I745" s="218"/>
      <c r="J745" s="218"/>
      <c r="K745" s="218"/>
      <c r="L745" s="218"/>
      <c r="M745" s="218"/>
      <c r="N745" s="218"/>
    </row>
    <row r="746" spans="1:14" s="94" customFormat="1" ht="13.2" x14ac:dyDescent="0.25">
      <c r="A746" s="202" t="s">
        <v>2271</v>
      </c>
      <c r="B746" s="216" t="s">
        <v>2272</v>
      </c>
      <c r="C746" s="217" t="s">
        <v>1034</v>
      </c>
      <c r="D746" s="120"/>
      <c r="E746" s="45">
        <f t="shared" si="48"/>
        <v>0</v>
      </c>
      <c r="F746" s="127">
        <f t="shared" si="49"/>
        <v>0</v>
      </c>
      <c r="G746" s="151">
        <f>'Etude de cas n°1'!D746</f>
        <v>0</v>
      </c>
      <c r="H746" s="19"/>
      <c r="I746" s="19"/>
      <c r="J746" s="19"/>
      <c r="K746" s="19"/>
      <c r="L746" s="19"/>
      <c r="M746" s="19"/>
      <c r="N746" s="19"/>
    </row>
    <row r="747" spans="1:14" s="97" customFormat="1" ht="13.2" x14ac:dyDescent="0.25">
      <c r="A747" s="202" t="s">
        <v>2273</v>
      </c>
      <c r="B747" s="216" t="s">
        <v>2274</v>
      </c>
      <c r="C747" s="217" t="s">
        <v>1034</v>
      </c>
      <c r="D747" s="120"/>
      <c r="E747" s="45">
        <f t="shared" si="48"/>
        <v>0</v>
      </c>
      <c r="F747" s="127">
        <f t="shared" si="49"/>
        <v>0</v>
      </c>
      <c r="G747" s="151">
        <f>'Etude de cas n°1'!D747</f>
        <v>0</v>
      </c>
      <c r="H747" s="218"/>
      <c r="I747" s="218"/>
      <c r="J747" s="218"/>
      <c r="K747" s="218"/>
      <c r="L747" s="218"/>
      <c r="M747" s="218"/>
      <c r="N747" s="218"/>
    </row>
    <row r="748" spans="1:14" s="97" customFormat="1" ht="13.2" x14ac:dyDescent="0.25">
      <c r="A748" s="202" t="s">
        <v>2275</v>
      </c>
      <c r="B748" s="216" t="s">
        <v>2276</v>
      </c>
      <c r="C748" s="217" t="s">
        <v>1034</v>
      </c>
      <c r="D748" s="120"/>
      <c r="E748" s="45">
        <f t="shared" si="48"/>
        <v>0</v>
      </c>
      <c r="F748" s="127">
        <f t="shared" si="49"/>
        <v>0</v>
      </c>
      <c r="G748" s="151">
        <f>'Etude de cas n°1'!D748</f>
        <v>0</v>
      </c>
      <c r="H748" s="218"/>
      <c r="I748" s="218"/>
      <c r="J748" s="218"/>
      <c r="K748" s="218"/>
      <c r="L748" s="218"/>
      <c r="M748" s="218"/>
      <c r="N748" s="218"/>
    </row>
    <row r="749" spans="1:14" s="97" customFormat="1" ht="26.4" x14ac:dyDescent="0.25">
      <c r="A749" s="28" t="s">
        <v>2277</v>
      </c>
      <c r="B749" s="6" t="s">
        <v>2278</v>
      </c>
      <c r="C749" s="217"/>
      <c r="D749" s="120"/>
      <c r="E749" s="45"/>
      <c r="F749" s="127"/>
      <c r="G749" s="151"/>
      <c r="H749" s="218"/>
      <c r="I749" s="218"/>
      <c r="J749" s="218"/>
      <c r="K749" s="218"/>
      <c r="L749" s="218"/>
      <c r="M749" s="218"/>
      <c r="N749" s="218"/>
    </row>
    <row r="750" spans="1:14" s="97" customFormat="1" ht="13.2" x14ac:dyDescent="0.25">
      <c r="A750" s="202" t="s">
        <v>207</v>
      </c>
      <c r="B750" s="216" t="s">
        <v>2254</v>
      </c>
      <c r="C750" s="217" t="s">
        <v>1034</v>
      </c>
      <c r="D750" s="120"/>
      <c r="E750" s="45">
        <f t="shared" si="48"/>
        <v>0</v>
      </c>
      <c r="F750" s="127">
        <f t="shared" si="49"/>
        <v>0</v>
      </c>
      <c r="G750" s="151">
        <f>'Etude de cas n°1'!D750</f>
        <v>0</v>
      </c>
      <c r="H750" s="218"/>
      <c r="I750" s="218"/>
      <c r="J750" s="218"/>
      <c r="K750" s="218"/>
      <c r="L750" s="218"/>
      <c r="M750" s="218"/>
      <c r="N750" s="218"/>
    </row>
    <row r="751" spans="1:14" s="97" customFormat="1" ht="13.2" x14ac:dyDescent="0.25">
      <c r="A751" s="202" t="s">
        <v>208</v>
      </c>
      <c r="B751" s="216" t="s">
        <v>2224</v>
      </c>
      <c r="C751" s="217" t="s">
        <v>1034</v>
      </c>
      <c r="D751" s="120"/>
      <c r="E751" s="45">
        <f t="shared" si="48"/>
        <v>0</v>
      </c>
      <c r="F751" s="127">
        <f t="shared" si="49"/>
        <v>0</v>
      </c>
      <c r="G751" s="151">
        <f>'Etude de cas n°1'!D751</f>
        <v>0</v>
      </c>
      <c r="H751" s="218"/>
      <c r="I751" s="218"/>
      <c r="J751" s="218"/>
      <c r="K751" s="218"/>
      <c r="L751" s="218"/>
      <c r="M751" s="218"/>
      <c r="N751" s="218"/>
    </row>
    <row r="752" spans="1:14" s="97" customFormat="1" ht="13.2" x14ac:dyDescent="0.25">
      <c r="A752" s="202" t="s">
        <v>209</v>
      </c>
      <c r="B752" s="216" t="s">
        <v>2226</v>
      </c>
      <c r="C752" s="217" t="s">
        <v>1034</v>
      </c>
      <c r="D752" s="120"/>
      <c r="E752" s="45">
        <f t="shared" si="48"/>
        <v>0</v>
      </c>
      <c r="F752" s="127">
        <f t="shared" si="49"/>
        <v>0</v>
      </c>
      <c r="G752" s="151">
        <f>'Etude de cas n°1'!D752</f>
        <v>0</v>
      </c>
      <c r="H752" s="218"/>
      <c r="I752" s="218"/>
      <c r="J752" s="218"/>
      <c r="K752" s="218"/>
      <c r="L752" s="218"/>
      <c r="M752" s="218"/>
      <c r="N752" s="218"/>
    </row>
    <row r="753" spans="1:14" s="97" customFormat="1" ht="13.2" x14ac:dyDescent="0.25">
      <c r="A753" s="202" t="s">
        <v>2279</v>
      </c>
      <c r="B753" s="216" t="s">
        <v>2258</v>
      </c>
      <c r="C753" s="217" t="s">
        <v>1034</v>
      </c>
      <c r="D753" s="120"/>
      <c r="E753" s="45">
        <f t="shared" si="48"/>
        <v>0</v>
      </c>
      <c r="F753" s="127">
        <f t="shared" si="49"/>
        <v>0</v>
      </c>
      <c r="G753" s="151">
        <f>'Etude de cas n°1'!D753</f>
        <v>0</v>
      </c>
      <c r="H753" s="218"/>
      <c r="I753" s="218"/>
      <c r="J753" s="218"/>
      <c r="K753" s="218"/>
      <c r="L753" s="218"/>
      <c r="M753" s="218"/>
      <c r="N753" s="218"/>
    </row>
    <row r="754" spans="1:14" s="97" customFormat="1" ht="13.2" x14ac:dyDescent="0.25">
      <c r="A754" s="202" t="s">
        <v>2280</v>
      </c>
      <c r="B754" s="216" t="s">
        <v>2261</v>
      </c>
      <c r="C754" s="217" t="s">
        <v>1034</v>
      </c>
      <c r="D754" s="120"/>
      <c r="E754" s="45">
        <f t="shared" si="48"/>
        <v>0</v>
      </c>
      <c r="F754" s="127">
        <f t="shared" si="49"/>
        <v>0</v>
      </c>
      <c r="G754" s="151">
        <f>'Etude de cas n°1'!D754</f>
        <v>0</v>
      </c>
      <c r="H754" s="218"/>
      <c r="I754" s="218"/>
      <c r="J754" s="218"/>
      <c r="K754" s="218"/>
      <c r="L754" s="218"/>
      <c r="M754" s="218"/>
      <c r="N754" s="218"/>
    </row>
    <row r="755" spans="1:14" s="97" customFormat="1" ht="13.2" x14ac:dyDescent="0.25">
      <c r="A755" s="202" t="s">
        <v>2281</v>
      </c>
      <c r="B755" s="216" t="s">
        <v>2230</v>
      </c>
      <c r="C755" s="217" t="s">
        <v>1034</v>
      </c>
      <c r="D755" s="120"/>
      <c r="E755" s="45">
        <f t="shared" si="48"/>
        <v>0</v>
      </c>
      <c r="F755" s="127">
        <f t="shared" si="49"/>
        <v>0</v>
      </c>
      <c r="G755" s="151">
        <f>'Etude de cas n°1'!D755</f>
        <v>0</v>
      </c>
      <c r="H755" s="218"/>
      <c r="I755" s="218"/>
      <c r="J755" s="218"/>
      <c r="K755" s="218"/>
      <c r="L755" s="218"/>
      <c r="M755" s="218"/>
      <c r="N755" s="218"/>
    </row>
    <row r="756" spans="1:14" s="94" customFormat="1" ht="13.2" x14ac:dyDescent="0.25">
      <c r="A756" s="202" t="s">
        <v>2282</v>
      </c>
      <c r="B756" s="216" t="s">
        <v>2264</v>
      </c>
      <c r="C756" s="217" t="s">
        <v>1034</v>
      </c>
      <c r="D756" s="120"/>
      <c r="E756" s="45">
        <f t="shared" si="48"/>
        <v>0</v>
      </c>
      <c r="F756" s="127">
        <f t="shared" si="49"/>
        <v>0</v>
      </c>
      <c r="G756" s="151">
        <f>'Etude de cas n°1'!D756</f>
        <v>0</v>
      </c>
      <c r="H756" s="19"/>
      <c r="I756" s="19"/>
      <c r="J756" s="19"/>
      <c r="K756" s="19"/>
      <c r="L756" s="19"/>
      <c r="M756" s="19"/>
      <c r="N756" s="19"/>
    </row>
    <row r="757" spans="1:14" s="94" customFormat="1" ht="13.2" x14ac:dyDescent="0.25">
      <c r="A757" s="202" t="s">
        <v>2283</v>
      </c>
      <c r="B757" s="216" t="s">
        <v>2232</v>
      </c>
      <c r="C757" s="217" t="s">
        <v>1034</v>
      </c>
      <c r="D757" s="120"/>
      <c r="E757" s="45">
        <f t="shared" si="48"/>
        <v>0</v>
      </c>
      <c r="F757" s="127">
        <f t="shared" si="49"/>
        <v>0</v>
      </c>
      <c r="G757" s="151">
        <f>'Etude de cas n°1'!D757</f>
        <v>0</v>
      </c>
      <c r="H757" s="19"/>
      <c r="I757" s="19"/>
      <c r="J757" s="19"/>
      <c r="K757" s="19"/>
      <c r="L757" s="19"/>
      <c r="M757" s="19"/>
      <c r="N757" s="19"/>
    </row>
    <row r="758" spans="1:14" s="97" customFormat="1" ht="13.2" x14ac:dyDescent="0.25">
      <c r="A758" s="202" t="s">
        <v>2284</v>
      </c>
      <c r="B758" s="216" t="s">
        <v>2267</v>
      </c>
      <c r="C758" s="217" t="s">
        <v>1034</v>
      </c>
      <c r="D758" s="120"/>
      <c r="E758" s="45">
        <f t="shared" si="48"/>
        <v>0</v>
      </c>
      <c r="F758" s="127">
        <f t="shared" si="49"/>
        <v>0</v>
      </c>
      <c r="G758" s="151">
        <f>'Etude de cas n°1'!D758</f>
        <v>0</v>
      </c>
      <c r="H758" s="218"/>
      <c r="I758" s="218"/>
      <c r="J758" s="218"/>
      <c r="K758" s="218"/>
      <c r="L758" s="218"/>
      <c r="M758" s="218"/>
      <c r="N758" s="218"/>
    </row>
    <row r="759" spans="1:14" s="97" customFormat="1" ht="13.2" x14ac:dyDescent="0.25">
      <c r="A759" s="202" t="s">
        <v>2285</v>
      </c>
      <c r="B759" s="216" t="s">
        <v>2269</v>
      </c>
      <c r="C759" s="217" t="s">
        <v>1034</v>
      </c>
      <c r="D759" s="120"/>
      <c r="E759" s="45">
        <f t="shared" si="48"/>
        <v>0</v>
      </c>
      <c r="F759" s="127">
        <f t="shared" si="49"/>
        <v>0</v>
      </c>
      <c r="G759" s="151">
        <f>'Etude de cas n°1'!D759</f>
        <v>0</v>
      </c>
      <c r="H759" s="218"/>
      <c r="I759" s="218"/>
      <c r="J759" s="218"/>
      <c r="K759" s="218"/>
      <c r="L759" s="218"/>
      <c r="M759" s="218"/>
      <c r="N759" s="218"/>
    </row>
    <row r="760" spans="1:14" s="97" customFormat="1" ht="13.2" x14ac:dyDescent="0.25">
      <c r="A760" s="202" t="s">
        <v>2286</v>
      </c>
      <c r="B760" s="216" t="s">
        <v>2238</v>
      </c>
      <c r="C760" s="217" t="s">
        <v>1034</v>
      </c>
      <c r="D760" s="120"/>
      <c r="E760" s="45">
        <f t="shared" si="48"/>
        <v>0</v>
      </c>
      <c r="F760" s="127">
        <f t="shared" si="49"/>
        <v>0</v>
      </c>
      <c r="G760" s="151">
        <f>'Etude de cas n°1'!D760</f>
        <v>0</v>
      </c>
      <c r="H760" s="218"/>
      <c r="I760" s="218"/>
      <c r="J760" s="218"/>
      <c r="K760" s="218"/>
      <c r="L760" s="218"/>
      <c r="M760" s="218"/>
      <c r="N760" s="218"/>
    </row>
    <row r="761" spans="1:14" s="97" customFormat="1" ht="26.4" x14ac:dyDescent="0.25">
      <c r="A761" s="27" t="s">
        <v>2287</v>
      </c>
      <c r="B761" s="3" t="s">
        <v>2288</v>
      </c>
      <c r="C761" s="217" t="s">
        <v>1883</v>
      </c>
      <c r="D761" s="120"/>
      <c r="E761" s="45"/>
      <c r="F761" s="127"/>
      <c r="G761" s="151"/>
      <c r="H761" s="218"/>
      <c r="I761" s="218"/>
      <c r="J761" s="218"/>
      <c r="K761" s="218"/>
      <c r="L761" s="218"/>
      <c r="M761" s="218"/>
      <c r="N761" s="218"/>
    </row>
    <row r="762" spans="1:14" s="97" customFormat="1" ht="13.2" x14ac:dyDescent="0.25">
      <c r="A762" s="202" t="s">
        <v>210</v>
      </c>
      <c r="B762" s="216" t="s">
        <v>2289</v>
      </c>
      <c r="C762" s="217" t="s">
        <v>1034</v>
      </c>
      <c r="D762" s="120"/>
      <c r="E762" s="45">
        <f t="shared" si="48"/>
        <v>0</v>
      </c>
      <c r="F762" s="127">
        <f t="shared" si="49"/>
        <v>0</v>
      </c>
      <c r="G762" s="151">
        <f>'Etude de cas n°1'!D762</f>
        <v>0</v>
      </c>
      <c r="H762" s="218"/>
      <c r="I762" s="218"/>
      <c r="J762" s="218"/>
      <c r="K762" s="218"/>
      <c r="L762" s="218"/>
      <c r="M762" s="218"/>
      <c r="N762" s="218"/>
    </row>
    <row r="763" spans="1:14" s="97" customFormat="1" ht="13.2" x14ac:dyDescent="0.25">
      <c r="A763" s="202" t="s">
        <v>211</v>
      </c>
      <c r="B763" s="216" t="s">
        <v>2230</v>
      </c>
      <c r="C763" s="217" t="s">
        <v>1034</v>
      </c>
      <c r="D763" s="120"/>
      <c r="E763" s="45">
        <f t="shared" si="48"/>
        <v>0</v>
      </c>
      <c r="F763" s="127">
        <f t="shared" si="49"/>
        <v>0</v>
      </c>
      <c r="G763" s="151">
        <f>'Etude de cas n°1'!D763</f>
        <v>0</v>
      </c>
      <c r="H763" s="218"/>
      <c r="I763" s="218"/>
      <c r="J763" s="218"/>
      <c r="K763" s="218"/>
      <c r="L763" s="218"/>
      <c r="M763" s="218"/>
      <c r="N763" s="218"/>
    </row>
    <row r="764" spans="1:14" s="97" customFormat="1" ht="13.2" x14ac:dyDescent="0.25">
      <c r="A764" s="202" t="s">
        <v>212</v>
      </c>
      <c r="B764" s="216" t="s">
        <v>2232</v>
      </c>
      <c r="C764" s="217" t="s">
        <v>1034</v>
      </c>
      <c r="D764" s="120"/>
      <c r="E764" s="45">
        <f t="shared" si="48"/>
        <v>0</v>
      </c>
      <c r="F764" s="127">
        <f t="shared" si="49"/>
        <v>0</v>
      </c>
      <c r="G764" s="151">
        <f>'Etude de cas n°1'!D764</f>
        <v>0</v>
      </c>
      <c r="H764" s="218"/>
      <c r="I764" s="218"/>
      <c r="J764" s="218"/>
      <c r="K764" s="218"/>
      <c r="L764" s="218"/>
      <c r="M764" s="218"/>
      <c r="N764" s="218"/>
    </row>
    <row r="765" spans="1:14" s="97" customFormat="1" ht="13.2" x14ac:dyDescent="0.25">
      <c r="A765" s="202" t="s">
        <v>2290</v>
      </c>
      <c r="B765" s="216" t="s">
        <v>2267</v>
      </c>
      <c r="C765" s="217" t="s">
        <v>1034</v>
      </c>
      <c r="D765" s="120"/>
      <c r="E765" s="45">
        <f t="shared" si="48"/>
        <v>0</v>
      </c>
      <c r="F765" s="127">
        <f t="shared" si="49"/>
        <v>0</v>
      </c>
      <c r="G765" s="151">
        <f>'Etude de cas n°1'!D765</f>
        <v>0</v>
      </c>
      <c r="H765" s="218"/>
      <c r="I765" s="218"/>
      <c r="J765" s="218"/>
      <c r="K765" s="218"/>
      <c r="L765" s="218"/>
      <c r="M765" s="218"/>
      <c r="N765" s="218"/>
    </row>
    <row r="766" spans="1:14" s="97" customFormat="1" ht="13.2" x14ac:dyDescent="0.25">
      <c r="A766" s="202" t="s">
        <v>2291</v>
      </c>
      <c r="B766" s="216" t="s">
        <v>2269</v>
      </c>
      <c r="C766" s="217" t="s">
        <v>1034</v>
      </c>
      <c r="D766" s="120"/>
      <c r="E766" s="45">
        <f t="shared" si="48"/>
        <v>0</v>
      </c>
      <c r="F766" s="127">
        <f t="shared" si="49"/>
        <v>0</v>
      </c>
      <c r="G766" s="151">
        <f>'Etude de cas n°1'!D766</f>
        <v>0</v>
      </c>
      <c r="H766" s="218"/>
      <c r="I766" s="218"/>
      <c r="J766" s="218"/>
      <c r="K766" s="218"/>
      <c r="L766" s="218"/>
      <c r="M766" s="218"/>
      <c r="N766" s="218"/>
    </row>
    <row r="767" spans="1:14" s="97" customFormat="1" ht="13.2" x14ac:dyDescent="0.25">
      <c r="A767" s="202" t="s">
        <v>2292</v>
      </c>
      <c r="B767" s="216" t="s">
        <v>2238</v>
      </c>
      <c r="C767" s="217" t="s">
        <v>1034</v>
      </c>
      <c r="D767" s="120"/>
      <c r="E767" s="45">
        <f t="shared" si="48"/>
        <v>0</v>
      </c>
      <c r="F767" s="127">
        <f t="shared" si="49"/>
        <v>0</v>
      </c>
      <c r="G767" s="151">
        <f>'Etude de cas n°1'!D767</f>
        <v>0</v>
      </c>
      <c r="H767" s="218"/>
      <c r="I767" s="218"/>
      <c r="J767" s="218"/>
      <c r="K767" s="218"/>
      <c r="L767" s="218"/>
      <c r="M767" s="218"/>
      <c r="N767" s="218"/>
    </row>
    <row r="768" spans="1:14" s="97" customFormat="1" ht="13.2" x14ac:dyDescent="0.25">
      <c r="A768" s="202" t="s">
        <v>2293</v>
      </c>
      <c r="B768" s="216" t="s">
        <v>2272</v>
      </c>
      <c r="C768" s="217" t="s">
        <v>1034</v>
      </c>
      <c r="D768" s="120"/>
      <c r="E768" s="45">
        <f t="shared" si="48"/>
        <v>0</v>
      </c>
      <c r="F768" s="127">
        <f t="shared" si="49"/>
        <v>0</v>
      </c>
      <c r="G768" s="151">
        <f>'Etude de cas n°1'!D768</f>
        <v>0</v>
      </c>
      <c r="H768" s="218"/>
      <c r="I768" s="218"/>
      <c r="J768" s="218"/>
      <c r="K768" s="218"/>
      <c r="L768" s="218"/>
      <c r="M768" s="218"/>
      <c r="N768" s="218"/>
    </row>
    <row r="769" spans="1:14" s="97" customFormat="1" ht="13.2" x14ac:dyDescent="0.25">
      <c r="A769" s="202" t="s">
        <v>2294</v>
      </c>
      <c r="B769" s="216" t="s">
        <v>2274</v>
      </c>
      <c r="C769" s="217" t="s">
        <v>1034</v>
      </c>
      <c r="D769" s="120"/>
      <c r="E769" s="45">
        <f t="shared" si="48"/>
        <v>0</v>
      </c>
      <c r="F769" s="127">
        <f t="shared" si="49"/>
        <v>0</v>
      </c>
      <c r="G769" s="151">
        <f>'Etude de cas n°1'!D769</f>
        <v>0</v>
      </c>
      <c r="H769" s="218"/>
      <c r="I769" s="218"/>
      <c r="J769" s="218"/>
      <c r="K769" s="218"/>
      <c r="L769" s="218"/>
      <c r="M769" s="218"/>
      <c r="N769" s="218"/>
    </row>
    <row r="770" spans="1:14" s="97" customFormat="1" ht="13.2" x14ac:dyDescent="0.25">
      <c r="A770" s="202" t="s">
        <v>2295</v>
      </c>
      <c r="B770" s="216" t="s">
        <v>2296</v>
      </c>
      <c r="C770" s="217" t="s">
        <v>1034</v>
      </c>
      <c r="D770" s="120"/>
      <c r="E770" s="45">
        <f t="shared" si="48"/>
        <v>0</v>
      </c>
      <c r="F770" s="127">
        <f t="shared" si="49"/>
        <v>0</v>
      </c>
      <c r="G770" s="151">
        <f>'Etude de cas n°1'!D770</f>
        <v>0</v>
      </c>
      <c r="H770" s="218"/>
      <c r="I770" s="218"/>
      <c r="J770" s="218"/>
      <c r="K770" s="218"/>
      <c r="L770" s="218"/>
      <c r="M770" s="218"/>
      <c r="N770" s="218"/>
    </row>
    <row r="771" spans="1:14" s="96" customFormat="1" ht="13.2" x14ac:dyDescent="0.25">
      <c r="A771" s="202" t="s">
        <v>2297</v>
      </c>
      <c r="B771" s="216" t="s">
        <v>2276</v>
      </c>
      <c r="C771" s="217" t="s">
        <v>1034</v>
      </c>
      <c r="D771" s="120"/>
      <c r="E771" s="45">
        <f t="shared" si="48"/>
        <v>0</v>
      </c>
      <c r="F771" s="127">
        <f t="shared" si="49"/>
        <v>0</v>
      </c>
      <c r="G771" s="151">
        <f>'Etude de cas n°1'!D771</f>
        <v>0</v>
      </c>
      <c r="H771" s="17"/>
      <c r="I771" s="17"/>
      <c r="J771" s="17"/>
      <c r="K771" s="17"/>
      <c r="L771" s="17"/>
      <c r="M771" s="17"/>
      <c r="N771" s="17"/>
    </row>
    <row r="772" spans="1:14" s="94" customFormat="1" ht="13.2" x14ac:dyDescent="0.25">
      <c r="A772" s="202" t="s">
        <v>2298</v>
      </c>
      <c r="B772" s="216" t="s">
        <v>2299</v>
      </c>
      <c r="C772" s="217" t="s">
        <v>1034</v>
      </c>
      <c r="D772" s="120"/>
      <c r="E772" s="45">
        <f t="shared" si="48"/>
        <v>0</v>
      </c>
      <c r="F772" s="127">
        <f t="shared" si="49"/>
        <v>0</v>
      </c>
      <c r="G772" s="151">
        <f>'Etude de cas n°1'!D772</f>
        <v>0</v>
      </c>
      <c r="H772" s="19"/>
      <c r="I772" s="19"/>
      <c r="J772" s="19"/>
      <c r="K772" s="19"/>
      <c r="L772" s="19"/>
      <c r="M772" s="19"/>
      <c r="N772" s="19"/>
    </row>
    <row r="773" spans="1:14" s="96" customFormat="1" ht="13.2" x14ac:dyDescent="0.25">
      <c r="A773" s="202" t="s">
        <v>2300</v>
      </c>
      <c r="B773" s="216" t="s">
        <v>2301</v>
      </c>
      <c r="C773" s="217" t="s">
        <v>1034</v>
      </c>
      <c r="D773" s="120"/>
      <c r="E773" s="45">
        <f t="shared" si="48"/>
        <v>0</v>
      </c>
      <c r="F773" s="127">
        <f t="shared" si="49"/>
        <v>0</v>
      </c>
      <c r="G773" s="151">
        <f>'Etude de cas n°1'!D773</f>
        <v>0</v>
      </c>
      <c r="H773" s="17"/>
      <c r="I773" s="17"/>
      <c r="J773" s="17"/>
      <c r="K773" s="17"/>
      <c r="L773" s="17"/>
      <c r="M773" s="17"/>
      <c r="N773" s="17"/>
    </row>
    <row r="774" spans="1:14" s="96" customFormat="1" ht="13.2" x14ac:dyDescent="0.25">
      <c r="A774" s="202" t="s">
        <v>2302</v>
      </c>
      <c r="B774" s="216" t="s">
        <v>2303</v>
      </c>
      <c r="C774" s="217" t="s">
        <v>1034</v>
      </c>
      <c r="D774" s="120"/>
      <c r="E774" s="45">
        <f t="shared" si="48"/>
        <v>0</v>
      </c>
      <c r="F774" s="127">
        <f t="shared" si="49"/>
        <v>0</v>
      </c>
      <c r="G774" s="151">
        <f>'Etude de cas n°1'!D774</f>
        <v>0</v>
      </c>
      <c r="H774" s="17"/>
      <c r="I774" s="17"/>
      <c r="J774" s="17"/>
      <c r="K774" s="17"/>
      <c r="L774" s="17"/>
      <c r="M774" s="17"/>
      <c r="N774" s="17"/>
    </row>
    <row r="775" spans="1:14" s="96" customFormat="1" ht="13.2" x14ac:dyDescent="0.25">
      <c r="A775" s="202" t="s">
        <v>2304</v>
      </c>
      <c r="B775" s="216" t="s">
        <v>2305</v>
      </c>
      <c r="C775" s="217" t="s">
        <v>1034</v>
      </c>
      <c r="D775" s="120"/>
      <c r="E775" s="45">
        <f t="shared" si="48"/>
        <v>0</v>
      </c>
      <c r="F775" s="127">
        <f t="shared" si="49"/>
        <v>0</v>
      </c>
      <c r="G775" s="151">
        <f>'Etude de cas n°1'!D775</f>
        <v>0</v>
      </c>
      <c r="H775" s="17"/>
      <c r="I775" s="17"/>
      <c r="J775" s="17"/>
      <c r="K775" s="17"/>
      <c r="L775" s="17"/>
      <c r="M775" s="17"/>
      <c r="N775" s="17"/>
    </row>
    <row r="776" spans="1:14" s="96" customFormat="1" ht="13.2" x14ac:dyDescent="0.25">
      <c r="A776" s="202" t="s">
        <v>2306</v>
      </c>
      <c r="B776" s="216" t="s">
        <v>2307</v>
      </c>
      <c r="C776" s="217" t="s">
        <v>1034</v>
      </c>
      <c r="D776" s="120"/>
      <c r="E776" s="45">
        <f t="shared" ref="E776:E837" si="50">G776</f>
        <v>0</v>
      </c>
      <c r="F776" s="127">
        <f t="shared" si="49"/>
        <v>0</v>
      </c>
      <c r="G776" s="151">
        <f>'Etude de cas n°1'!D776</f>
        <v>0</v>
      </c>
      <c r="H776" s="17"/>
      <c r="I776" s="17"/>
      <c r="J776" s="17"/>
      <c r="K776" s="17"/>
      <c r="L776" s="17"/>
      <c r="M776" s="17"/>
      <c r="N776" s="17"/>
    </row>
    <row r="777" spans="1:14" s="96" customFormat="1" ht="13.2" x14ac:dyDescent="0.25">
      <c r="A777" s="202" t="s">
        <v>2308</v>
      </c>
      <c r="B777" s="216" t="s">
        <v>2309</v>
      </c>
      <c r="C777" s="217" t="s">
        <v>1034</v>
      </c>
      <c r="D777" s="120"/>
      <c r="E777" s="45">
        <f t="shared" si="50"/>
        <v>0</v>
      </c>
      <c r="F777" s="127">
        <f t="shared" ref="F777:F844" si="51">D777*E777</f>
        <v>0</v>
      </c>
      <c r="G777" s="151">
        <f>'Etude de cas n°1'!D777</f>
        <v>0</v>
      </c>
      <c r="H777" s="17"/>
      <c r="I777" s="17"/>
      <c r="J777" s="17"/>
      <c r="K777" s="17"/>
      <c r="L777" s="17"/>
      <c r="M777" s="17"/>
      <c r="N777" s="17"/>
    </row>
    <row r="778" spans="1:14" s="96" customFormat="1" ht="13.2" x14ac:dyDescent="0.25">
      <c r="A778" s="202" t="s">
        <v>2310</v>
      </c>
      <c r="B778" s="216" t="s">
        <v>2311</v>
      </c>
      <c r="C778" s="217" t="s">
        <v>1034</v>
      </c>
      <c r="D778" s="120"/>
      <c r="E778" s="45">
        <f t="shared" si="50"/>
        <v>0</v>
      </c>
      <c r="F778" s="127">
        <f t="shared" si="51"/>
        <v>0</v>
      </c>
      <c r="G778" s="151">
        <f>'Etude de cas n°1'!D778</f>
        <v>0</v>
      </c>
      <c r="H778" s="17"/>
      <c r="I778" s="17"/>
      <c r="J778" s="17"/>
      <c r="K778" s="17"/>
      <c r="L778" s="17"/>
      <c r="M778" s="17"/>
      <c r="N778" s="17"/>
    </row>
    <row r="779" spans="1:14" s="96" customFormat="1" ht="13.2" x14ac:dyDescent="0.25">
      <c r="A779" s="202" t="s">
        <v>2312</v>
      </c>
      <c r="B779" s="216" t="s">
        <v>2313</v>
      </c>
      <c r="C779" s="217" t="s">
        <v>1034</v>
      </c>
      <c r="D779" s="120"/>
      <c r="E779" s="45">
        <f t="shared" si="50"/>
        <v>0</v>
      </c>
      <c r="F779" s="127">
        <f t="shared" si="51"/>
        <v>0</v>
      </c>
      <c r="G779" s="151">
        <f>'Etude de cas n°1'!D779</f>
        <v>0</v>
      </c>
      <c r="H779" s="17"/>
      <c r="I779" s="17"/>
      <c r="J779" s="17"/>
      <c r="K779" s="17"/>
      <c r="L779" s="17"/>
      <c r="M779" s="17"/>
      <c r="N779" s="17"/>
    </row>
    <row r="780" spans="1:14" s="96" customFormat="1" ht="39.6" x14ac:dyDescent="0.25">
      <c r="A780" s="27" t="s">
        <v>2314</v>
      </c>
      <c r="B780" s="3" t="s">
        <v>2315</v>
      </c>
      <c r="C780" s="217" t="s">
        <v>1883</v>
      </c>
      <c r="D780" s="120"/>
      <c r="E780" s="45"/>
      <c r="F780" s="127"/>
      <c r="G780" s="151"/>
      <c r="H780" s="17"/>
      <c r="I780" s="17"/>
      <c r="J780" s="17"/>
      <c r="K780" s="17"/>
      <c r="L780" s="17"/>
      <c r="M780" s="17"/>
      <c r="N780" s="17"/>
    </row>
    <row r="781" spans="1:14" s="96" customFormat="1" ht="13.2" x14ac:dyDescent="0.25">
      <c r="A781" s="202" t="s">
        <v>213</v>
      </c>
      <c r="B781" s="216" t="s">
        <v>2316</v>
      </c>
      <c r="C781" s="217" t="s">
        <v>1034</v>
      </c>
      <c r="D781" s="120"/>
      <c r="E781" s="45">
        <f t="shared" si="50"/>
        <v>0</v>
      </c>
      <c r="F781" s="127">
        <f t="shared" si="51"/>
        <v>0</v>
      </c>
      <c r="G781" s="151">
        <f>'Etude de cas n°1'!D781</f>
        <v>0</v>
      </c>
      <c r="H781" s="17"/>
      <c r="I781" s="17"/>
      <c r="J781" s="17"/>
      <c r="K781" s="17"/>
      <c r="L781" s="17"/>
      <c r="M781" s="17"/>
      <c r="N781" s="17"/>
    </row>
    <row r="782" spans="1:14" s="96" customFormat="1" ht="13.2" x14ac:dyDescent="0.25">
      <c r="A782" s="202" t="s">
        <v>214</v>
      </c>
      <c r="B782" s="216" t="s">
        <v>2317</v>
      </c>
      <c r="C782" s="217" t="s">
        <v>1034</v>
      </c>
      <c r="D782" s="120"/>
      <c r="E782" s="45">
        <f t="shared" si="50"/>
        <v>0</v>
      </c>
      <c r="F782" s="127">
        <f t="shared" si="51"/>
        <v>0</v>
      </c>
      <c r="G782" s="151">
        <f>'Etude de cas n°1'!D782</f>
        <v>0</v>
      </c>
      <c r="H782" s="17"/>
      <c r="I782" s="17"/>
      <c r="J782" s="17"/>
      <c r="K782" s="17"/>
      <c r="L782" s="17"/>
      <c r="M782" s="17"/>
      <c r="N782" s="17"/>
    </row>
    <row r="783" spans="1:14" s="94" customFormat="1" ht="13.2" x14ac:dyDescent="0.25">
      <c r="A783" s="202" t="s">
        <v>215</v>
      </c>
      <c r="B783" s="216" t="s">
        <v>2318</v>
      </c>
      <c r="C783" s="217" t="s">
        <v>1034</v>
      </c>
      <c r="D783" s="120"/>
      <c r="E783" s="45">
        <f t="shared" si="50"/>
        <v>0</v>
      </c>
      <c r="F783" s="127">
        <f t="shared" si="51"/>
        <v>0</v>
      </c>
      <c r="G783" s="151">
        <f>'Etude de cas n°1'!D783</f>
        <v>0</v>
      </c>
      <c r="H783" s="19"/>
      <c r="I783" s="19"/>
      <c r="J783" s="19"/>
      <c r="K783" s="19"/>
      <c r="L783" s="19"/>
      <c r="M783" s="19"/>
      <c r="N783" s="19"/>
    </row>
    <row r="784" spans="1:14" s="96" customFormat="1" ht="13.2" x14ac:dyDescent="0.25">
      <c r="A784" s="202" t="s">
        <v>2319</v>
      </c>
      <c r="B784" s="216" t="s">
        <v>2320</v>
      </c>
      <c r="C784" s="217" t="s">
        <v>1034</v>
      </c>
      <c r="D784" s="120"/>
      <c r="E784" s="45">
        <f t="shared" si="50"/>
        <v>0</v>
      </c>
      <c r="F784" s="127">
        <f t="shared" si="51"/>
        <v>0</v>
      </c>
      <c r="G784" s="151">
        <f>'Etude de cas n°1'!D784</f>
        <v>0</v>
      </c>
      <c r="H784" s="17"/>
      <c r="I784" s="17"/>
      <c r="J784" s="17"/>
      <c r="K784" s="17"/>
      <c r="L784" s="17"/>
      <c r="M784" s="17"/>
      <c r="N784" s="17"/>
    </row>
    <row r="785" spans="1:14" s="96" customFormat="1" ht="13.2" x14ac:dyDescent="0.25">
      <c r="A785" s="202" t="s">
        <v>2321</v>
      </c>
      <c r="B785" s="216" t="s">
        <v>2322</v>
      </c>
      <c r="C785" s="217" t="s">
        <v>1034</v>
      </c>
      <c r="D785" s="120"/>
      <c r="E785" s="45">
        <f t="shared" si="50"/>
        <v>0</v>
      </c>
      <c r="F785" s="127">
        <f t="shared" si="51"/>
        <v>0</v>
      </c>
      <c r="G785" s="151">
        <f>'Etude de cas n°1'!D785</f>
        <v>0</v>
      </c>
      <c r="H785" s="17"/>
      <c r="I785" s="17"/>
      <c r="J785" s="17"/>
      <c r="K785" s="17"/>
      <c r="L785" s="17"/>
      <c r="M785" s="17"/>
      <c r="N785" s="17"/>
    </row>
    <row r="786" spans="1:14" s="96" customFormat="1" ht="13.2" x14ac:dyDescent="0.25">
      <c r="A786" s="202" t="s">
        <v>2323</v>
      </c>
      <c r="B786" s="216" t="s">
        <v>2324</v>
      </c>
      <c r="C786" s="217" t="s">
        <v>1034</v>
      </c>
      <c r="D786" s="120"/>
      <c r="E786" s="45">
        <f t="shared" si="50"/>
        <v>0</v>
      </c>
      <c r="F786" s="127">
        <f t="shared" si="51"/>
        <v>0</v>
      </c>
      <c r="G786" s="151">
        <f>'Etude de cas n°1'!D786</f>
        <v>0</v>
      </c>
      <c r="H786" s="17"/>
      <c r="I786" s="17"/>
      <c r="J786" s="17"/>
      <c r="K786" s="17"/>
      <c r="L786" s="17"/>
      <c r="M786" s="17"/>
      <c r="N786" s="17"/>
    </row>
    <row r="787" spans="1:14" s="96" customFormat="1" ht="39.6" x14ac:dyDescent="0.25">
      <c r="A787" s="27" t="s">
        <v>2325</v>
      </c>
      <c r="B787" s="3" t="s">
        <v>2326</v>
      </c>
      <c r="C787" s="217" t="s">
        <v>1883</v>
      </c>
      <c r="D787" s="120"/>
      <c r="E787" s="45"/>
      <c r="F787" s="127"/>
      <c r="G787" s="151"/>
      <c r="H787" s="17"/>
      <c r="I787" s="17"/>
      <c r="J787" s="17"/>
      <c r="K787" s="17"/>
      <c r="L787" s="17"/>
      <c r="M787" s="17"/>
      <c r="N787" s="17"/>
    </row>
    <row r="788" spans="1:14" s="96" customFormat="1" ht="13.2" x14ac:dyDescent="0.25">
      <c r="A788" s="202" t="s">
        <v>216</v>
      </c>
      <c r="B788" s="216" t="s">
        <v>2327</v>
      </c>
      <c r="C788" s="217" t="s">
        <v>1034</v>
      </c>
      <c r="D788" s="120"/>
      <c r="E788" s="45">
        <f>G788</f>
        <v>0</v>
      </c>
      <c r="F788" s="127">
        <f t="shared" si="51"/>
        <v>0</v>
      </c>
      <c r="G788" s="151">
        <f>'Etude de cas n°1'!D788</f>
        <v>0</v>
      </c>
      <c r="H788" s="17"/>
      <c r="I788" s="17"/>
      <c r="J788" s="17"/>
      <c r="K788" s="17"/>
      <c r="L788" s="17"/>
      <c r="M788" s="17"/>
      <c r="N788" s="17"/>
    </row>
    <row r="789" spans="1:14" s="96" customFormat="1" ht="13.2" x14ac:dyDescent="0.25">
      <c r="A789" s="202" t="s">
        <v>217</v>
      </c>
      <c r="B789" s="216" t="s">
        <v>2328</v>
      </c>
      <c r="C789" s="217" t="s">
        <v>1034</v>
      </c>
      <c r="D789" s="120"/>
      <c r="E789" s="45">
        <f t="shared" si="50"/>
        <v>0</v>
      </c>
      <c r="F789" s="127">
        <f t="shared" si="51"/>
        <v>0</v>
      </c>
      <c r="G789" s="151">
        <f>'Etude de cas n°1'!D789</f>
        <v>0</v>
      </c>
      <c r="H789" s="17"/>
      <c r="I789" s="17"/>
      <c r="J789" s="17"/>
      <c r="K789" s="17"/>
      <c r="L789" s="17"/>
      <c r="M789" s="17"/>
      <c r="N789" s="17"/>
    </row>
    <row r="790" spans="1:14" s="96" customFormat="1" ht="13.2" x14ac:dyDescent="0.25">
      <c r="A790" s="202" t="s">
        <v>218</v>
      </c>
      <c r="B790" s="216" t="s">
        <v>2329</v>
      </c>
      <c r="C790" s="217" t="s">
        <v>1034</v>
      </c>
      <c r="D790" s="120"/>
      <c r="E790" s="45">
        <f>G790</f>
        <v>0</v>
      </c>
      <c r="F790" s="127">
        <f t="shared" si="51"/>
        <v>0</v>
      </c>
      <c r="G790" s="151">
        <f>'Etude de cas n°1'!D790</f>
        <v>0</v>
      </c>
      <c r="H790" s="17"/>
      <c r="I790" s="17"/>
      <c r="J790" s="17"/>
      <c r="K790" s="17"/>
      <c r="L790" s="17"/>
      <c r="M790" s="17"/>
      <c r="N790" s="17"/>
    </row>
    <row r="791" spans="1:14" s="96" customFormat="1" ht="13.2" x14ac:dyDescent="0.25">
      <c r="A791" s="202" t="s">
        <v>2330</v>
      </c>
      <c r="B791" s="216" t="s">
        <v>2331</v>
      </c>
      <c r="C791" s="217" t="s">
        <v>1034</v>
      </c>
      <c r="D791" s="120"/>
      <c r="E791" s="45">
        <f t="shared" si="50"/>
        <v>0</v>
      </c>
      <c r="F791" s="127">
        <f t="shared" si="51"/>
        <v>0</v>
      </c>
      <c r="G791" s="151">
        <f>'Etude de cas n°1'!D791</f>
        <v>0</v>
      </c>
      <c r="H791" s="17"/>
      <c r="I791" s="17"/>
      <c r="J791" s="17"/>
      <c r="K791" s="17"/>
      <c r="L791" s="17"/>
      <c r="M791" s="17"/>
      <c r="N791" s="17"/>
    </row>
    <row r="792" spans="1:14" s="96" customFormat="1" ht="13.2" x14ac:dyDescent="0.25">
      <c r="A792" s="202" t="s">
        <v>2332</v>
      </c>
      <c r="B792" s="216" t="s">
        <v>2333</v>
      </c>
      <c r="C792" s="217" t="s">
        <v>1034</v>
      </c>
      <c r="D792" s="120"/>
      <c r="E792" s="45">
        <f t="shared" si="50"/>
        <v>0</v>
      </c>
      <c r="F792" s="127">
        <f t="shared" si="51"/>
        <v>0</v>
      </c>
      <c r="G792" s="151">
        <f>'Etude de cas n°1'!D792</f>
        <v>0</v>
      </c>
      <c r="H792" s="17"/>
      <c r="I792" s="17"/>
      <c r="J792" s="17"/>
      <c r="K792" s="17"/>
      <c r="L792" s="17"/>
      <c r="M792" s="17"/>
      <c r="N792" s="17"/>
    </row>
    <row r="793" spans="1:14" s="96" customFormat="1" ht="13.2" x14ac:dyDescent="0.25">
      <c r="A793" s="202" t="s">
        <v>2334</v>
      </c>
      <c r="B793" s="216" t="s">
        <v>2335</v>
      </c>
      <c r="C793" s="217" t="s">
        <v>1034</v>
      </c>
      <c r="D793" s="120"/>
      <c r="E793" s="45">
        <f t="shared" si="50"/>
        <v>0</v>
      </c>
      <c r="F793" s="127">
        <f t="shared" si="51"/>
        <v>0</v>
      </c>
      <c r="G793" s="151">
        <f>'Etude de cas n°1'!D793</f>
        <v>0</v>
      </c>
      <c r="H793" s="17"/>
      <c r="I793" s="17"/>
      <c r="J793" s="17"/>
      <c r="K793" s="17"/>
      <c r="L793" s="17"/>
      <c r="M793" s="17"/>
      <c r="N793" s="17"/>
    </row>
    <row r="794" spans="1:14" s="96" customFormat="1" ht="26.4" x14ac:dyDescent="0.25">
      <c r="A794" s="27" t="s">
        <v>2336</v>
      </c>
      <c r="B794" s="3" t="s">
        <v>2337</v>
      </c>
      <c r="C794" s="217" t="s">
        <v>1883</v>
      </c>
      <c r="D794" s="120"/>
      <c r="E794" s="45"/>
      <c r="F794" s="127"/>
      <c r="G794" s="151"/>
      <c r="H794" s="17"/>
      <c r="I794" s="17"/>
      <c r="J794" s="17"/>
      <c r="K794" s="17"/>
      <c r="L794" s="17"/>
      <c r="M794" s="17"/>
      <c r="N794" s="17"/>
    </row>
    <row r="795" spans="1:14" s="96" customFormat="1" ht="13.2" x14ac:dyDescent="0.25">
      <c r="A795" s="202" t="s">
        <v>219</v>
      </c>
      <c r="B795" s="216" t="s">
        <v>2338</v>
      </c>
      <c r="C795" s="217" t="s">
        <v>1034</v>
      </c>
      <c r="D795" s="120"/>
      <c r="E795" s="45">
        <f t="shared" si="50"/>
        <v>0</v>
      </c>
      <c r="F795" s="127">
        <f t="shared" si="51"/>
        <v>0</v>
      </c>
      <c r="G795" s="151">
        <f>'Etude de cas n°1'!D795</f>
        <v>0</v>
      </c>
      <c r="H795" s="17"/>
      <c r="I795" s="17"/>
      <c r="J795" s="17"/>
      <c r="K795" s="17"/>
      <c r="L795" s="17"/>
      <c r="M795" s="17"/>
      <c r="N795" s="17"/>
    </row>
    <row r="796" spans="1:14" s="99" customFormat="1" ht="13.2" x14ac:dyDescent="0.25">
      <c r="A796" s="202" t="s">
        <v>220</v>
      </c>
      <c r="B796" s="216" t="s">
        <v>2339</v>
      </c>
      <c r="C796" s="217" t="s">
        <v>1034</v>
      </c>
      <c r="D796" s="120"/>
      <c r="E796" s="45">
        <f t="shared" si="50"/>
        <v>0</v>
      </c>
      <c r="F796" s="127">
        <f t="shared" si="51"/>
        <v>0</v>
      </c>
      <c r="G796" s="151">
        <f>'Etude de cas n°1'!D796</f>
        <v>0</v>
      </c>
      <c r="H796" s="18"/>
      <c r="I796" s="18"/>
      <c r="J796" s="18"/>
      <c r="K796" s="18"/>
      <c r="L796" s="18"/>
      <c r="M796" s="18"/>
      <c r="N796" s="18"/>
    </row>
    <row r="797" spans="1:14" s="99" customFormat="1" ht="13.2" x14ac:dyDescent="0.25">
      <c r="A797" s="202" t="s">
        <v>221</v>
      </c>
      <c r="B797" s="216" t="s">
        <v>2340</v>
      </c>
      <c r="C797" s="217" t="s">
        <v>1034</v>
      </c>
      <c r="D797" s="120"/>
      <c r="E797" s="45">
        <f t="shared" si="50"/>
        <v>0</v>
      </c>
      <c r="F797" s="127">
        <f t="shared" si="51"/>
        <v>0</v>
      </c>
      <c r="G797" s="151">
        <f>'Etude de cas n°1'!D797</f>
        <v>0</v>
      </c>
      <c r="H797" s="18"/>
      <c r="I797" s="18"/>
      <c r="J797" s="18"/>
      <c r="K797" s="18"/>
      <c r="L797" s="18"/>
      <c r="M797" s="18"/>
      <c r="N797" s="18"/>
    </row>
    <row r="798" spans="1:14" s="96" customFormat="1" ht="13.2" x14ac:dyDescent="0.25">
      <c r="A798" s="202" t="s">
        <v>2341</v>
      </c>
      <c r="B798" s="216" t="s">
        <v>2342</v>
      </c>
      <c r="C798" s="217" t="s">
        <v>1034</v>
      </c>
      <c r="D798" s="120"/>
      <c r="E798" s="45">
        <f t="shared" si="50"/>
        <v>0</v>
      </c>
      <c r="F798" s="127">
        <f t="shared" si="51"/>
        <v>0</v>
      </c>
      <c r="G798" s="151">
        <f>'Etude de cas n°1'!D798</f>
        <v>0</v>
      </c>
      <c r="H798" s="17"/>
      <c r="I798" s="17"/>
      <c r="J798" s="17"/>
      <c r="K798" s="17"/>
      <c r="L798" s="17"/>
      <c r="M798" s="17"/>
      <c r="N798" s="17"/>
    </row>
    <row r="799" spans="1:14" s="97" customFormat="1" ht="26.4" x14ac:dyDescent="0.25">
      <c r="A799" s="27" t="s">
        <v>2343</v>
      </c>
      <c r="B799" s="3" t="s">
        <v>2344</v>
      </c>
      <c r="C799" s="217"/>
      <c r="D799" s="120"/>
      <c r="E799" s="45"/>
      <c r="F799" s="127"/>
      <c r="G799" s="151"/>
      <c r="H799" s="218"/>
      <c r="I799" s="218"/>
      <c r="J799" s="218"/>
      <c r="K799" s="218"/>
      <c r="L799" s="218"/>
      <c r="M799" s="218"/>
      <c r="N799" s="218"/>
    </row>
    <row r="800" spans="1:14" s="97" customFormat="1" ht="13.2" x14ac:dyDescent="0.25">
      <c r="A800" s="202" t="s">
        <v>222</v>
      </c>
      <c r="B800" s="216" t="s">
        <v>2345</v>
      </c>
      <c r="C800" s="217" t="s">
        <v>1034</v>
      </c>
      <c r="D800" s="120"/>
      <c r="E800" s="45">
        <f t="shared" si="50"/>
        <v>0</v>
      </c>
      <c r="F800" s="127">
        <f t="shared" si="51"/>
        <v>0</v>
      </c>
      <c r="G800" s="151">
        <f>'Etude de cas n°1'!D800</f>
        <v>0</v>
      </c>
      <c r="H800" s="218"/>
      <c r="I800" s="218"/>
      <c r="J800" s="218"/>
      <c r="K800" s="218"/>
      <c r="L800" s="218"/>
      <c r="M800" s="218"/>
      <c r="N800" s="218"/>
    </row>
    <row r="801" spans="1:14" s="97" customFormat="1" ht="13.2" x14ac:dyDescent="0.25">
      <c r="A801" s="202" t="s">
        <v>223</v>
      </c>
      <c r="B801" s="216" t="s">
        <v>2346</v>
      </c>
      <c r="C801" s="217" t="s">
        <v>1034</v>
      </c>
      <c r="D801" s="120"/>
      <c r="E801" s="45">
        <f t="shared" si="50"/>
        <v>0</v>
      </c>
      <c r="F801" s="127">
        <f t="shared" si="51"/>
        <v>0</v>
      </c>
      <c r="G801" s="151">
        <f>'Etude de cas n°1'!D801</f>
        <v>0</v>
      </c>
      <c r="H801" s="218"/>
      <c r="I801" s="218"/>
      <c r="J801" s="218"/>
      <c r="K801" s="218"/>
      <c r="L801" s="218"/>
      <c r="M801" s="218"/>
      <c r="N801" s="218"/>
    </row>
    <row r="802" spans="1:14" s="97" customFormat="1" ht="13.2" x14ac:dyDescent="0.25">
      <c r="A802" s="202" t="s">
        <v>224</v>
      </c>
      <c r="B802" s="216" t="s">
        <v>2347</v>
      </c>
      <c r="C802" s="217" t="s">
        <v>1034</v>
      </c>
      <c r="D802" s="120"/>
      <c r="E802" s="45">
        <f t="shared" si="50"/>
        <v>0</v>
      </c>
      <c r="F802" s="127">
        <f t="shared" si="51"/>
        <v>0</v>
      </c>
      <c r="G802" s="151">
        <f>'Etude de cas n°1'!D802</f>
        <v>0</v>
      </c>
      <c r="H802" s="218"/>
      <c r="I802" s="218"/>
      <c r="J802" s="218"/>
      <c r="K802" s="218"/>
      <c r="L802" s="218"/>
      <c r="M802" s="218"/>
      <c r="N802" s="218"/>
    </row>
    <row r="803" spans="1:14" s="97" customFormat="1" ht="13.2" x14ac:dyDescent="0.25">
      <c r="A803" s="202" t="s">
        <v>2348</v>
      </c>
      <c r="B803" s="216" t="s">
        <v>2349</v>
      </c>
      <c r="C803" s="217" t="s">
        <v>1034</v>
      </c>
      <c r="D803" s="120"/>
      <c r="E803" s="45">
        <f t="shared" si="50"/>
        <v>0</v>
      </c>
      <c r="F803" s="127">
        <f t="shared" si="51"/>
        <v>0</v>
      </c>
      <c r="G803" s="151">
        <f>'Etude de cas n°1'!D803</f>
        <v>0</v>
      </c>
      <c r="H803" s="218"/>
      <c r="I803" s="218"/>
      <c r="J803" s="218"/>
      <c r="K803" s="218"/>
      <c r="L803" s="218"/>
      <c r="M803" s="218"/>
      <c r="N803" s="218"/>
    </row>
    <row r="804" spans="1:14" s="97" customFormat="1" ht="13.2" x14ac:dyDescent="0.25">
      <c r="A804" s="202" t="s">
        <v>2350</v>
      </c>
      <c r="B804" s="216" t="s">
        <v>2351</v>
      </c>
      <c r="C804" s="217" t="s">
        <v>1034</v>
      </c>
      <c r="D804" s="120"/>
      <c r="E804" s="45">
        <f t="shared" si="50"/>
        <v>0</v>
      </c>
      <c r="F804" s="127">
        <f t="shared" si="51"/>
        <v>0</v>
      </c>
      <c r="G804" s="151">
        <f>'Etude de cas n°1'!D804</f>
        <v>0</v>
      </c>
      <c r="H804" s="218"/>
      <c r="I804" s="218"/>
      <c r="J804" s="218"/>
      <c r="K804" s="218"/>
      <c r="L804" s="218"/>
      <c r="M804" s="218"/>
      <c r="N804" s="218"/>
    </row>
    <row r="805" spans="1:14" s="94" customFormat="1" ht="13.2" x14ac:dyDescent="0.25">
      <c r="A805" s="202" t="s">
        <v>2352</v>
      </c>
      <c r="B805" s="216" t="s">
        <v>2353</v>
      </c>
      <c r="C805" s="217" t="s">
        <v>1034</v>
      </c>
      <c r="D805" s="120"/>
      <c r="E805" s="45">
        <f t="shared" si="50"/>
        <v>0</v>
      </c>
      <c r="F805" s="127">
        <f t="shared" si="51"/>
        <v>0</v>
      </c>
      <c r="G805" s="151">
        <f>'Etude de cas n°1'!D805</f>
        <v>0</v>
      </c>
      <c r="H805" s="19"/>
      <c r="I805" s="19"/>
      <c r="J805" s="19"/>
      <c r="K805" s="19"/>
      <c r="L805" s="19"/>
      <c r="M805" s="19"/>
      <c r="N805" s="19"/>
    </row>
    <row r="806" spans="1:14" s="94" customFormat="1" ht="13.2" x14ac:dyDescent="0.25">
      <c r="A806" s="27" t="s">
        <v>225</v>
      </c>
      <c r="B806" s="3" t="s">
        <v>2354</v>
      </c>
      <c r="C806" s="217" t="s">
        <v>1883</v>
      </c>
      <c r="D806" s="120"/>
      <c r="E806" s="45"/>
      <c r="F806" s="127"/>
      <c r="G806" s="151"/>
      <c r="H806" s="19"/>
      <c r="I806" s="19"/>
      <c r="J806" s="19"/>
      <c r="K806" s="19"/>
      <c r="L806" s="19"/>
      <c r="M806" s="19"/>
      <c r="N806" s="19"/>
    </row>
    <row r="807" spans="1:14" s="94" customFormat="1" ht="13.8" x14ac:dyDescent="0.25">
      <c r="A807" s="202" t="s">
        <v>2355</v>
      </c>
      <c r="B807" s="216" t="s">
        <v>2356</v>
      </c>
      <c r="C807" s="217" t="s">
        <v>1011</v>
      </c>
      <c r="D807" s="120"/>
      <c r="E807" s="45">
        <f t="shared" si="50"/>
        <v>18</v>
      </c>
      <c r="F807" s="127">
        <f t="shared" si="51"/>
        <v>0</v>
      </c>
      <c r="G807" s="151">
        <f>'Etude de cas n°1'!D807</f>
        <v>18</v>
      </c>
      <c r="H807" s="19"/>
      <c r="I807" s="19"/>
      <c r="J807" s="19"/>
      <c r="K807" s="19"/>
      <c r="L807" s="19"/>
      <c r="M807" s="19"/>
      <c r="N807" s="19"/>
    </row>
    <row r="808" spans="1:14" s="97" customFormat="1" ht="13.2" x14ac:dyDescent="0.25">
      <c r="A808" s="202" t="s">
        <v>2357</v>
      </c>
      <c r="B808" s="216" t="s">
        <v>2358</v>
      </c>
      <c r="C808" s="217" t="s">
        <v>1011</v>
      </c>
      <c r="D808" s="120"/>
      <c r="E808" s="45">
        <f t="shared" si="50"/>
        <v>0</v>
      </c>
      <c r="F808" s="127">
        <f t="shared" si="51"/>
        <v>0</v>
      </c>
      <c r="G808" s="151">
        <f>'Etude de cas n°1'!D808</f>
        <v>0</v>
      </c>
      <c r="H808" s="218"/>
      <c r="I808" s="218"/>
      <c r="J808" s="218"/>
      <c r="K808" s="218"/>
      <c r="L808" s="218"/>
      <c r="M808" s="218"/>
      <c r="N808" s="218"/>
    </row>
    <row r="809" spans="1:14" s="97" customFormat="1" ht="13.2" x14ac:dyDescent="0.25">
      <c r="A809" s="202" t="s">
        <v>2359</v>
      </c>
      <c r="B809" s="216" t="s">
        <v>2360</v>
      </c>
      <c r="C809" s="217" t="s">
        <v>1011</v>
      </c>
      <c r="D809" s="120"/>
      <c r="E809" s="45">
        <f t="shared" si="50"/>
        <v>4</v>
      </c>
      <c r="F809" s="127">
        <f t="shared" si="51"/>
        <v>0</v>
      </c>
      <c r="G809" s="151">
        <f>'Etude de cas n°1'!D809</f>
        <v>4</v>
      </c>
      <c r="H809" s="218"/>
      <c r="I809" s="218"/>
      <c r="J809" s="218"/>
      <c r="K809" s="218"/>
      <c r="L809" s="218"/>
      <c r="M809" s="218"/>
      <c r="N809" s="218"/>
    </row>
    <row r="810" spans="1:14" s="97" customFormat="1" ht="13.2" x14ac:dyDescent="0.25">
      <c r="A810" s="202" t="s">
        <v>2361</v>
      </c>
      <c r="B810" s="216" t="s">
        <v>2362</v>
      </c>
      <c r="C810" s="217" t="s">
        <v>1011</v>
      </c>
      <c r="D810" s="120"/>
      <c r="E810" s="45">
        <f t="shared" si="50"/>
        <v>0</v>
      </c>
      <c r="F810" s="127">
        <f t="shared" si="51"/>
        <v>0</v>
      </c>
      <c r="G810" s="151">
        <f>'Etude de cas n°1'!D810</f>
        <v>0</v>
      </c>
      <c r="H810" s="218"/>
      <c r="I810" s="218"/>
      <c r="J810" s="218"/>
      <c r="K810" s="218"/>
      <c r="L810" s="218"/>
      <c r="M810" s="218"/>
      <c r="N810" s="218"/>
    </row>
    <row r="811" spans="1:14" s="97" customFormat="1" ht="13.2" x14ac:dyDescent="0.25">
      <c r="A811" s="202" t="s">
        <v>2363</v>
      </c>
      <c r="B811" s="216" t="s">
        <v>2364</v>
      </c>
      <c r="C811" s="217" t="s">
        <v>1011</v>
      </c>
      <c r="D811" s="120"/>
      <c r="E811" s="45">
        <f t="shared" si="50"/>
        <v>0</v>
      </c>
      <c r="F811" s="127">
        <f t="shared" si="51"/>
        <v>0</v>
      </c>
      <c r="G811" s="151">
        <f>'Etude de cas n°1'!D811</f>
        <v>0</v>
      </c>
      <c r="H811" s="218"/>
      <c r="I811" s="218"/>
      <c r="J811" s="218"/>
      <c r="K811" s="218"/>
      <c r="L811" s="218"/>
      <c r="M811" s="218"/>
      <c r="N811" s="218"/>
    </row>
    <row r="812" spans="1:14" s="94" customFormat="1" ht="13.2" x14ac:dyDescent="0.25">
      <c r="A812" s="202" t="s">
        <v>2365</v>
      </c>
      <c r="B812" s="216" t="s">
        <v>2366</v>
      </c>
      <c r="C812" s="217" t="s">
        <v>1011</v>
      </c>
      <c r="D812" s="120"/>
      <c r="E812" s="45">
        <f t="shared" si="50"/>
        <v>0</v>
      </c>
      <c r="F812" s="127">
        <f t="shared" si="51"/>
        <v>0</v>
      </c>
      <c r="G812" s="151">
        <f>'Etude de cas n°1'!D812</f>
        <v>0</v>
      </c>
      <c r="H812" s="19"/>
      <c r="I812" s="19"/>
      <c r="J812" s="19"/>
      <c r="K812" s="19"/>
      <c r="L812" s="19"/>
      <c r="M812" s="19"/>
      <c r="N812" s="19"/>
    </row>
    <row r="813" spans="1:14" s="97" customFormat="1" ht="13.2" x14ac:dyDescent="0.25">
      <c r="A813" s="202" t="s">
        <v>2367</v>
      </c>
      <c r="B813" s="216" t="s">
        <v>2368</v>
      </c>
      <c r="C813" s="217" t="s">
        <v>1011</v>
      </c>
      <c r="D813" s="120"/>
      <c r="E813" s="45">
        <f t="shared" si="50"/>
        <v>0</v>
      </c>
      <c r="F813" s="127">
        <f t="shared" si="51"/>
        <v>0</v>
      </c>
      <c r="G813" s="151">
        <f>'Etude de cas n°1'!D813</f>
        <v>0</v>
      </c>
      <c r="H813" s="218"/>
      <c r="I813" s="218"/>
      <c r="J813" s="218"/>
      <c r="K813" s="218"/>
      <c r="L813" s="218"/>
      <c r="M813" s="218"/>
      <c r="N813" s="218"/>
    </row>
    <row r="814" spans="1:14" s="97" customFormat="1" ht="13.2" x14ac:dyDescent="0.25">
      <c r="A814" s="27" t="s">
        <v>2369</v>
      </c>
      <c r="B814" s="3" t="s">
        <v>2370</v>
      </c>
      <c r="C814" s="217"/>
      <c r="D814" s="120"/>
      <c r="E814" s="45"/>
      <c r="F814" s="127"/>
      <c r="G814" s="151"/>
      <c r="H814" s="218"/>
      <c r="I814" s="218"/>
      <c r="J814" s="218"/>
      <c r="K814" s="218"/>
      <c r="L814" s="218"/>
      <c r="M814" s="218"/>
      <c r="N814" s="218"/>
    </row>
    <row r="815" spans="1:14" s="97" customFormat="1" ht="13.2" x14ac:dyDescent="0.25">
      <c r="A815" s="201" t="s">
        <v>226</v>
      </c>
      <c r="B815" s="216" t="s">
        <v>2371</v>
      </c>
      <c r="C815" s="217" t="s">
        <v>1034</v>
      </c>
      <c r="D815" s="120"/>
      <c r="E815" s="45">
        <f t="shared" si="50"/>
        <v>0</v>
      </c>
      <c r="F815" s="127">
        <f t="shared" si="51"/>
        <v>0</v>
      </c>
      <c r="G815" s="151">
        <f>'Etude de cas n°1'!D815</f>
        <v>0</v>
      </c>
      <c r="H815" s="218"/>
      <c r="I815" s="218"/>
      <c r="J815" s="218"/>
      <c r="K815" s="218"/>
      <c r="L815" s="218"/>
      <c r="M815" s="218"/>
      <c r="N815" s="218"/>
    </row>
    <row r="816" spans="1:14" s="97" customFormat="1" ht="13.2" x14ac:dyDescent="0.25">
      <c r="A816" s="201" t="s">
        <v>227</v>
      </c>
      <c r="B816" s="216" t="s">
        <v>2372</v>
      </c>
      <c r="C816" s="217" t="s">
        <v>1034</v>
      </c>
      <c r="D816" s="120"/>
      <c r="E816" s="45">
        <f t="shared" si="50"/>
        <v>0</v>
      </c>
      <c r="F816" s="127">
        <f t="shared" si="51"/>
        <v>0</v>
      </c>
      <c r="G816" s="151">
        <f>'Etude de cas n°1'!D816</f>
        <v>0</v>
      </c>
      <c r="H816" s="218"/>
      <c r="I816" s="218"/>
      <c r="J816" s="218"/>
      <c r="K816" s="218"/>
      <c r="L816" s="218"/>
      <c r="M816" s="218"/>
      <c r="N816" s="218"/>
    </row>
    <row r="817" spans="1:14" s="94" customFormat="1" ht="13.2" x14ac:dyDescent="0.25">
      <c r="A817" s="27" t="s">
        <v>228</v>
      </c>
      <c r="B817" s="3" t="s">
        <v>2373</v>
      </c>
      <c r="C817" s="217"/>
      <c r="D817" s="120"/>
      <c r="E817" s="45">
        <f t="shared" si="50"/>
        <v>0</v>
      </c>
      <c r="F817" s="127">
        <f t="shared" si="51"/>
        <v>0</v>
      </c>
      <c r="G817" s="151">
        <f>'Etude de cas n°1'!D817</f>
        <v>0</v>
      </c>
      <c r="H817" s="19"/>
      <c r="I817" s="19"/>
      <c r="J817" s="19"/>
      <c r="K817" s="19"/>
      <c r="L817" s="19"/>
      <c r="M817" s="19"/>
      <c r="N817" s="19"/>
    </row>
    <row r="818" spans="1:14" s="97" customFormat="1" ht="13.2" x14ac:dyDescent="0.25">
      <c r="A818" s="202" t="s">
        <v>2374</v>
      </c>
      <c r="B818" s="216" t="s">
        <v>2375</v>
      </c>
      <c r="C818" s="217" t="s">
        <v>1011</v>
      </c>
      <c r="D818" s="120"/>
      <c r="E818" s="45">
        <f t="shared" si="50"/>
        <v>11</v>
      </c>
      <c r="F818" s="127">
        <f t="shared" si="51"/>
        <v>0</v>
      </c>
      <c r="G818" s="151">
        <f>'Etude de cas n°1'!D818</f>
        <v>11</v>
      </c>
      <c r="H818" s="218"/>
      <c r="I818" s="218"/>
      <c r="J818" s="218"/>
      <c r="K818" s="218"/>
      <c r="L818" s="218"/>
      <c r="M818" s="218"/>
      <c r="N818" s="218"/>
    </row>
    <row r="819" spans="1:14" s="97" customFormat="1" ht="13.2" x14ac:dyDescent="0.25">
      <c r="A819" s="202" t="s">
        <v>2376</v>
      </c>
      <c r="B819" s="216" t="s">
        <v>2377</v>
      </c>
      <c r="C819" s="217" t="s">
        <v>1011</v>
      </c>
      <c r="D819" s="120"/>
      <c r="E819" s="45">
        <f t="shared" si="50"/>
        <v>0</v>
      </c>
      <c r="F819" s="127">
        <f t="shared" si="51"/>
        <v>0</v>
      </c>
      <c r="G819" s="151">
        <f>'Etude de cas n°1'!D819</f>
        <v>0</v>
      </c>
      <c r="H819" s="218"/>
      <c r="I819" s="218"/>
      <c r="J819" s="218"/>
      <c r="K819" s="218"/>
      <c r="L819" s="218"/>
      <c r="M819" s="218"/>
      <c r="N819" s="218"/>
    </row>
    <row r="820" spans="1:14" s="97" customFormat="1" ht="13.2" x14ac:dyDescent="0.25">
      <c r="A820" s="202" t="s">
        <v>2378</v>
      </c>
      <c r="B820" s="216" t="s">
        <v>2379</v>
      </c>
      <c r="C820" s="217" t="s">
        <v>1011</v>
      </c>
      <c r="D820" s="120"/>
      <c r="E820" s="45">
        <f t="shared" si="50"/>
        <v>0</v>
      </c>
      <c r="F820" s="127">
        <f t="shared" si="51"/>
        <v>0</v>
      </c>
      <c r="G820" s="151">
        <f>'Etude de cas n°1'!D820</f>
        <v>0</v>
      </c>
      <c r="H820" s="218"/>
      <c r="I820" s="218"/>
      <c r="J820" s="218"/>
      <c r="K820" s="218"/>
      <c r="L820" s="218"/>
      <c r="M820" s="218"/>
      <c r="N820" s="218"/>
    </row>
    <row r="821" spans="1:14" s="97" customFormat="1" ht="13.2" x14ac:dyDescent="0.25">
      <c r="A821" s="202" t="s">
        <v>4352</v>
      </c>
      <c r="B821" s="216" t="s">
        <v>4353</v>
      </c>
      <c r="C821" s="217" t="s">
        <v>1011</v>
      </c>
      <c r="D821" s="120"/>
      <c r="E821" s="45">
        <f t="shared" si="50"/>
        <v>0</v>
      </c>
      <c r="F821" s="127">
        <f t="shared" ref="F821" si="52">D821*E821</f>
        <v>0</v>
      </c>
      <c r="G821" s="151">
        <f>'Etude de cas n°1'!D821</f>
        <v>0</v>
      </c>
      <c r="H821" s="218"/>
      <c r="I821" s="218"/>
      <c r="J821" s="218"/>
      <c r="K821" s="218"/>
      <c r="L821" s="218"/>
      <c r="M821" s="218"/>
      <c r="N821" s="218"/>
    </row>
    <row r="822" spans="1:14" s="97" customFormat="1" ht="13.2" x14ac:dyDescent="0.25">
      <c r="A822" s="27" t="s">
        <v>229</v>
      </c>
      <c r="B822" s="3" t="s">
        <v>2380</v>
      </c>
      <c r="C822" s="217"/>
      <c r="D822" s="120"/>
      <c r="E822" s="45">
        <f t="shared" si="50"/>
        <v>0</v>
      </c>
      <c r="F822" s="127">
        <f>D822*E822</f>
        <v>0</v>
      </c>
      <c r="G822" s="151">
        <f>'Etude de cas n°1'!D822</f>
        <v>0</v>
      </c>
      <c r="H822" s="218"/>
      <c r="I822" s="218"/>
      <c r="J822" s="218"/>
      <c r="K822" s="218"/>
      <c r="L822" s="218"/>
      <c r="M822" s="218"/>
      <c r="N822" s="218"/>
    </row>
    <row r="823" spans="1:14" s="97" customFormat="1" ht="13.2" x14ac:dyDescent="0.25">
      <c r="A823" s="202" t="s">
        <v>2381</v>
      </c>
      <c r="B823" s="216" t="s">
        <v>2375</v>
      </c>
      <c r="C823" s="217" t="s">
        <v>1011</v>
      </c>
      <c r="D823" s="120"/>
      <c r="E823" s="45">
        <f t="shared" si="50"/>
        <v>0</v>
      </c>
      <c r="F823" s="127">
        <f>D823*E823</f>
        <v>0</v>
      </c>
      <c r="G823" s="151">
        <f>'Etude de cas n°1'!D823</f>
        <v>0</v>
      </c>
      <c r="H823" s="218"/>
      <c r="I823" s="218"/>
      <c r="J823" s="218"/>
      <c r="K823" s="218"/>
      <c r="L823" s="218"/>
      <c r="M823" s="218"/>
      <c r="N823" s="218"/>
    </row>
    <row r="824" spans="1:14" s="97" customFormat="1" ht="13.2" x14ac:dyDescent="0.25">
      <c r="A824" s="202" t="s">
        <v>2382</v>
      </c>
      <c r="B824" s="216" t="s">
        <v>2383</v>
      </c>
      <c r="C824" s="217" t="s">
        <v>1011</v>
      </c>
      <c r="D824" s="120"/>
      <c r="E824" s="45">
        <f t="shared" si="50"/>
        <v>0</v>
      </c>
      <c r="F824" s="127">
        <f>D824*E824</f>
        <v>0</v>
      </c>
      <c r="G824" s="151">
        <f>'Etude de cas n°1'!D824</f>
        <v>0</v>
      </c>
      <c r="H824" s="218"/>
      <c r="I824" s="218"/>
      <c r="J824" s="218"/>
      <c r="K824" s="218"/>
      <c r="L824" s="218"/>
      <c r="M824" s="218"/>
      <c r="N824" s="218"/>
    </row>
    <row r="825" spans="1:14" s="97" customFormat="1" ht="13.2" x14ac:dyDescent="0.25">
      <c r="A825" s="202" t="s">
        <v>2384</v>
      </c>
      <c r="B825" s="216" t="s">
        <v>4395</v>
      </c>
      <c r="C825" s="217" t="s">
        <v>1011</v>
      </c>
      <c r="D825" s="120"/>
      <c r="E825" s="45">
        <f t="shared" si="50"/>
        <v>0</v>
      </c>
      <c r="F825" s="127">
        <f>D825*E825</f>
        <v>0</v>
      </c>
      <c r="G825" s="151">
        <f>'Etude de cas n°1'!D825</f>
        <v>0</v>
      </c>
      <c r="H825" s="218"/>
      <c r="I825" s="218"/>
      <c r="J825" s="218"/>
      <c r="K825" s="218"/>
      <c r="L825" s="218"/>
      <c r="M825" s="218"/>
      <c r="N825" s="218"/>
    </row>
    <row r="826" spans="1:14" s="94" customFormat="1" ht="13.2" x14ac:dyDescent="0.25">
      <c r="A826" s="27" t="s">
        <v>230</v>
      </c>
      <c r="B826" s="3" t="s">
        <v>2385</v>
      </c>
      <c r="C826" s="217"/>
      <c r="D826" s="120"/>
      <c r="E826" s="45"/>
      <c r="F826" s="127"/>
      <c r="G826" s="151"/>
      <c r="H826" s="19"/>
      <c r="I826" s="19"/>
      <c r="J826" s="19"/>
      <c r="K826" s="19"/>
      <c r="L826" s="19"/>
      <c r="M826" s="19"/>
      <c r="N826" s="19"/>
    </row>
    <row r="827" spans="1:14" s="97" customFormat="1" ht="13.2" x14ac:dyDescent="0.25">
      <c r="A827" s="202" t="s">
        <v>2386</v>
      </c>
      <c r="B827" s="216" t="s">
        <v>2387</v>
      </c>
      <c r="C827" s="217" t="s">
        <v>1034</v>
      </c>
      <c r="D827" s="120"/>
      <c r="E827" s="45">
        <f t="shared" si="50"/>
        <v>0</v>
      </c>
      <c r="F827" s="127">
        <f t="shared" si="51"/>
        <v>0</v>
      </c>
      <c r="G827" s="151">
        <f>'Etude de cas n°1'!D827</f>
        <v>0</v>
      </c>
      <c r="H827" s="218"/>
      <c r="I827" s="218"/>
      <c r="J827" s="218"/>
      <c r="K827" s="218"/>
      <c r="L827" s="218"/>
      <c r="M827" s="218"/>
      <c r="N827" s="218"/>
    </row>
    <row r="828" spans="1:14" s="97" customFormat="1" ht="13.2" x14ac:dyDescent="0.25">
      <c r="A828" s="202" t="s">
        <v>2388</v>
      </c>
      <c r="B828" s="216" t="s">
        <v>2389</v>
      </c>
      <c r="C828" s="217" t="s">
        <v>1034</v>
      </c>
      <c r="D828" s="120"/>
      <c r="E828" s="45">
        <f t="shared" si="50"/>
        <v>0</v>
      </c>
      <c r="F828" s="127">
        <f t="shared" si="51"/>
        <v>0</v>
      </c>
      <c r="G828" s="151">
        <f>'Etude de cas n°1'!D828</f>
        <v>0</v>
      </c>
      <c r="H828" s="218"/>
      <c r="I828" s="218"/>
      <c r="J828" s="218"/>
      <c r="K828" s="218"/>
      <c r="L828" s="218"/>
      <c r="M828" s="218"/>
      <c r="N828" s="218"/>
    </row>
    <row r="829" spans="1:14" s="97" customFormat="1" ht="13.2" x14ac:dyDescent="0.25">
      <c r="A829" s="202" t="s">
        <v>2390</v>
      </c>
      <c r="B829" s="216" t="s">
        <v>2391</v>
      </c>
      <c r="C829" s="217" t="s">
        <v>1034</v>
      </c>
      <c r="D829" s="120"/>
      <c r="E829" s="45">
        <f t="shared" si="50"/>
        <v>0</v>
      </c>
      <c r="F829" s="127">
        <f t="shared" si="51"/>
        <v>0</v>
      </c>
      <c r="G829" s="151">
        <f>'Etude de cas n°1'!D829</f>
        <v>0</v>
      </c>
      <c r="H829" s="218"/>
      <c r="I829" s="218"/>
      <c r="J829" s="218"/>
      <c r="K829" s="218"/>
      <c r="L829" s="218"/>
      <c r="M829" s="218"/>
      <c r="N829" s="218"/>
    </row>
    <row r="830" spans="1:14" s="97" customFormat="1" ht="13.2" x14ac:dyDescent="0.25">
      <c r="A830" s="202" t="s">
        <v>2392</v>
      </c>
      <c r="B830" s="216" t="s">
        <v>2393</v>
      </c>
      <c r="C830" s="217" t="s">
        <v>1034</v>
      </c>
      <c r="D830" s="120"/>
      <c r="E830" s="45">
        <f t="shared" si="50"/>
        <v>0</v>
      </c>
      <c r="F830" s="127">
        <f t="shared" si="51"/>
        <v>0</v>
      </c>
      <c r="G830" s="151">
        <f>'Etude de cas n°1'!D830</f>
        <v>0</v>
      </c>
      <c r="H830" s="218"/>
      <c r="I830" s="218"/>
      <c r="J830" s="218"/>
      <c r="K830" s="218"/>
      <c r="L830" s="218"/>
      <c r="M830" s="218"/>
      <c r="N830" s="218"/>
    </row>
    <row r="831" spans="1:14" s="97" customFormat="1" ht="26.4" x14ac:dyDescent="0.25">
      <c r="A831" s="27" t="s">
        <v>231</v>
      </c>
      <c r="B831" s="3" t="s">
        <v>2394</v>
      </c>
      <c r="C831" s="217" t="s">
        <v>1883</v>
      </c>
      <c r="D831" s="120"/>
      <c r="E831" s="45"/>
      <c r="F831" s="127"/>
      <c r="G831" s="151"/>
      <c r="H831" s="218"/>
      <c r="I831" s="218"/>
      <c r="J831" s="218"/>
      <c r="K831" s="218"/>
      <c r="L831" s="218"/>
      <c r="M831" s="218"/>
      <c r="N831" s="218"/>
    </row>
    <row r="832" spans="1:14" s="97" customFormat="1" ht="13.2" x14ac:dyDescent="0.25">
      <c r="A832" s="202" t="s">
        <v>2395</v>
      </c>
      <c r="B832" s="216" t="s">
        <v>2396</v>
      </c>
      <c r="C832" s="217" t="s">
        <v>1034</v>
      </c>
      <c r="D832" s="120"/>
      <c r="E832" s="45">
        <f t="shared" si="50"/>
        <v>0</v>
      </c>
      <c r="F832" s="127">
        <f t="shared" si="51"/>
        <v>0</v>
      </c>
      <c r="G832" s="151">
        <f>'Etude de cas n°1'!D832</f>
        <v>0</v>
      </c>
      <c r="H832" s="218"/>
      <c r="I832" s="218"/>
      <c r="J832" s="218"/>
      <c r="K832" s="218"/>
      <c r="L832" s="218"/>
      <c r="M832" s="218"/>
      <c r="N832" s="218"/>
    </row>
    <row r="833" spans="1:14" s="97" customFormat="1" ht="13.2" x14ac:dyDescent="0.25">
      <c r="A833" s="202" t="s">
        <v>2397</v>
      </c>
      <c r="B833" s="216" t="s">
        <v>2398</v>
      </c>
      <c r="C833" s="217" t="s">
        <v>1034</v>
      </c>
      <c r="D833" s="120"/>
      <c r="E833" s="45">
        <f t="shared" si="50"/>
        <v>0</v>
      </c>
      <c r="F833" s="127">
        <f t="shared" si="51"/>
        <v>0</v>
      </c>
      <c r="G833" s="151">
        <f>'Etude de cas n°1'!D833</f>
        <v>0</v>
      </c>
      <c r="H833" s="218"/>
      <c r="I833" s="218"/>
      <c r="J833" s="218"/>
      <c r="K833" s="218"/>
      <c r="L833" s="218"/>
      <c r="M833" s="218"/>
      <c r="N833" s="218"/>
    </row>
    <row r="834" spans="1:14" s="97" customFormat="1" ht="13.2" x14ac:dyDescent="0.25">
      <c r="A834" s="202" t="s">
        <v>2399</v>
      </c>
      <c r="B834" s="216" t="s">
        <v>2391</v>
      </c>
      <c r="C834" s="217" t="s">
        <v>1034</v>
      </c>
      <c r="D834" s="120"/>
      <c r="E834" s="45">
        <f t="shared" si="50"/>
        <v>0</v>
      </c>
      <c r="F834" s="127">
        <f t="shared" si="51"/>
        <v>0</v>
      </c>
      <c r="G834" s="151">
        <f>'Etude de cas n°1'!D834</f>
        <v>0</v>
      </c>
      <c r="H834" s="218"/>
      <c r="I834" s="218"/>
      <c r="J834" s="218"/>
      <c r="K834" s="218"/>
      <c r="L834" s="218"/>
      <c r="M834" s="218"/>
      <c r="N834" s="218"/>
    </row>
    <row r="835" spans="1:14" s="94" customFormat="1" ht="13.2" x14ac:dyDescent="0.25">
      <c r="A835" s="202" t="s">
        <v>2400</v>
      </c>
      <c r="B835" s="216" t="s">
        <v>2393</v>
      </c>
      <c r="C835" s="217" t="s">
        <v>1034</v>
      </c>
      <c r="D835" s="120"/>
      <c r="E835" s="45">
        <f t="shared" si="50"/>
        <v>0</v>
      </c>
      <c r="F835" s="127">
        <f t="shared" si="51"/>
        <v>0</v>
      </c>
      <c r="G835" s="151">
        <f>'Etude de cas n°1'!D835</f>
        <v>0</v>
      </c>
      <c r="H835" s="19"/>
      <c r="I835" s="19"/>
      <c r="J835" s="19"/>
      <c r="K835" s="19"/>
      <c r="L835" s="19"/>
      <c r="M835" s="19"/>
      <c r="N835" s="19"/>
    </row>
    <row r="836" spans="1:14" s="97" customFormat="1" ht="13.2" x14ac:dyDescent="0.25">
      <c r="A836" s="202" t="s">
        <v>2401</v>
      </c>
      <c r="B836" s="216" t="s">
        <v>2402</v>
      </c>
      <c r="C836" s="217" t="s">
        <v>1034</v>
      </c>
      <c r="D836" s="120"/>
      <c r="E836" s="45">
        <f t="shared" si="50"/>
        <v>0</v>
      </c>
      <c r="F836" s="127">
        <f t="shared" si="51"/>
        <v>0</v>
      </c>
      <c r="G836" s="151">
        <f>'Etude de cas n°1'!D836</f>
        <v>0</v>
      </c>
      <c r="H836" s="218"/>
      <c r="I836" s="218"/>
      <c r="J836" s="218"/>
      <c r="K836" s="218"/>
      <c r="L836" s="218"/>
      <c r="M836" s="218"/>
      <c r="N836" s="218"/>
    </row>
    <row r="837" spans="1:14" s="97" customFormat="1" ht="13.2" x14ac:dyDescent="0.25">
      <c r="A837" s="202" t="s">
        <v>2403</v>
      </c>
      <c r="B837" s="216" t="s">
        <v>2404</v>
      </c>
      <c r="C837" s="217" t="s">
        <v>1034</v>
      </c>
      <c r="D837" s="120"/>
      <c r="E837" s="45">
        <f t="shared" si="50"/>
        <v>0</v>
      </c>
      <c r="F837" s="127">
        <f t="shared" si="51"/>
        <v>0</v>
      </c>
      <c r="G837" s="151">
        <f>'Etude de cas n°1'!D837</f>
        <v>0</v>
      </c>
      <c r="H837" s="218"/>
      <c r="I837" s="218"/>
      <c r="J837" s="218"/>
      <c r="K837" s="218"/>
      <c r="L837" s="218"/>
      <c r="M837" s="218"/>
      <c r="N837" s="218"/>
    </row>
    <row r="838" spans="1:14" s="97" customFormat="1" ht="13.2" x14ac:dyDescent="0.25">
      <c r="A838" s="202"/>
      <c r="B838" s="216"/>
      <c r="C838" s="217"/>
      <c r="D838" s="120"/>
      <c r="E838" s="45"/>
      <c r="F838" s="127"/>
      <c r="G838" s="151"/>
      <c r="H838" s="218"/>
      <c r="I838" s="218"/>
      <c r="J838" s="218"/>
      <c r="K838" s="218"/>
      <c r="L838" s="218"/>
      <c r="M838" s="218"/>
      <c r="N838" s="218"/>
    </row>
    <row r="839" spans="1:14" s="97" customFormat="1" ht="26.4" x14ac:dyDescent="0.25">
      <c r="A839" s="202"/>
      <c r="B839" s="122" t="s">
        <v>2405</v>
      </c>
      <c r="C839" s="217"/>
      <c r="D839" s="120"/>
      <c r="E839" s="45"/>
      <c r="F839" s="127">
        <f>SUM(F712:F837)</f>
        <v>0</v>
      </c>
      <c r="G839" s="151"/>
      <c r="H839" s="218"/>
      <c r="I839" s="218"/>
      <c r="J839" s="218"/>
      <c r="K839" s="218"/>
      <c r="L839" s="218"/>
      <c r="M839" s="218"/>
      <c r="N839" s="218"/>
    </row>
    <row r="840" spans="1:14" s="97" customFormat="1" ht="13.2" x14ac:dyDescent="0.25">
      <c r="A840" s="202"/>
      <c r="B840" s="216"/>
      <c r="C840" s="217"/>
      <c r="D840" s="120"/>
      <c r="E840" s="45"/>
      <c r="F840" s="127"/>
      <c r="G840" s="151"/>
      <c r="H840" s="218"/>
      <c r="I840" s="218"/>
      <c r="J840" s="218"/>
      <c r="K840" s="218"/>
      <c r="L840" s="218"/>
      <c r="M840" s="218"/>
      <c r="N840" s="218"/>
    </row>
    <row r="841" spans="1:14" s="97" customFormat="1" ht="13.2" x14ac:dyDescent="0.25">
      <c r="A841" s="29" t="s">
        <v>2406</v>
      </c>
      <c r="B841" s="32" t="s">
        <v>2407</v>
      </c>
      <c r="C841" s="224" t="s">
        <v>1883</v>
      </c>
      <c r="D841" s="123"/>
      <c r="E841" s="224" t="s">
        <v>1883</v>
      </c>
      <c r="F841" s="224" t="s">
        <v>1883</v>
      </c>
      <c r="G841" s="153" t="s">
        <v>1883</v>
      </c>
      <c r="H841" s="218"/>
      <c r="I841" s="218"/>
      <c r="J841" s="218"/>
      <c r="K841" s="218"/>
      <c r="L841" s="218"/>
      <c r="M841" s="218"/>
      <c r="N841" s="218"/>
    </row>
    <row r="842" spans="1:14" s="97" customFormat="1" ht="13.2" x14ac:dyDescent="0.25">
      <c r="A842" s="27" t="s">
        <v>2408</v>
      </c>
      <c r="B842" s="3" t="s">
        <v>2409</v>
      </c>
      <c r="C842" s="217" t="s">
        <v>1883</v>
      </c>
      <c r="D842" s="120"/>
      <c r="E842" s="45"/>
      <c r="F842" s="127"/>
      <c r="G842" s="151"/>
      <c r="H842" s="218"/>
      <c r="I842" s="218"/>
      <c r="J842" s="218"/>
      <c r="K842" s="218"/>
      <c r="L842" s="218"/>
      <c r="M842" s="218"/>
      <c r="N842" s="218"/>
    </row>
    <row r="843" spans="1:14" s="97" customFormat="1" ht="13.2" x14ac:dyDescent="0.25">
      <c r="A843" s="202" t="s">
        <v>237</v>
      </c>
      <c r="B843" s="216" t="s">
        <v>2410</v>
      </c>
      <c r="C843" s="217" t="s">
        <v>1034</v>
      </c>
      <c r="D843" s="120"/>
      <c r="E843" s="45">
        <f t="shared" ref="E843:E858" si="53">G843</f>
        <v>0</v>
      </c>
      <c r="F843" s="127">
        <f t="shared" si="51"/>
        <v>0</v>
      </c>
      <c r="G843" s="151">
        <f>'Etude de cas n°1'!D843</f>
        <v>0</v>
      </c>
      <c r="H843" s="218"/>
      <c r="I843" s="218"/>
      <c r="J843" s="218"/>
      <c r="K843" s="218"/>
      <c r="L843" s="218"/>
      <c r="M843" s="218"/>
      <c r="N843" s="218"/>
    </row>
    <row r="844" spans="1:14" s="97" customFormat="1" ht="13.2" x14ac:dyDescent="0.25">
      <c r="A844" s="202" t="s">
        <v>238</v>
      </c>
      <c r="B844" s="216" t="s">
        <v>2411</v>
      </c>
      <c r="C844" s="217" t="s">
        <v>1034</v>
      </c>
      <c r="D844" s="120"/>
      <c r="E844" s="45">
        <f t="shared" si="53"/>
        <v>0</v>
      </c>
      <c r="F844" s="127">
        <f t="shared" si="51"/>
        <v>0</v>
      </c>
      <c r="G844" s="151">
        <f>'Etude de cas n°1'!D844</f>
        <v>0</v>
      </c>
      <c r="H844" s="218"/>
      <c r="I844" s="218"/>
      <c r="J844" s="218"/>
      <c r="K844" s="218"/>
      <c r="L844" s="218"/>
      <c r="M844" s="218"/>
      <c r="N844" s="218"/>
    </row>
    <row r="845" spans="1:14" s="97" customFormat="1" ht="26.4" x14ac:dyDescent="0.25">
      <c r="A845" s="27" t="s">
        <v>2412</v>
      </c>
      <c r="B845" s="3" t="s">
        <v>2413</v>
      </c>
      <c r="C845" s="217" t="s">
        <v>1883</v>
      </c>
      <c r="D845" s="120"/>
      <c r="E845" s="45"/>
      <c r="F845" s="127"/>
      <c r="G845" s="151"/>
      <c r="H845" s="218"/>
      <c r="I845" s="218"/>
      <c r="J845" s="218"/>
      <c r="K845" s="218"/>
      <c r="L845" s="218"/>
      <c r="M845" s="218"/>
      <c r="N845" s="218"/>
    </row>
    <row r="846" spans="1:14" s="97" customFormat="1" ht="13.2" x14ac:dyDescent="0.25">
      <c r="A846" s="202" t="s">
        <v>244</v>
      </c>
      <c r="B846" s="216" t="s">
        <v>2414</v>
      </c>
      <c r="C846" s="217" t="s">
        <v>1034</v>
      </c>
      <c r="D846" s="120"/>
      <c r="E846" s="45">
        <f t="shared" si="53"/>
        <v>0</v>
      </c>
      <c r="F846" s="127">
        <f t="shared" ref="F846:F851" si="54">D846*E846</f>
        <v>0</v>
      </c>
      <c r="G846" s="151">
        <f>'Etude de cas n°1'!D846</f>
        <v>0</v>
      </c>
      <c r="H846" s="218"/>
      <c r="I846" s="218"/>
      <c r="J846" s="218"/>
      <c r="K846" s="218"/>
      <c r="L846" s="218"/>
      <c r="M846" s="218"/>
      <c r="N846" s="218"/>
    </row>
    <row r="847" spans="1:14" s="96" customFormat="1" ht="13.2" x14ac:dyDescent="0.25">
      <c r="A847" s="202" t="s">
        <v>245</v>
      </c>
      <c r="B847" s="216" t="s">
        <v>2415</v>
      </c>
      <c r="C847" s="217" t="s">
        <v>1034</v>
      </c>
      <c r="D847" s="120"/>
      <c r="E847" s="45">
        <f t="shared" si="53"/>
        <v>0</v>
      </c>
      <c r="F847" s="127">
        <f t="shared" si="54"/>
        <v>0</v>
      </c>
      <c r="G847" s="151">
        <f>'Etude de cas n°1'!D847</f>
        <v>0</v>
      </c>
      <c r="H847" s="17"/>
      <c r="I847" s="17"/>
      <c r="J847" s="17"/>
      <c r="K847" s="17"/>
      <c r="L847" s="17"/>
      <c r="M847" s="17"/>
      <c r="N847" s="17"/>
    </row>
    <row r="848" spans="1:14" s="94" customFormat="1" ht="13.2" x14ac:dyDescent="0.25">
      <c r="A848" s="202" t="s">
        <v>246</v>
      </c>
      <c r="B848" s="216" t="s">
        <v>2416</v>
      </c>
      <c r="C848" s="217" t="s">
        <v>1034</v>
      </c>
      <c r="D848" s="120"/>
      <c r="E848" s="45">
        <f t="shared" si="53"/>
        <v>0</v>
      </c>
      <c r="F848" s="127">
        <f t="shared" si="54"/>
        <v>0</v>
      </c>
      <c r="G848" s="151">
        <f>'Etude de cas n°1'!D848</f>
        <v>0</v>
      </c>
      <c r="H848" s="19"/>
      <c r="I848" s="19"/>
      <c r="J848" s="19"/>
      <c r="K848" s="19"/>
      <c r="L848" s="19"/>
      <c r="M848" s="19"/>
      <c r="N848" s="19"/>
    </row>
    <row r="849" spans="1:14" s="94" customFormat="1" ht="13.2" x14ac:dyDescent="0.25">
      <c r="A849" s="202" t="s">
        <v>2417</v>
      </c>
      <c r="B849" s="216" t="s">
        <v>2418</v>
      </c>
      <c r="C849" s="217" t="s">
        <v>1034</v>
      </c>
      <c r="D849" s="120"/>
      <c r="E849" s="45">
        <f t="shared" si="53"/>
        <v>0</v>
      </c>
      <c r="F849" s="127">
        <f t="shared" si="54"/>
        <v>0</v>
      </c>
      <c r="G849" s="151">
        <f>'Etude de cas n°1'!D849</f>
        <v>0</v>
      </c>
      <c r="H849" s="19"/>
      <c r="I849" s="19"/>
      <c r="J849" s="19"/>
      <c r="K849" s="19"/>
      <c r="L849" s="19"/>
      <c r="M849" s="19"/>
      <c r="N849" s="19"/>
    </row>
    <row r="850" spans="1:14" s="94" customFormat="1" ht="13.2" x14ac:dyDescent="0.25">
      <c r="A850" s="202" t="s">
        <v>2419</v>
      </c>
      <c r="B850" s="216" t="s">
        <v>2420</v>
      </c>
      <c r="C850" s="217" t="s">
        <v>1034</v>
      </c>
      <c r="D850" s="120"/>
      <c r="E850" s="45">
        <f t="shared" si="53"/>
        <v>0</v>
      </c>
      <c r="F850" s="127">
        <f t="shared" si="54"/>
        <v>0</v>
      </c>
      <c r="G850" s="151">
        <f>'Etude de cas n°1'!D850</f>
        <v>0</v>
      </c>
      <c r="H850" s="19"/>
      <c r="I850" s="19"/>
      <c r="J850" s="19"/>
      <c r="K850" s="19"/>
      <c r="L850" s="19"/>
      <c r="M850" s="19"/>
      <c r="N850" s="19"/>
    </row>
    <row r="851" spans="1:14" s="94" customFormat="1" ht="13.2" x14ac:dyDescent="0.25">
      <c r="A851" s="202" t="s">
        <v>2421</v>
      </c>
      <c r="B851" s="216" t="s">
        <v>2422</v>
      </c>
      <c r="C851" s="217" t="s">
        <v>1034</v>
      </c>
      <c r="D851" s="120"/>
      <c r="E851" s="45">
        <f t="shared" si="53"/>
        <v>0</v>
      </c>
      <c r="F851" s="127">
        <f t="shared" si="54"/>
        <v>0</v>
      </c>
      <c r="G851" s="151">
        <f>'Etude de cas n°1'!D851</f>
        <v>0</v>
      </c>
      <c r="H851" s="19"/>
      <c r="I851" s="19"/>
      <c r="J851" s="19"/>
      <c r="K851" s="19"/>
      <c r="L851" s="19"/>
      <c r="M851" s="19"/>
      <c r="N851" s="19"/>
    </row>
    <row r="852" spans="1:14" s="97" customFormat="1" ht="26.4" x14ac:dyDescent="0.25">
      <c r="A852" s="27" t="s">
        <v>2423</v>
      </c>
      <c r="B852" s="3" t="s">
        <v>2424</v>
      </c>
      <c r="C852" s="217" t="s">
        <v>1883</v>
      </c>
      <c r="D852" s="120"/>
      <c r="E852" s="45"/>
      <c r="F852" s="127"/>
      <c r="G852" s="151"/>
      <c r="H852" s="218"/>
      <c r="I852" s="218"/>
      <c r="J852" s="218"/>
      <c r="K852" s="218"/>
      <c r="L852" s="218"/>
      <c r="M852" s="218"/>
      <c r="N852" s="218"/>
    </row>
    <row r="853" spans="1:14" s="97" customFormat="1" ht="13.2" x14ac:dyDescent="0.25">
      <c r="A853" s="202" t="s">
        <v>2425</v>
      </c>
      <c r="B853" s="216" t="s">
        <v>2426</v>
      </c>
      <c r="C853" s="217" t="s">
        <v>1034</v>
      </c>
      <c r="D853" s="120"/>
      <c r="E853" s="45">
        <f t="shared" si="53"/>
        <v>0</v>
      </c>
      <c r="F853" s="127">
        <f t="shared" ref="F853:F858" si="55">D853*E853</f>
        <v>0</v>
      </c>
      <c r="G853" s="151">
        <f>'Etude de cas n°1'!D853</f>
        <v>0</v>
      </c>
      <c r="H853" s="218"/>
      <c r="I853" s="218"/>
      <c r="J853" s="218"/>
      <c r="K853" s="218"/>
      <c r="L853" s="218"/>
      <c r="M853" s="218"/>
      <c r="N853" s="218"/>
    </row>
    <row r="854" spans="1:14" s="97" customFormat="1" ht="13.2" x14ac:dyDescent="0.25">
      <c r="A854" s="202" t="s">
        <v>2427</v>
      </c>
      <c r="B854" s="216" t="s">
        <v>2428</v>
      </c>
      <c r="C854" s="217" t="s">
        <v>1034</v>
      </c>
      <c r="D854" s="120"/>
      <c r="E854" s="45">
        <f t="shared" si="53"/>
        <v>0</v>
      </c>
      <c r="F854" s="127">
        <f t="shared" si="55"/>
        <v>0</v>
      </c>
      <c r="G854" s="151">
        <f>'Etude de cas n°1'!D854</f>
        <v>0</v>
      </c>
      <c r="H854" s="218"/>
      <c r="I854" s="218"/>
      <c r="J854" s="218"/>
      <c r="K854" s="218"/>
      <c r="L854" s="218"/>
      <c r="M854" s="218"/>
      <c r="N854" s="218"/>
    </row>
    <row r="855" spans="1:14" s="97" customFormat="1" ht="13.2" x14ac:dyDescent="0.25">
      <c r="A855" s="202" t="s">
        <v>2429</v>
      </c>
      <c r="B855" s="216" t="s">
        <v>2430</v>
      </c>
      <c r="C855" s="217" t="s">
        <v>1034</v>
      </c>
      <c r="D855" s="120"/>
      <c r="E855" s="45">
        <f t="shared" si="53"/>
        <v>0</v>
      </c>
      <c r="F855" s="127">
        <f t="shared" si="55"/>
        <v>0</v>
      </c>
      <c r="G855" s="151">
        <f>'Etude de cas n°1'!D855</f>
        <v>0</v>
      </c>
      <c r="H855" s="218"/>
      <c r="I855" s="218"/>
      <c r="J855" s="218"/>
      <c r="K855" s="218"/>
      <c r="L855" s="218"/>
      <c r="M855" s="218"/>
      <c r="N855" s="218"/>
    </row>
    <row r="856" spans="1:14" s="97" customFormat="1" ht="13.2" x14ac:dyDescent="0.25">
      <c r="A856" s="202" t="s">
        <v>2431</v>
      </c>
      <c r="B856" s="216" t="s">
        <v>2432</v>
      </c>
      <c r="C856" s="217" t="s">
        <v>1034</v>
      </c>
      <c r="D856" s="120"/>
      <c r="E856" s="45">
        <f t="shared" si="53"/>
        <v>0</v>
      </c>
      <c r="F856" s="127">
        <f t="shared" si="55"/>
        <v>0</v>
      </c>
      <c r="G856" s="151">
        <f>'Etude de cas n°1'!D856</f>
        <v>0</v>
      </c>
      <c r="H856" s="218"/>
      <c r="I856" s="218"/>
      <c r="J856" s="218"/>
      <c r="K856" s="218"/>
      <c r="L856" s="218"/>
      <c r="M856" s="218"/>
      <c r="N856" s="218"/>
    </row>
    <row r="857" spans="1:14" s="97" customFormat="1" ht="13.2" x14ac:dyDescent="0.25">
      <c r="A857" s="202" t="s">
        <v>2433</v>
      </c>
      <c r="B857" s="216" t="s">
        <v>2434</v>
      </c>
      <c r="C857" s="217" t="s">
        <v>1034</v>
      </c>
      <c r="D857" s="120"/>
      <c r="E857" s="45">
        <f t="shared" si="53"/>
        <v>0</v>
      </c>
      <c r="F857" s="127">
        <f t="shared" si="55"/>
        <v>0</v>
      </c>
      <c r="G857" s="151">
        <f>'Etude de cas n°1'!D857</f>
        <v>0</v>
      </c>
      <c r="H857" s="218"/>
      <c r="I857" s="218"/>
      <c r="J857" s="218"/>
      <c r="K857" s="218"/>
      <c r="L857" s="218"/>
      <c r="M857" s="218"/>
      <c r="N857" s="218"/>
    </row>
    <row r="858" spans="1:14" s="97" customFormat="1" ht="13.2" x14ac:dyDescent="0.25">
      <c r="A858" s="27" t="s">
        <v>2435</v>
      </c>
      <c r="B858" s="3" t="s">
        <v>2436</v>
      </c>
      <c r="C858" s="217" t="s">
        <v>1034</v>
      </c>
      <c r="D858" s="120"/>
      <c r="E858" s="45">
        <f t="shared" si="53"/>
        <v>0</v>
      </c>
      <c r="F858" s="127">
        <f t="shared" si="55"/>
        <v>0</v>
      </c>
      <c r="G858" s="151">
        <f>'Etude de cas n°1'!D858</f>
        <v>0</v>
      </c>
      <c r="H858" s="218"/>
      <c r="I858" s="218"/>
      <c r="J858" s="218"/>
      <c r="K858" s="218"/>
      <c r="L858" s="218"/>
      <c r="M858" s="218"/>
      <c r="N858" s="218"/>
    </row>
    <row r="859" spans="1:14" s="97" customFormat="1" ht="13.2" x14ac:dyDescent="0.25">
      <c r="A859" s="27"/>
      <c r="B859" s="3"/>
      <c r="C859" s="217"/>
      <c r="D859" s="120"/>
      <c r="E859" s="45"/>
      <c r="F859" s="127"/>
      <c r="G859" s="151"/>
      <c r="H859" s="218"/>
      <c r="I859" s="218"/>
      <c r="J859" s="218"/>
      <c r="K859" s="218"/>
      <c r="L859" s="218"/>
      <c r="M859" s="218"/>
      <c r="N859" s="218"/>
    </row>
    <row r="860" spans="1:14" s="97" customFormat="1" ht="13.2" x14ac:dyDescent="0.25">
      <c r="A860" s="202"/>
      <c r="B860" s="122" t="s">
        <v>2437</v>
      </c>
      <c r="C860" s="217"/>
      <c r="D860" s="120"/>
      <c r="E860" s="45"/>
      <c r="F860" s="127">
        <f>SUM(F843:F858)</f>
        <v>0</v>
      </c>
      <c r="G860" s="151"/>
      <c r="H860" s="218"/>
      <c r="I860" s="218"/>
      <c r="J860" s="218"/>
      <c r="K860" s="218"/>
      <c r="L860" s="218"/>
      <c r="M860" s="218"/>
      <c r="N860" s="218"/>
    </row>
    <row r="861" spans="1:14" s="97" customFormat="1" ht="13.2" x14ac:dyDescent="0.25">
      <c r="A861" s="202"/>
      <c r="B861" s="216"/>
      <c r="C861" s="217"/>
      <c r="D861" s="120"/>
      <c r="E861" s="45"/>
      <c r="F861" s="127"/>
      <c r="G861" s="151"/>
      <c r="H861" s="218"/>
      <c r="I861" s="218"/>
      <c r="J861" s="218"/>
      <c r="K861" s="218"/>
      <c r="L861" s="218"/>
      <c r="M861" s="218"/>
      <c r="N861" s="218"/>
    </row>
    <row r="862" spans="1:14" s="97" customFormat="1" ht="13.2" x14ac:dyDescent="0.25">
      <c r="A862" s="129" t="s">
        <v>2438</v>
      </c>
      <c r="B862" s="32" t="s">
        <v>2439</v>
      </c>
      <c r="C862" s="224" t="s">
        <v>1883</v>
      </c>
      <c r="D862" s="123"/>
      <c r="E862" s="224" t="s">
        <v>1883</v>
      </c>
      <c r="F862" s="224" t="s">
        <v>1883</v>
      </c>
      <c r="G862" s="153" t="s">
        <v>1883</v>
      </c>
      <c r="H862" s="218"/>
      <c r="I862" s="218"/>
      <c r="J862" s="218"/>
      <c r="K862" s="218"/>
      <c r="L862" s="218"/>
      <c r="M862" s="218"/>
      <c r="N862" s="218"/>
    </row>
    <row r="863" spans="1:14" s="97" customFormat="1" ht="13.2" x14ac:dyDescent="0.25">
      <c r="A863" s="130" t="s">
        <v>247</v>
      </c>
      <c r="B863" s="6" t="s">
        <v>2440</v>
      </c>
      <c r="C863" s="217"/>
      <c r="D863" s="120"/>
      <c r="E863" s="45"/>
      <c r="F863" s="127"/>
      <c r="G863" s="151"/>
      <c r="H863" s="218"/>
      <c r="I863" s="218"/>
      <c r="J863" s="218"/>
      <c r="K863" s="218"/>
      <c r="L863" s="218"/>
      <c r="M863" s="218"/>
      <c r="N863" s="218"/>
    </row>
    <row r="864" spans="1:14" s="97" customFormat="1" ht="26.4" x14ac:dyDescent="0.25">
      <c r="A864" s="230" t="s">
        <v>2441</v>
      </c>
      <c r="B864" s="223" t="s">
        <v>2442</v>
      </c>
      <c r="C864" s="215"/>
      <c r="D864" s="120"/>
      <c r="E864" s="88"/>
      <c r="F864" s="127"/>
      <c r="G864" s="151"/>
      <c r="H864" s="218"/>
      <c r="I864" s="218"/>
      <c r="J864" s="218"/>
      <c r="K864" s="218"/>
      <c r="L864" s="218"/>
      <c r="M864" s="218"/>
      <c r="N864" s="218"/>
    </row>
    <row r="865" spans="1:14" s="97" customFormat="1" ht="13.2" x14ac:dyDescent="0.25">
      <c r="A865" s="230" t="s">
        <v>2443</v>
      </c>
      <c r="B865" s="223" t="s">
        <v>1077</v>
      </c>
      <c r="C865" s="215" t="s">
        <v>984</v>
      </c>
      <c r="D865" s="46"/>
      <c r="E865" s="45">
        <f t="shared" ref="E865:E928" si="56">G865</f>
        <v>0</v>
      </c>
      <c r="F865" s="127">
        <f>D865*E865</f>
        <v>0</v>
      </c>
      <c r="G865" s="151">
        <f>'Etude de cas n°1'!D865</f>
        <v>0</v>
      </c>
      <c r="H865" s="218"/>
      <c r="I865" s="218"/>
      <c r="J865" s="218"/>
      <c r="K865" s="218"/>
      <c r="L865" s="218"/>
      <c r="M865" s="218"/>
      <c r="N865" s="218"/>
    </row>
    <row r="866" spans="1:14" s="97" customFormat="1" ht="13.2" x14ac:dyDescent="0.25">
      <c r="A866" s="230" t="s">
        <v>2444</v>
      </c>
      <c r="B866" s="223" t="s">
        <v>2445</v>
      </c>
      <c r="C866" s="215" t="s">
        <v>984</v>
      </c>
      <c r="D866" s="46"/>
      <c r="E866" s="45">
        <f t="shared" si="56"/>
        <v>0</v>
      </c>
      <c r="F866" s="127">
        <f t="shared" ref="F866:F929" si="57">D866*E866</f>
        <v>0</v>
      </c>
      <c r="G866" s="151">
        <f>'Etude de cas n°1'!D866</f>
        <v>0</v>
      </c>
      <c r="H866" s="218"/>
      <c r="I866" s="218"/>
      <c r="J866" s="218"/>
      <c r="K866" s="218"/>
      <c r="L866" s="218"/>
      <c r="M866" s="218"/>
      <c r="N866" s="218"/>
    </row>
    <row r="867" spans="1:14" s="97" customFormat="1" ht="13.2" x14ac:dyDescent="0.25">
      <c r="A867" s="230" t="s">
        <v>2446</v>
      </c>
      <c r="B867" s="223" t="s">
        <v>2447</v>
      </c>
      <c r="C867" s="215" t="s">
        <v>984</v>
      </c>
      <c r="D867" s="46"/>
      <c r="E867" s="45">
        <f t="shared" si="56"/>
        <v>0</v>
      </c>
      <c r="F867" s="127">
        <f t="shared" si="57"/>
        <v>0</v>
      </c>
      <c r="G867" s="151">
        <f>'Etude de cas n°1'!D867</f>
        <v>0</v>
      </c>
      <c r="H867" s="218"/>
      <c r="I867" s="218"/>
      <c r="J867" s="218"/>
      <c r="K867" s="218"/>
      <c r="L867" s="218"/>
      <c r="M867" s="218"/>
      <c r="N867" s="218"/>
    </row>
    <row r="868" spans="1:14" s="97" customFormat="1" ht="13.2" x14ac:dyDescent="0.25">
      <c r="A868" s="230" t="s">
        <v>2448</v>
      </c>
      <c r="B868" s="223" t="s">
        <v>2449</v>
      </c>
      <c r="C868" s="215"/>
      <c r="D868" s="46"/>
      <c r="E868" s="45">
        <f t="shared" si="56"/>
        <v>0</v>
      </c>
      <c r="F868" s="127">
        <f t="shared" si="57"/>
        <v>0</v>
      </c>
      <c r="G868" s="151">
        <f>'Etude de cas n°1'!D868</f>
        <v>0</v>
      </c>
      <c r="H868" s="218"/>
      <c r="I868" s="218"/>
      <c r="J868" s="218"/>
      <c r="K868" s="218"/>
      <c r="L868" s="218"/>
      <c r="M868" s="218"/>
      <c r="N868" s="218"/>
    </row>
    <row r="869" spans="1:14" s="97" customFormat="1" ht="13.2" x14ac:dyDescent="0.25">
      <c r="A869" s="230" t="s">
        <v>2450</v>
      </c>
      <c r="B869" s="223" t="s">
        <v>1077</v>
      </c>
      <c r="C869" s="215" t="s">
        <v>984</v>
      </c>
      <c r="D869" s="46"/>
      <c r="E869" s="45">
        <f t="shared" si="56"/>
        <v>0</v>
      </c>
      <c r="F869" s="127">
        <f t="shared" si="57"/>
        <v>0</v>
      </c>
      <c r="G869" s="151">
        <f>'Etude de cas n°1'!D869</f>
        <v>0</v>
      </c>
      <c r="H869" s="218"/>
      <c r="I869" s="218"/>
      <c r="J869" s="218"/>
      <c r="K869" s="218"/>
      <c r="L869" s="218"/>
      <c r="M869" s="218"/>
      <c r="N869" s="218"/>
    </row>
    <row r="870" spans="1:14" s="97" customFormat="1" ht="13.2" x14ac:dyDescent="0.25">
      <c r="A870" s="230" t="s">
        <v>2451</v>
      </c>
      <c r="B870" s="223" t="s">
        <v>2445</v>
      </c>
      <c r="C870" s="215" t="s">
        <v>984</v>
      </c>
      <c r="D870" s="46"/>
      <c r="E870" s="45">
        <f t="shared" si="56"/>
        <v>0</v>
      </c>
      <c r="F870" s="127">
        <f t="shared" si="57"/>
        <v>0</v>
      </c>
      <c r="G870" s="151">
        <f>'Etude de cas n°1'!D870</f>
        <v>0</v>
      </c>
      <c r="H870" s="218"/>
      <c r="I870" s="218"/>
      <c r="J870" s="218"/>
      <c r="K870" s="218"/>
      <c r="L870" s="218"/>
      <c r="M870" s="218"/>
      <c r="N870" s="218"/>
    </row>
    <row r="871" spans="1:14" s="97" customFormat="1" ht="13.2" x14ac:dyDescent="0.25">
      <c r="A871" s="230" t="s">
        <v>2452</v>
      </c>
      <c r="B871" s="223" t="s">
        <v>2447</v>
      </c>
      <c r="C871" s="215" t="s">
        <v>984</v>
      </c>
      <c r="D871" s="46"/>
      <c r="E871" s="45">
        <f t="shared" si="56"/>
        <v>0</v>
      </c>
      <c r="F871" s="127">
        <f t="shared" si="57"/>
        <v>0</v>
      </c>
      <c r="G871" s="151">
        <f>'Etude de cas n°1'!D871</f>
        <v>0</v>
      </c>
      <c r="H871" s="218"/>
      <c r="I871" s="218"/>
      <c r="J871" s="218"/>
      <c r="K871" s="218"/>
      <c r="L871" s="218"/>
      <c r="M871" s="218"/>
      <c r="N871" s="218"/>
    </row>
    <row r="872" spans="1:14" s="97" customFormat="1" ht="13.2" x14ac:dyDescent="0.25">
      <c r="A872" s="230" t="s">
        <v>2453</v>
      </c>
      <c r="B872" s="223" t="s">
        <v>2454</v>
      </c>
      <c r="C872" s="215" t="s">
        <v>984</v>
      </c>
      <c r="D872" s="46"/>
      <c r="E872" s="45">
        <f t="shared" si="56"/>
        <v>0</v>
      </c>
      <c r="F872" s="127">
        <f t="shared" si="57"/>
        <v>0</v>
      </c>
      <c r="G872" s="151">
        <f>'Etude de cas n°1'!D872</f>
        <v>0</v>
      </c>
      <c r="H872" s="218"/>
      <c r="I872" s="218"/>
      <c r="J872" s="218"/>
      <c r="K872" s="218"/>
      <c r="L872" s="218"/>
      <c r="M872" s="218"/>
      <c r="N872" s="218"/>
    </row>
    <row r="873" spans="1:14" s="97" customFormat="1" ht="26.4" x14ac:dyDescent="0.25">
      <c r="A873" s="133" t="s">
        <v>2455</v>
      </c>
      <c r="B873" s="6" t="s">
        <v>2456</v>
      </c>
      <c r="C873" s="215"/>
      <c r="D873" s="46"/>
      <c r="E873" s="45"/>
      <c r="F873" s="127"/>
      <c r="G873" s="151"/>
      <c r="H873" s="218"/>
      <c r="I873" s="218"/>
      <c r="J873" s="218"/>
      <c r="K873" s="218"/>
      <c r="L873" s="218"/>
      <c r="M873" s="218"/>
      <c r="N873" s="218"/>
    </row>
    <row r="874" spans="1:14" s="97" customFormat="1" ht="13.2" x14ac:dyDescent="0.25">
      <c r="A874" s="230" t="s">
        <v>248</v>
      </c>
      <c r="B874" s="223" t="s">
        <v>2457</v>
      </c>
      <c r="C874" s="215" t="s">
        <v>1011</v>
      </c>
      <c r="D874" s="46"/>
      <c r="E874" s="45">
        <f t="shared" si="56"/>
        <v>0</v>
      </c>
      <c r="F874" s="127">
        <f t="shared" si="57"/>
        <v>0</v>
      </c>
      <c r="G874" s="151">
        <f>'Etude de cas n°1'!D874</f>
        <v>0</v>
      </c>
      <c r="H874" s="218"/>
      <c r="I874" s="218"/>
      <c r="J874" s="218"/>
      <c r="K874" s="218"/>
      <c r="L874" s="218"/>
      <c r="M874" s="218"/>
      <c r="N874" s="218"/>
    </row>
    <row r="875" spans="1:14" s="97" customFormat="1" ht="13.2" x14ac:dyDescent="0.25">
      <c r="A875" s="230" t="s">
        <v>249</v>
      </c>
      <c r="B875" s="223" t="s">
        <v>2458</v>
      </c>
      <c r="C875" s="215" t="s">
        <v>1011</v>
      </c>
      <c r="D875" s="46"/>
      <c r="E875" s="45">
        <f t="shared" si="56"/>
        <v>0</v>
      </c>
      <c r="F875" s="127">
        <f t="shared" si="57"/>
        <v>0</v>
      </c>
      <c r="G875" s="151">
        <f>'Etude de cas n°1'!D875</f>
        <v>0</v>
      </c>
      <c r="H875" s="218"/>
      <c r="I875" s="218"/>
      <c r="J875" s="218"/>
      <c r="K875" s="218"/>
      <c r="L875" s="218"/>
      <c r="M875" s="218"/>
      <c r="N875" s="218"/>
    </row>
    <row r="876" spans="1:14" s="97" customFormat="1" ht="13.2" x14ac:dyDescent="0.25">
      <c r="A876" s="230" t="s">
        <v>250</v>
      </c>
      <c r="B876" s="223" t="s">
        <v>2459</v>
      </c>
      <c r="C876" s="215" t="s">
        <v>1011</v>
      </c>
      <c r="D876" s="46"/>
      <c r="E876" s="45">
        <f t="shared" si="56"/>
        <v>0</v>
      </c>
      <c r="F876" s="127">
        <f t="shared" si="57"/>
        <v>0</v>
      </c>
      <c r="G876" s="151">
        <f>'Etude de cas n°1'!D876</f>
        <v>0</v>
      </c>
      <c r="H876" s="218"/>
      <c r="I876" s="218"/>
      <c r="J876" s="218"/>
      <c r="K876" s="218"/>
      <c r="L876" s="218"/>
      <c r="M876" s="218"/>
      <c r="N876" s="218"/>
    </row>
    <row r="877" spans="1:14" s="94" customFormat="1" ht="13.2" x14ac:dyDescent="0.25">
      <c r="A877" s="230" t="s">
        <v>251</v>
      </c>
      <c r="B877" s="216" t="s">
        <v>2460</v>
      </c>
      <c r="C877" s="217" t="s">
        <v>1034</v>
      </c>
      <c r="D877" s="46"/>
      <c r="E877" s="45">
        <f t="shared" si="56"/>
        <v>0</v>
      </c>
      <c r="F877" s="127">
        <f t="shared" si="57"/>
        <v>0</v>
      </c>
      <c r="G877" s="151">
        <f>'Etude de cas n°1'!D877</f>
        <v>0</v>
      </c>
      <c r="H877" s="19"/>
      <c r="I877" s="19"/>
      <c r="J877" s="19"/>
      <c r="K877" s="19"/>
      <c r="L877" s="19"/>
      <c r="M877" s="19"/>
      <c r="N877" s="19"/>
    </row>
    <row r="878" spans="1:14" s="94" customFormat="1" ht="13.2" x14ac:dyDescent="0.25">
      <c r="A878" s="230" t="s">
        <v>252</v>
      </c>
      <c r="B878" s="223" t="s">
        <v>2461</v>
      </c>
      <c r="C878" s="215" t="s">
        <v>1011</v>
      </c>
      <c r="D878" s="46"/>
      <c r="E878" s="45">
        <f t="shared" si="56"/>
        <v>0</v>
      </c>
      <c r="F878" s="127">
        <f t="shared" si="57"/>
        <v>0</v>
      </c>
      <c r="G878" s="151">
        <f>'Etude de cas n°1'!D878</f>
        <v>0</v>
      </c>
      <c r="H878" s="19"/>
      <c r="I878" s="19"/>
      <c r="J878" s="19"/>
      <c r="K878" s="19"/>
      <c r="L878" s="19"/>
      <c r="M878" s="19"/>
      <c r="N878" s="19"/>
    </row>
    <row r="879" spans="1:14" s="94" customFormat="1" ht="13.2" x14ac:dyDescent="0.25">
      <c r="A879" s="133" t="s">
        <v>2462</v>
      </c>
      <c r="B879" s="6" t="s">
        <v>2463</v>
      </c>
      <c r="C879" s="215"/>
      <c r="D879" s="46"/>
      <c r="E879" s="45"/>
      <c r="F879" s="127"/>
      <c r="G879" s="151"/>
      <c r="H879" s="19"/>
      <c r="I879" s="19"/>
      <c r="J879" s="19"/>
      <c r="K879" s="19"/>
      <c r="L879" s="19"/>
      <c r="M879" s="19"/>
      <c r="N879" s="19"/>
    </row>
    <row r="880" spans="1:14" s="94" customFormat="1" ht="13.2" x14ac:dyDescent="0.25">
      <c r="A880" s="230" t="s">
        <v>255</v>
      </c>
      <c r="B880" s="223" t="s">
        <v>2464</v>
      </c>
      <c r="C880" s="215" t="s">
        <v>1034</v>
      </c>
      <c r="D880" s="46"/>
      <c r="E880" s="45">
        <f t="shared" si="56"/>
        <v>0</v>
      </c>
      <c r="F880" s="127">
        <f t="shared" si="57"/>
        <v>0</v>
      </c>
      <c r="G880" s="151">
        <f>'Etude de cas n°1'!D880</f>
        <v>0</v>
      </c>
      <c r="H880" s="19"/>
      <c r="I880" s="19"/>
      <c r="J880" s="19"/>
      <c r="K880" s="19"/>
      <c r="L880" s="19"/>
      <c r="M880" s="19"/>
      <c r="N880" s="19"/>
    </row>
    <row r="881" spans="1:14" s="97" customFormat="1" ht="13.2" x14ac:dyDescent="0.25">
      <c r="A881" s="230" t="s">
        <v>256</v>
      </c>
      <c r="B881" s="223" t="s">
        <v>2465</v>
      </c>
      <c r="C881" s="215" t="s">
        <v>1034</v>
      </c>
      <c r="D881" s="46"/>
      <c r="E881" s="45">
        <f t="shared" si="56"/>
        <v>0</v>
      </c>
      <c r="F881" s="127">
        <f t="shared" si="57"/>
        <v>0</v>
      </c>
      <c r="G881" s="151">
        <f>'Etude de cas n°1'!D881</f>
        <v>0</v>
      </c>
      <c r="H881" s="218"/>
      <c r="I881" s="218"/>
      <c r="J881" s="218"/>
      <c r="K881" s="218"/>
      <c r="L881" s="218"/>
      <c r="M881" s="218"/>
      <c r="N881" s="218"/>
    </row>
    <row r="882" spans="1:14" s="97" customFormat="1" ht="13.2" x14ac:dyDescent="0.25">
      <c r="A882" s="230" t="s">
        <v>257</v>
      </c>
      <c r="B882" s="223" t="s">
        <v>2466</v>
      </c>
      <c r="C882" s="215" t="s">
        <v>1034</v>
      </c>
      <c r="D882" s="46"/>
      <c r="E882" s="45">
        <f t="shared" si="56"/>
        <v>0</v>
      </c>
      <c r="F882" s="127">
        <f t="shared" si="57"/>
        <v>0</v>
      </c>
      <c r="G882" s="151">
        <f>'Etude de cas n°1'!D882</f>
        <v>0</v>
      </c>
      <c r="H882" s="218"/>
      <c r="I882" s="218"/>
      <c r="J882" s="218"/>
      <c r="K882" s="218"/>
      <c r="L882" s="218"/>
      <c r="M882" s="218"/>
      <c r="N882" s="218"/>
    </row>
    <row r="883" spans="1:14" s="97" customFormat="1" ht="13.2" x14ac:dyDescent="0.25">
      <c r="A883" s="230" t="s">
        <v>258</v>
      </c>
      <c r="B883" s="216" t="s">
        <v>2467</v>
      </c>
      <c r="C883" s="217" t="s">
        <v>1034</v>
      </c>
      <c r="D883" s="46"/>
      <c r="E883" s="45">
        <f t="shared" si="56"/>
        <v>0</v>
      </c>
      <c r="F883" s="127">
        <f t="shared" si="57"/>
        <v>0</v>
      </c>
      <c r="G883" s="151">
        <f>'Etude de cas n°1'!D883</f>
        <v>0</v>
      </c>
      <c r="H883" s="218"/>
      <c r="I883" s="218"/>
      <c r="J883" s="218"/>
      <c r="K883" s="218"/>
      <c r="L883" s="218"/>
      <c r="M883" s="218"/>
      <c r="N883" s="218"/>
    </row>
    <row r="884" spans="1:14" s="97" customFormat="1" ht="13.2" x14ac:dyDescent="0.25">
      <c r="A884" s="230" t="s">
        <v>259</v>
      </c>
      <c r="B884" s="223" t="s">
        <v>2468</v>
      </c>
      <c r="C884" s="215" t="s">
        <v>1034</v>
      </c>
      <c r="D884" s="46"/>
      <c r="E884" s="45">
        <f t="shared" si="56"/>
        <v>0</v>
      </c>
      <c r="F884" s="127">
        <f t="shared" si="57"/>
        <v>0</v>
      </c>
      <c r="G884" s="151">
        <f>'Etude de cas n°1'!D884</f>
        <v>0</v>
      </c>
      <c r="H884" s="218"/>
      <c r="I884" s="218"/>
      <c r="J884" s="218"/>
      <c r="K884" s="218"/>
      <c r="L884" s="218"/>
      <c r="M884" s="218"/>
      <c r="N884" s="218"/>
    </row>
    <row r="885" spans="1:14" s="97" customFormat="1" ht="13.2" x14ac:dyDescent="0.25">
      <c r="A885" s="230" t="s">
        <v>260</v>
      </c>
      <c r="B885" s="223" t="s">
        <v>2469</v>
      </c>
      <c r="C885" s="215" t="s">
        <v>1034</v>
      </c>
      <c r="D885" s="46"/>
      <c r="E885" s="45">
        <f t="shared" si="56"/>
        <v>0</v>
      </c>
      <c r="F885" s="127">
        <f t="shared" si="57"/>
        <v>0</v>
      </c>
      <c r="G885" s="151">
        <f>'Etude de cas n°1'!D885</f>
        <v>0</v>
      </c>
      <c r="H885" s="218"/>
      <c r="I885" s="218"/>
      <c r="J885" s="218"/>
      <c r="K885" s="218"/>
      <c r="L885" s="218"/>
      <c r="M885" s="218"/>
      <c r="N885" s="218"/>
    </row>
    <row r="886" spans="1:14" s="97" customFormat="1" ht="13.2" x14ac:dyDescent="0.25">
      <c r="A886" s="133" t="s">
        <v>2470</v>
      </c>
      <c r="B886" s="6" t="s">
        <v>2471</v>
      </c>
      <c r="C886" s="215"/>
      <c r="D886" s="46"/>
      <c r="E886" s="45"/>
      <c r="F886" s="127"/>
      <c r="G886" s="151"/>
      <c r="H886" s="218"/>
      <c r="I886" s="218"/>
      <c r="J886" s="218"/>
      <c r="K886" s="218"/>
      <c r="L886" s="218"/>
      <c r="M886" s="218"/>
      <c r="N886" s="218"/>
    </row>
    <row r="887" spans="1:14" s="97" customFormat="1" ht="13.2" x14ac:dyDescent="0.25">
      <c r="A887" s="230" t="s">
        <v>266</v>
      </c>
      <c r="B887" s="223" t="s">
        <v>2472</v>
      </c>
      <c r="C887" s="215" t="s">
        <v>1011</v>
      </c>
      <c r="D887" s="46"/>
      <c r="E887" s="45">
        <f t="shared" si="56"/>
        <v>0</v>
      </c>
      <c r="F887" s="127">
        <f t="shared" si="57"/>
        <v>0</v>
      </c>
      <c r="G887" s="151">
        <f>'Etude de cas n°1'!D887</f>
        <v>0</v>
      </c>
      <c r="H887" s="218"/>
      <c r="I887" s="218"/>
      <c r="J887" s="218"/>
      <c r="K887" s="218"/>
      <c r="L887" s="218"/>
      <c r="M887" s="218"/>
      <c r="N887" s="218"/>
    </row>
    <row r="888" spans="1:14" s="97" customFormat="1" ht="13.2" x14ac:dyDescent="0.25">
      <c r="A888" s="230" t="s">
        <v>267</v>
      </c>
      <c r="B888" s="223" t="s">
        <v>2473</v>
      </c>
      <c r="C888" s="215"/>
      <c r="D888" s="46"/>
      <c r="E888" s="45"/>
      <c r="F888" s="127"/>
      <c r="G888" s="151"/>
      <c r="H888" s="218"/>
      <c r="I888" s="218"/>
      <c r="J888" s="218"/>
      <c r="K888" s="218"/>
      <c r="L888" s="218"/>
      <c r="M888" s="218"/>
      <c r="N888" s="218"/>
    </row>
    <row r="889" spans="1:14" s="97" customFormat="1" ht="13.2" x14ac:dyDescent="0.25">
      <c r="A889" s="230" t="s">
        <v>2474</v>
      </c>
      <c r="B889" s="223" t="s">
        <v>2475</v>
      </c>
      <c r="C889" s="215"/>
      <c r="D889" s="46"/>
      <c r="E889" s="45"/>
      <c r="F889" s="127"/>
      <c r="G889" s="151"/>
      <c r="H889" s="218"/>
      <c r="I889" s="218"/>
      <c r="J889" s="218"/>
      <c r="K889" s="218"/>
      <c r="L889" s="218"/>
      <c r="M889" s="218"/>
      <c r="N889" s="218"/>
    </row>
    <row r="890" spans="1:14" s="97" customFormat="1" ht="13.2" x14ac:dyDescent="0.25">
      <c r="A890" s="230" t="s">
        <v>2476</v>
      </c>
      <c r="B890" s="216" t="s">
        <v>2477</v>
      </c>
      <c r="C890" s="217" t="s">
        <v>1011</v>
      </c>
      <c r="D890" s="46"/>
      <c r="E890" s="45">
        <f t="shared" si="56"/>
        <v>0</v>
      </c>
      <c r="F890" s="127">
        <f t="shared" si="57"/>
        <v>0</v>
      </c>
      <c r="G890" s="151">
        <f>'Etude de cas n°1'!D890</f>
        <v>0</v>
      </c>
      <c r="H890" s="218"/>
      <c r="I890" s="218"/>
      <c r="J890" s="218"/>
      <c r="K890" s="218"/>
      <c r="L890" s="218"/>
      <c r="M890" s="218"/>
      <c r="N890" s="218"/>
    </row>
    <row r="891" spans="1:14" s="97" customFormat="1" ht="13.2" x14ac:dyDescent="0.25">
      <c r="A891" s="230" t="s">
        <v>2478</v>
      </c>
      <c r="B891" s="223" t="s">
        <v>2479</v>
      </c>
      <c r="C891" s="215" t="s">
        <v>1011</v>
      </c>
      <c r="D891" s="46"/>
      <c r="E891" s="45">
        <f t="shared" si="56"/>
        <v>0</v>
      </c>
      <c r="F891" s="127">
        <f t="shared" si="57"/>
        <v>0</v>
      </c>
      <c r="G891" s="151">
        <f>'Etude de cas n°1'!D891</f>
        <v>0</v>
      </c>
      <c r="H891" s="218"/>
      <c r="I891" s="218"/>
      <c r="J891" s="218"/>
      <c r="K891" s="218"/>
      <c r="L891" s="218"/>
      <c r="M891" s="218"/>
      <c r="N891" s="218"/>
    </row>
    <row r="892" spans="1:14" s="97" customFormat="1" ht="13.2" x14ac:dyDescent="0.25">
      <c r="A892" s="230" t="s">
        <v>2480</v>
      </c>
      <c r="B892" s="223" t="s">
        <v>2481</v>
      </c>
      <c r="C892" s="217" t="s">
        <v>1011</v>
      </c>
      <c r="D892" s="46"/>
      <c r="E892" s="45">
        <f t="shared" si="56"/>
        <v>0</v>
      </c>
      <c r="F892" s="127">
        <f t="shared" si="57"/>
        <v>0</v>
      </c>
      <c r="G892" s="151">
        <f>'Etude de cas n°1'!D892</f>
        <v>0</v>
      </c>
      <c r="H892" s="218"/>
      <c r="I892" s="218"/>
      <c r="J892" s="218"/>
      <c r="K892" s="218"/>
      <c r="L892" s="218"/>
      <c r="M892" s="218"/>
      <c r="N892" s="218"/>
    </row>
    <row r="893" spans="1:14" s="94" customFormat="1" ht="13.2" x14ac:dyDescent="0.25">
      <c r="A893" s="230" t="s">
        <v>2482</v>
      </c>
      <c r="B893" s="223" t="s">
        <v>2483</v>
      </c>
      <c r="C893" s="217" t="s">
        <v>1011</v>
      </c>
      <c r="D893" s="46"/>
      <c r="E893" s="45">
        <f t="shared" si="56"/>
        <v>0</v>
      </c>
      <c r="F893" s="127">
        <f t="shared" si="57"/>
        <v>0</v>
      </c>
      <c r="G893" s="151">
        <f>'Etude de cas n°1'!D893</f>
        <v>0</v>
      </c>
      <c r="H893" s="19"/>
      <c r="I893" s="19"/>
      <c r="J893" s="19"/>
      <c r="K893" s="19"/>
      <c r="L893" s="19"/>
      <c r="M893" s="19"/>
      <c r="N893" s="19"/>
    </row>
    <row r="894" spans="1:14" s="97" customFormat="1" ht="13.2" x14ac:dyDescent="0.25">
      <c r="A894" s="230" t="s">
        <v>2484</v>
      </c>
      <c r="B894" s="223" t="s">
        <v>2485</v>
      </c>
      <c r="C894" s="215"/>
      <c r="D894" s="46"/>
      <c r="E894" s="45"/>
      <c r="F894" s="127"/>
      <c r="G894" s="151"/>
      <c r="H894" s="218"/>
      <c r="I894" s="218"/>
      <c r="J894" s="218"/>
      <c r="K894" s="218"/>
      <c r="L894" s="218"/>
      <c r="M894" s="218"/>
      <c r="N894" s="218"/>
    </row>
    <row r="895" spans="1:14" s="97" customFormat="1" ht="26.4" x14ac:dyDescent="0.25">
      <c r="A895" s="230" t="s">
        <v>2486</v>
      </c>
      <c r="B895" s="223" t="s">
        <v>2487</v>
      </c>
      <c r="C895" s="215" t="s">
        <v>1011</v>
      </c>
      <c r="D895" s="46"/>
      <c r="E895" s="45">
        <f t="shared" si="56"/>
        <v>0</v>
      </c>
      <c r="F895" s="127">
        <f t="shared" si="57"/>
        <v>0</v>
      </c>
      <c r="G895" s="151">
        <f>'Etude de cas n°1'!D895</f>
        <v>0</v>
      </c>
      <c r="H895" s="218"/>
      <c r="I895" s="218"/>
      <c r="J895" s="218"/>
      <c r="K895" s="218"/>
      <c r="L895" s="218"/>
      <c r="M895" s="218"/>
      <c r="N895" s="218"/>
    </row>
    <row r="896" spans="1:14" s="97" customFormat="1" ht="26.4" x14ac:dyDescent="0.25">
      <c r="A896" s="230" t="s">
        <v>2488</v>
      </c>
      <c r="B896" s="223" t="s">
        <v>2489</v>
      </c>
      <c r="C896" s="215" t="s">
        <v>1011</v>
      </c>
      <c r="D896" s="46"/>
      <c r="E896" s="45">
        <f t="shared" si="56"/>
        <v>0</v>
      </c>
      <c r="F896" s="127">
        <f t="shared" si="57"/>
        <v>0</v>
      </c>
      <c r="G896" s="151">
        <f>'Etude de cas n°1'!D896</f>
        <v>0</v>
      </c>
      <c r="H896" s="218"/>
      <c r="I896" s="218"/>
      <c r="J896" s="218"/>
      <c r="K896" s="218"/>
      <c r="L896" s="218"/>
      <c r="M896" s="218"/>
      <c r="N896" s="218"/>
    </row>
    <row r="897" spans="1:14" s="97" customFormat="1" ht="26.4" x14ac:dyDescent="0.25">
      <c r="A897" s="230" t="s">
        <v>2490</v>
      </c>
      <c r="B897" s="223" t="s">
        <v>2491</v>
      </c>
      <c r="C897" s="215" t="s">
        <v>1011</v>
      </c>
      <c r="D897" s="46"/>
      <c r="E897" s="45">
        <f t="shared" si="56"/>
        <v>0</v>
      </c>
      <c r="F897" s="127">
        <f t="shared" si="57"/>
        <v>0</v>
      </c>
      <c r="G897" s="151">
        <f>'Etude de cas n°1'!D897</f>
        <v>0</v>
      </c>
      <c r="H897" s="218"/>
      <c r="I897" s="218"/>
      <c r="J897" s="218"/>
      <c r="K897" s="218"/>
      <c r="L897" s="218"/>
      <c r="M897" s="218"/>
      <c r="N897" s="218"/>
    </row>
    <row r="898" spans="1:14" s="97" customFormat="1" ht="26.4" x14ac:dyDescent="0.25">
      <c r="A898" s="230" t="s">
        <v>2492</v>
      </c>
      <c r="B898" s="223" t="s">
        <v>2493</v>
      </c>
      <c r="C898" s="217" t="s">
        <v>1011</v>
      </c>
      <c r="D898" s="46"/>
      <c r="E898" s="45">
        <f t="shared" si="56"/>
        <v>0</v>
      </c>
      <c r="F898" s="127">
        <f t="shared" si="57"/>
        <v>0</v>
      </c>
      <c r="G898" s="151">
        <f>'Etude de cas n°1'!D898</f>
        <v>0</v>
      </c>
      <c r="H898" s="218"/>
      <c r="I898" s="218"/>
      <c r="J898" s="218"/>
      <c r="K898" s="218"/>
      <c r="L898" s="218"/>
      <c r="M898" s="218"/>
      <c r="N898" s="218"/>
    </row>
    <row r="899" spans="1:14" s="97" customFormat="1" ht="13.2" x14ac:dyDescent="0.25">
      <c r="A899" s="230" t="s">
        <v>2494</v>
      </c>
      <c r="B899" s="223" t="s">
        <v>2495</v>
      </c>
      <c r="C899" s="215" t="s">
        <v>1034</v>
      </c>
      <c r="D899" s="46"/>
      <c r="E899" s="45">
        <f t="shared" si="56"/>
        <v>0</v>
      </c>
      <c r="F899" s="127">
        <f t="shared" si="57"/>
        <v>0</v>
      </c>
      <c r="G899" s="151">
        <f>'Etude de cas n°1'!D899</f>
        <v>0</v>
      </c>
      <c r="H899" s="218"/>
      <c r="I899" s="218"/>
      <c r="J899" s="218"/>
      <c r="K899" s="218"/>
      <c r="L899" s="218"/>
      <c r="M899" s="218"/>
      <c r="N899" s="218"/>
    </row>
    <row r="900" spans="1:14" s="97" customFormat="1" ht="13.2" x14ac:dyDescent="0.25">
      <c r="A900" s="230" t="s">
        <v>2496</v>
      </c>
      <c r="B900" s="223" t="s">
        <v>2497</v>
      </c>
      <c r="C900" s="215" t="s">
        <v>1034</v>
      </c>
      <c r="D900" s="46"/>
      <c r="E900" s="45">
        <f t="shared" si="56"/>
        <v>0</v>
      </c>
      <c r="F900" s="127">
        <f t="shared" si="57"/>
        <v>0</v>
      </c>
      <c r="G900" s="151">
        <f>'Etude de cas n°1'!D900</f>
        <v>0</v>
      </c>
      <c r="H900" s="218"/>
      <c r="I900" s="218"/>
      <c r="J900" s="218"/>
      <c r="K900" s="218"/>
      <c r="L900" s="218"/>
      <c r="M900" s="218"/>
      <c r="N900" s="218"/>
    </row>
    <row r="901" spans="1:14" s="97" customFormat="1" ht="13.2" x14ac:dyDescent="0.25">
      <c r="A901" s="230" t="s">
        <v>268</v>
      </c>
      <c r="B901" s="223" t="s">
        <v>2498</v>
      </c>
      <c r="C901" s="215" t="s">
        <v>2499</v>
      </c>
      <c r="D901" s="46"/>
      <c r="E901" s="45">
        <f t="shared" si="56"/>
        <v>0</v>
      </c>
      <c r="F901" s="127">
        <f t="shared" si="57"/>
        <v>0</v>
      </c>
      <c r="G901" s="151">
        <f>'Etude de cas n°1'!D901</f>
        <v>0</v>
      </c>
      <c r="H901" s="218"/>
      <c r="I901" s="218"/>
      <c r="J901" s="218"/>
      <c r="K901" s="218"/>
      <c r="L901" s="218"/>
      <c r="M901" s="218"/>
      <c r="N901" s="218"/>
    </row>
    <row r="902" spans="1:14" s="97" customFormat="1" ht="13.2" x14ac:dyDescent="0.25">
      <c r="A902" s="230" t="s">
        <v>269</v>
      </c>
      <c r="B902" s="223" t="s">
        <v>2500</v>
      </c>
      <c r="C902" s="215" t="s">
        <v>1034</v>
      </c>
      <c r="D902" s="46"/>
      <c r="E902" s="45">
        <f t="shared" si="56"/>
        <v>0</v>
      </c>
      <c r="F902" s="127">
        <f t="shared" si="57"/>
        <v>0</v>
      </c>
      <c r="G902" s="151">
        <f>'Etude de cas n°1'!D902</f>
        <v>0</v>
      </c>
      <c r="H902" s="218"/>
      <c r="I902" s="218"/>
      <c r="J902" s="218"/>
      <c r="K902" s="218"/>
      <c r="L902" s="218"/>
      <c r="M902" s="218"/>
      <c r="N902" s="218"/>
    </row>
    <row r="903" spans="1:14" s="97" customFormat="1" ht="13.2" x14ac:dyDescent="0.25">
      <c r="A903" s="230" t="s">
        <v>270</v>
      </c>
      <c r="B903" s="223" t="s">
        <v>2501</v>
      </c>
      <c r="C903" s="215" t="s">
        <v>1011</v>
      </c>
      <c r="D903" s="46"/>
      <c r="E903" s="45">
        <f t="shared" si="56"/>
        <v>0</v>
      </c>
      <c r="F903" s="127">
        <f t="shared" si="57"/>
        <v>0</v>
      </c>
      <c r="G903" s="151">
        <f>'Etude de cas n°1'!D903</f>
        <v>0</v>
      </c>
      <c r="H903" s="218"/>
      <c r="I903" s="218"/>
      <c r="J903" s="218"/>
      <c r="K903" s="218"/>
      <c r="L903" s="218"/>
      <c r="M903" s="218"/>
      <c r="N903" s="218"/>
    </row>
    <row r="904" spans="1:14" s="97" customFormat="1" ht="13.2" x14ac:dyDescent="0.25">
      <c r="A904" s="230" t="s">
        <v>271</v>
      </c>
      <c r="B904" s="223" t="s">
        <v>2502</v>
      </c>
      <c r="C904" s="215" t="s">
        <v>1011</v>
      </c>
      <c r="D904" s="46"/>
      <c r="E904" s="45">
        <f t="shared" si="56"/>
        <v>0</v>
      </c>
      <c r="F904" s="127">
        <f t="shared" si="57"/>
        <v>0</v>
      </c>
      <c r="G904" s="151">
        <f>'Etude de cas n°1'!D904</f>
        <v>0</v>
      </c>
      <c r="H904" s="218"/>
      <c r="I904" s="218"/>
      <c r="J904" s="218"/>
      <c r="K904" s="218"/>
      <c r="L904" s="218"/>
      <c r="M904" s="218"/>
      <c r="N904" s="218"/>
    </row>
    <row r="905" spans="1:14" s="97" customFormat="1" ht="13.2" x14ac:dyDescent="0.25">
      <c r="A905" s="230" t="s">
        <v>272</v>
      </c>
      <c r="B905" s="223" t="s">
        <v>2503</v>
      </c>
      <c r="C905" s="215" t="s">
        <v>1011</v>
      </c>
      <c r="D905" s="46"/>
      <c r="E905" s="45">
        <f t="shared" si="56"/>
        <v>0</v>
      </c>
      <c r="F905" s="127">
        <f t="shared" si="57"/>
        <v>0</v>
      </c>
      <c r="G905" s="151">
        <f>'Etude de cas n°1'!D905</f>
        <v>0</v>
      </c>
      <c r="H905" s="218"/>
      <c r="I905" s="218"/>
      <c r="J905" s="218"/>
      <c r="K905" s="218"/>
      <c r="L905" s="218"/>
      <c r="M905" s="218"/>
      <c r="N905" s="218"/>
    </row>
    <row r="906" spans="1:14" s="94" customFormat="1" ht="26.4" x14ac:dyDescent="0.25">
      <c r="A906" s="230" t="s">
        <v>273</v>
      </c>
      <c r="B906" s="223" t="s">
        <v>2504</v>
      </c>
      <c r="C906" s="215"/>
      <c r="D906" s="46"/>
      <c r="E906" s="45"/>
      <c r="F906" s="127"/>
      <c r="G906" s="151"/>
      <c r="H906" s="19"/>
      <c r="I906" s="19"/>
      <c r="J906" s="19"/>
      <c r="K906" s="19"/>
      <c r="L906" s="19"/>
      <c r="M906" s="19"/>
      <c r="N906" s="19"/>
    </row>
    <row r="907" spans="1:14" s="97" customFormat="1" ht="13.2" x14ac:dyDescent="0.25">
      <c r="A907" s="230" t="s">
        <v>2505</v>
      </c>
      <c r="B907" s="223" t="s">
        <v>2506</v>
      </c>
      <c r="C907" s="215" t="s">
        <v>1011</v>
      </c>
      <c r="D907" s="46"/>
      <c r="E907" s="45">
        <f t="shared" si="56"/>
        <v>0</v>
      </c>
      <c r="F907" s="127">
        <f t="shared" si="57"/>
        <v>0</v>
      </c>
      <c r="G907" s="151">
        <f>'Etude de cas n°1'!D907</f>
        <v>0</v>
      </c>
      <c r="H907" s="218"/>
      <c r="I907" s="218"/>
      <c r="J907" s="218"/>
      <c r="K907" s="218"/>
      <c r="L907" s="218"/>
      <c r="M907" s="218"/>
      <c r="N907" s="218"/>
    </row>
    <row r="908" spans="1:14" s="97" customFormat="1" ht="13.2" x14ac:dyDescent="0.25">
      <c r="A908" s="230" t="s">
        <v>2507</v>
      </c>
      <c r="B908" s="223" t="s">
        <v>2508</v>
      </c>
      <c r="C908" s="215" t="s">
        <v>1011</v>
      </c>
      <c r="D908" s="46"/>
      <c r="E908" s="45">
        <f t="shared" si="56"/>
        <v>0</v>
      </c>
      <c r="F908" s="127">
        <f t="shared" si="57"/>
        <v>0</v>
      </c>
      <c r="G908" s="151">
        <f>'Etude de cas n°1'!D908</f>
        <v>0</v>
      </c>
      <c r="H908" s="218"/>
      <c r="I908" s="218"/>
      <c r="J908" s="218"/>
      <c r="K908" s="218"/>
      <c r="L908" s="218"/>
      <c r="M908" s="218"/>
      <c r="N908" s="218"/>
    </row>
    <row r="909" spans="1:14" s="97" customFormat="1" ht="13.2" x14ac:dyDescent="0.25">
      <c r="A909" s="230" t="s">
        <v>274</v>
      </c>
      <c r="B909" s="223" t="s">
        <v>2509</v>
      </c>
      <c r="C909" s="215"/>
      <c r="D909" s="46"/>
      <c r="E909" s="45"/>
      <c r="F909" s="127"/>
      <c r="G909" s="151"/>
      <c r="H909" s="218"/>
      <c r="I909" s="218"/>
      <c r="J909" s="218"/>
      <c r="K909" s="218"/>
      <c r="L909" s="218"/>
      <c r="M909" s="218"/>
      <c r="N909" s="218"/>
    </row>
    <row r="910" spans="1:14" s="97" customFormat="1" ht="13.2" x14ac:dyDescent="0.25">
      <c r="A910" s="230" t="s">
        <v>2510</v>
      </c>
      <c r="B910" s="223" t="s">
        <v>2506</v>
      </c>
      <c r="C910" s="217" t="s">
        <v>1011</v>
      </c>
      <c r="D910" s="46"/>
      <c r="E910" s="45">
        <f t="shared" si="56"/>
        <v>0</v>
      </c>
      <c r="F910" s="127">
        <f t="shared" si="57"/>
        <v>0</v>
      </c>
      <c r="G910" s="151">
        <f>'Etude de cas n°1'!D910</f>
        <v>0</v>
      </c>
      <c r="H910" s="218"/>
      <c r="I910" s="218"/>
      <c r="J910" s="218"/>
      <c r="K910" s="218"/>
      <c r="L910" s="218"/>
      <c r="M910" s="218"/>
      <c r="N910" s="218"/>
    </row>
    <row r="911" spans="1:14" s="97" customFormat="1" ht="13.2" x14ac:dyDescent="0.25">
      <c r="A911" s="230" t="s">
        <v>2511</v>
      </c>
      <c r="B911" s="223" t="s">
        <v>2508</v>
      </c>
      <c r="C911" s="215" t="s">
        <v>1011</v>
      </c>
      <c r="D911" s="46"/>
      <c r="E911" s="45">
        <f t="shared" si="56"/>
        <v>0</v>
      </c>
      <c r="F911" s="127">
        <f t="shared" si="57"/>
        <v>0</v>
      </c>
      <c r="G911" s="151">
        <f>'Etude de cas n°1'!D911</f>
        <v>0</v>
      </c>
      <c r="H911" s="218"/>
      <c r="I911" s="218"/>
      <c r="J911" s="218"/>
      <c r="K911" s="218"/>
      <c r="L911" s="218"/>
      <c r="M911" s="218"/>
      <c r="N911" s="218"/>
    </row>
    <row r="912" spans="1:14" s="97" customFormat="1" ht="13.2" x14ac:dyDescent="0.25">
      <c r="A912" s="230" t="s">
        <v>275</v>
      </c>
      <c r="B912" s="223" t="s">
        <v>2512</v>
      </c>
      <c r="C912" s="215"/>
      <c r="D912" s="46"/>
      <c r="E912" s="45">
        <f t="shared" si="56"/>
        <v>0</v>
      </c>
      <c r="F912" s="127"/>
      <c r="G912" s="151"/>
      <c r="H912" s="218"/>
      <c r="I912" s="218"/>
      <c r="J912" s="218"/>
      <c r="K912" s="218"/>
      <c r="L912" s="218"/>
      <c r="M912" s="218"/>
      <c r="N912" s="218"/>
    </row>
    <row r="913" spans="1:14" s="97" customFormat="1" ht="13.2" x14ac:dyDescent="0.25">
      <c r="A913" s="230" t="s">
        <v>2513</v>
      </c>
      <c r="B913" s="223" t="s">
        <v>2506</v>
      </c>
      <c r="C913" s="217" t="s">
        <v>1011</v>
      </c>
      <c r="D913" s="46"/>
      <c r="E913" s="45">
        <f t="shared" si="56"/>
        <v>0</v>
      </c>
      <c r="F913" s="127">
        <f t="shared" si="57"/>
        <v>0</v>
      </c>
      <c r="G913" s="151">
        <f>'Etude de cas n°1'!D913</f>
        <v>0</v>
      </c>
      <c r="H913" s="218"/>
      <c r="I913" s="218"/>
      <c r="J913" s="218"/>
      <c r="K913" s="218"/>
      <c r="L913" s="218"/>
      <c r="M913" s="218"/>
      <c r="N913" s="218"/>
    </row>
    <row r="914" spans="1:14" s="97" customFormat="1" ht="13.2" x14ac:dyDescent="0.25">
      <c r="A914" s="230" t="s">
        <v>2514</v>
      </c>
      <c r="B914" s="223" t="s">
        <v>2508</v>
      </c>
      <c r="C914" s="215" t="s">
        <v>1011</v>
      </c>
      <c r="D914" s="46"/>
      <c r="E914" s="45">
        <f t="shared" si="56"/>
        <v>0</v>
      </c>
      <c r="F914" s="127">
        <f t="shared" si="57"/>
        <v>0</v>
      </c>
      <c r="G914" s="151">
        <f>'Etude de cas n°1'!D914</f>
        <v>0</v>
      </c>
      <c r="H914" s="218"/>
      <c r="I914" s="218"/>
      <c r="J914" s="218"/>
      <c r="K914" s="218"/>
      <c r="L914" s="218"/>
      <c r="M914" s="218"/>
      <c r="N914" s="218"/>
    </row>
    <row r="915" spans="1:14" s="97" customFormat="1" ht="13.2" x14ac:dyDescent="0.25">
      <c r="A915" s="230" t="s">
        <v>276</v>
      </c>
      <c r="B915" s="223" t="s">
        <v>2515</v>
      </c>
      <c r="C915" s="215" t="s">
        <v>1011</v>
      </c>
      <c r="D915" s="46"/>
      <c r="E915" s="45">
        <f t="shared" si="56"/>
        <v>0</v>
      </c>
      <c r="F915" s="127">
        <f t="shared" si="57"/>
        <v>0</v>
      </c>
      <c r="G915" s="151">
        <f>'Etude de cas n°1'!D915</f>
        <v>0</v>
      </c>
      <c r="H915" s="218"/>
      <c r="I915" s="218"/>
      <c r="J915" s="218"/>
      <c r="K915" s="218"/>
      <c r="L915" s="218"/>
      <c r="M915" s="218"/>
      <c r="N915" s="218"/>
    </row>
    <row r="916" spans="1:14" s="97" customFormat="1" ht="13.2" x14ac:dyDescent="0.25">
      <c r="A916" s="230" t="s">
        <v>2516</v>
      </c>
      <c r="B916" s="223" t="s">
        <v>2517</v>
      </c>
      <c r="C916" s="217"/>
      <c r="D916" s="46"/>
      <c r="E916" s="45"/>
      <c r="F916" s="127"/>
      <c r="G916" s="151"/>
      <c r="H916" s="218"/>
      <c r="I916" s="218"/>
      <c r="J916" s="218"/>
      <c r="K916" s="218"/>
      <c r="L916" s="218"/>
      <c r="M916" s="218"/>
      <c r="N916" s="218"/>
    </row>
    <row r="917" spans="1:14" s="97" customFormat="1" ht="13.2" x14ac:dyDescent="0.25">
      <c r="A917" s="230" t="s">
        <v>2518</v>
      </c>
      <c r="B917" s="223" t="s">
        <v>2519</v>
      </c>
      <c r="C917" s="215" t="s">
        <v>1011</v>
      </c>
      <c r="D917" s="46"/>
      <c r="E917" s="45">
        <f t="shared" si="56"/>
        <v>0</v>
      </c>
      <c r="F917" s="127">
        <f t="shared" si="57"/>
        <v>0</v>
      </c>
      <c r="G917" s="151">
        <f>'Etude de cas n°1'!D917</f>
        <v>0</v>
      </c>
      <c r="H917" s="218"/>
      <c r="I917" s="218"/>
      <c r="J917" s="218"/>
      <c r="K917" s="218"/>
      <c r="L917" s="218"/>
      <c r="M917" s="218"/>
      <c r="N917" s="218"/>
    </row>
    <row r="918" spans="1:14" s="97" customFormat="1" ht="13.2" x14ac:dyDescent="0.25">
      <c r="A918" s="230" t="s">
        <v>2520</v>
      </c>
      <c r="B918" s="223" t="s">
        <v>2521</v>
      </c>
      <c r="C918" s="215" t="s">
        <v>1011</v>
      </c>
      <c r="D918" s="46"/>
      <c r="E918" s="45">
        <f t="shared" si="56"/>
        <v>0</v>
      </c>
      <c r="F918" s="127">
        <f t="shared" si="57"/>
        <v>0</v>
      </c>
      <c r="G918" s="151">
        <f>'Etude de cas n°1'!D918</f>
        <v>0</v>
      </c>
      <c r="H918" s="218"/>
      <c r="I918" s="218"/>
      <c r="J918" s="218"/>
      <c r="K918" s="218"/>
      <c r="L918" s="218"/>
      <c r="M918" s="218"/>
      <c r="N918" s="218"/>
    </row>
    <row r="919" spans="1:14" s="101" customFormat="1" ht="12" customHeight="1" x14ac:dyDescent="0.25">
      <c r="A919" s="230" t="s">
        <v>2522</v>
      </c>
      <c r="B919" s="223" t="s">
        <v>2523</v>
      </c>
      <c r="C919" s="215" t="s">
        <v>1011</v>
      </c>
      <c r="D919" s="46"/>
      <c r="E919" s="45">
        <f t="shared" si="56"/>
        <v>0</v>
      </c>
      <c r="F919" s="127">
        <f t="shared" si="57"/>
        <v>0</v>
      </c>
      <c r="G919" s="151">
        <f>'Etude de cas n°1'!D919</f>
        <v>0</v>
      </c>
      <c r="H919" s="5"/>
      <c r="I919" s="5"/>
      <c r="J919" s="178"/>
      <c r="K919" s="178"/>
      <c r="L919" s="178"/>
      <c r="M919" s="178"/>
      <c r="N919" s="178"/>
    </row>
    <row r="920" spans="1:14" s="101" customFormat="1" ht="12" customHeight="1" x14ac:dyDescent="0.25">
      <c r="A920" s="230" t="s">
        <v>2524</v>
      </c>
      <c r="B920" s="223" t="s">
        <v>2525</v>
      </c>
      <c r="C920" s="215" t="s">
        <v>1011</v>
      </c>
      <c r="D920" s="120"/>
      <c r="E920" s="45">
        <f t="shared" si="56"/>
        <v>0</v>
      </c>
      <c r="F920" s="127">
        <f>D920*E920</f>
        <v>0</v>
      </c>
      <c r="G920" s="151">
        <f>'Etude de cas n°1'!D920</f>
        <v>0</v>
      </c>
      <c r="H920" s="5"/>
      <c r="I920" s="5"/>
      <c r="J920" s="178"/>
      <c r="K920" s="178"/>
      <c r="L920" s="178"/>
      <c r="M920" s="178"/>
      <c r="N920" s="178"/>
    </row>
    <row r="921" spans="1:14" s="101" customFormat="1" ht="12" customHeight="1" x14ac:dyDescent="0.25">
      <c r="A921" s="230" t="s">
        <v>2526</v>
      </c>
      <c r="B921" s="223" t="s">
        <v>2527</v>
      </c>
      <c r="C921" s="215" t="s">
        <v>1011</v>
      </c>
      <c r="D921" s="46"/>
      <c r="E921" s="45">
        <f t="shared" si="56"/>
        <v>0</v>
      </c>
      <c r="F921" s="127">
        <f t="shared" si="57"/>
        <v>0</v>
      </c>
      <c r="G921" s="151">
        <f>'Etude de cas n°1'!D921</f>
        <v>0</v>
      </c>
      <c r="H921" s="5"/>
      <c r="I921" s="5"/>
      <c r="J921" s="178"/>
      <c r="K921" s="178"/>
      <c r="L921" s="178"/>
      <c r="M921" s="178"/>
      <c r="N921" s="178"/>
    </row>
    <row r="922" spans="1:14" s="101" customFormat="1" ht="12" customHeight="1" x14ac:dyDescent="0.25">
      <c r="A922" s="230" t="s">
        <v>2528</v>
      </c>
      <c r="B922" s="223" t="s">
        <v>2529</v>
      </c>
      <c r="C922" s="215" t="s">
        <v>1011</v>
      </c>
      <c r="D922" s="46"/>
      <c r="E922" s="45">
        <f t="shared" si="56"/>
        <v>0</v>
      </c>
      <c r="F922" s="127">
        <f t="shared" si="57"/>
        <v>0</v>
      </c>
      <c r="G922" s="151">
        <f>'Etude de cas n°1'!D922</f>
        <v>0</v>
      </c>
      <c r="H922" s="5"/>
      <c r="I922" s="5"/>
      <c r="J922" s="178"/>
      <c r="K922" s="178"/>
      <c r="L922" s="178"/>
      <c r="M922" s="178"/>
      <c r="N922" s="178"/>
    </row>
    <row r="923" spans="1:14" s="101" customFormat="1" ht="12" customHeight="1" x14ac:dyDescent="0.25">
      <c r="A923" s="230" t="s">
        <v>2530</v>
      </c>
      <c r="B923" s="223" t="s">
        <v>2531</v>
      </c>
      <c r="C923" s="215"/>
      <c r="D923" s="46"/>
      <c r="E923" s="45"/>
      <c r="F923" s="127"/>
      <c r="G923" s="151"/>
      <c r="H923" s="5"/>
      <c r="I923" s="5"/>
      <c r="J923" s="178"/>
      <c r="K923" s="178"/>
      <c r="L923" s="178"/>
      <c r="M923" s="178"/>
      <c r="N923" s="178"/>
    </row>
    <row r="924" spans="1:14" s="101" customFormat="1" ht="12" customHeight="1" x14ac:dyDescent="0.25">
      <c r="A924" s="230" t="s">
        <v>2532</v>
      </c>
      <c r="B924" s="223" t="s">
        <v>2533</v>
      </c>
      <c r="C924" s="215" t="s">
        <v>1011</v>
      </c>
      <c r="D924" s="46"/>
      <c r="E924" s="45">
        <f t="shared" si="56"/>
        <v>0</v>
      </c>
      <c r="F924" s="127">
        <f t="shared" si="57"/>
        <v>0</v>
      </c>
      <c r="G924" s="151">
        <f>'Etude de cas n°1'!D924</f>
        <v>0</v>
      </c>
      <c r="H924" s="5"/>
      <c r="I924" s="5"/>
      <c r="J924" s="178"/>
      <c r="K924" s="178"/>
      <c r="L924" s="178"/>
      <c r="M924" s="178"/>
      <c r="N924" s="178"/>
    </row>
    <row r="925" spans="1:14" s="101" customFormat="1" ht="12" customHeight="1" x14ac:dyDescent="0.25">
      <c r="A925" s="230" t="s">
        <v>2534</v>
      </c>
      <c r="B925" s="223" t="s">
        <v>2535</v>
      </c>
      <c r="C925" s="215" t="s">
        <v>1011</v>
      </c>
      <c r="D925" s="46"/>
      <c r="E925" s="45">
        <f t="shared" si="56"/>
        <v>0</v>
      </c>
      <c r="F925" s="127">
        <f t="shared" si="57"/>
        <v>0</v>
      </c>
      <c r="G925" s="151">
        <f>'Etude de cas n°1'!D925</f>
        <v>0</v>
      </c>
      <c r="H925" s="5"/>
      <c r="I925" s="5"/>
      <c r="J925" s="178"/>
      <c r="K925" s="178"/>
      <c r="L925" s="178"/>
      <c r="M925" s="178"/>
      <c r="N925" s="178"/>
    </row>
    <row r="926" spans="1:14" s="101" customFormat="1" ht="12" customHeight="1" x14ac:dyDescent="0.25">
      <c r="A926" s="230" t="s">
        <v>2536</v>
      </c>
      <c r="B926" s="216" t="s">
        <v>2537</v>
      </c>
      <c r="C926" s="215" t="s">
        <v>1011</v>
      </c>
      <c r="D926" s="46"/>
      <c r="E926" s="45">
        <f t="shared" si="56"/>
        <v>0</v>
      </c>
      <c r="F926" s="127">
        <f t="shared" si="57"/>
        <v>0</v>
      </c>
      <c r="G926" s="151">
        <f>'Etude de cas n°1'!D926</f>
        <v>0</v>
      </c>
      <c r="H926" s="5"/>
      <c r="I926" s="5"/>
      <c r="J926" s="178"/>
      <c r="K926" s="178"/>
      <c r="L926" s="178"/>
      <c r="M926" s="178"/>
      <c r="N926" s="178"/>
    </row>
    <row r="927" spans="1:14" s="101" customFormat="1" ht="12" customHeight="1" x14ac:dyDescent="0.25">
      <c r="A927" s="230" t="s">
        <v>2538</v>
      </c>
      <c r="B927" s="216" t="s">
        <v>2539</v>
      </c>
      <c r="C927" s="217" t="s">
        <v>1011</v>
      </c>
      <c r="D927" s="46"/>
      <c r="E927" s="45">
        <f t="shared" si="56"/>
        <v>0</v>
      </c>
      <c r="F927" s="127">
        <f t="shared" si="57"/>
        <v>0</v>
      </c>
      <c r="G927" s="151">
        <f>'Etude de cas n°1'!D927</f>
        <v>0</v>
      </c>
      <c r="H927" s="5"/>
      <c r="I927" s="5"/>
      <c r="J927" s="178"/>
      <c r="K927" s="178"/>
      <c r="L927" s="178"/>
      <c r="M927" s="178"/>
      <c r="N927" s="178"/>
    </row>
    <row r="928" spans="1:14" s="101" customFormat="1" ht="12" customHeight="1" x14ac:dyDescent="0.25">
      <c r="A928" s="230" t="s">
        <v>2540</v>
      </c>
      <c r="B928" s="216" t="s">
        <v>2541</v>
      </c>
      <c r="C928" s="215" t="s">
        <v>1011</v>
      </c>
      <c r="D928" s="46"/>
      <c r="E928" s="45">
        <f t="shared" si="56"/>
        <v>0</v>
      </c>
      <c r="F928" s="127">
        <f t="shared" si="57"/>
        <v>0</v>
      </c>
      <c r="G928" s="151">
        <f>'Etude de cas n°1'!D928</f>
        <v>0</v>
      </c>
      <c r="H928" s="5"/>
      <c r="I928" s="5"/>
      <c r="J928" s="178"/>
      <c r="K928" s="178"/>
      <c r="L928" s="178"/>
      <c r="M928" s="178"/>
      <c r="N928" s="178"/>
    </row>
    <row r="929" spans="1:14" s="101" customFormat="1" ht="12" customHeight="1" x14ac:dyDescent="0.25">
      <c r="A929" s="230" t="s">
        <v>2542</v>
      </c>
      <c r="B929" s="216" t="s">
        <v>2543</v>
      </c>
      <c r="C929" s="215" t="s">
        <v>1011</v>
      </c>
      <c r="D929" s="46"/>
      <c r="E929" s="45">
        <f t="shared" ref="E929:E992" si="58">G929</f>
        <v>0</v>
      </c>
      <c r="F929" s="127">
        <f t="shared" si="57"/>
        <v>0</v>
      </c>
      <c r="G929" s="151">
        <f>'Etude de cas n°1'!D929</f>
        <v>0</v>
      </c>
      <c r="H929" s="5"/>
      <c r="I929" s="5"/>
      <c r="J929" s="178"/>
      <c r="K929" s="178"/>
      <c r="L929" s="178"/>
      <c r="M929" s="178"/>
      <c r="N929" s="178"/>
    </row>
    <row r="930" spans="1:14" s="101" customFormat="1" ht="12" customHeight="1" x14ac:dyDescent="0.25">
      <c r="A930" s="230" t="s">
        <v>2544</v>
      </c>
      <c r="B930" s="216" t="s">
        <v>2545</v>
      </c>
      <c r="C930" s="215" t="s">
        <v>1011</v>
      </c>
      <c r="D930" s="46"/>
      <c r="E930" s="45">
        <f t="shared" si="58"/>
        <v>0</v>
      </c>
      <c r="F930" s="127">
        <f t="shared" ref="F930:F993" si="59">D930*E930</f>
        <v>0</v>
      </c>
      <c r="G930" s="151">
        <f>'Etude de cas n°1'!D930</f>
        <v>0</v>
      </c>
      <c r="H930" s="5"/>
      <c r="I930" s="5"/>
      <c r="J930" s="178"/>
      <c r="K930" s="178"/>
      <c r="L930" s="178"/>
      <c r="M930" s="178"/>
      <c r="N930" s="178"/>
    </row>
    <row r="931" spans="1:14" s="101" customFormat="1" ht="12" customHeight="1" x14ac:dyDescent="0.25">
      <c r="A931" s="230" t="s">
        <v>2546</v>
      </c>
      <c r="B931" s="216" t="s">
        <v>2547</v>
      </c>
      <c r="C931" s="215" t="s">
        <v>1011</v>
      </c>
      <c r="D931" s="46"/>
      <c r="E931" s="45">
        <f t="shared" si="58"/>
        <v>0</v>
      </c>
      <c r="F931" s="127">
        <f t="shared" si="59"/>
        <v>0</v>
      </c>
      <c r="G931" s="151">
        <f>'Etude de cas n°1'!D931</f>
        <v>0</v>
      </c>
      <c r="H931" s="5"/>
      <c r="I931" s="5"/>
      <c r="J931" s="178"/>
      <c r="K931" s="178"/>
      <c r="L931" s="178"/>
      <c r="M931" s="178"/>
      <c r="N931" s="178"/>
    </row>
    <row r="932" spans="1:14" s="101" customFormat="1" ht="12" customHeight="1" x14ac:dyDescent="0.25">
      <c r="A932" s="230" t="s">
        <v>2548</v>
      </c>
      <c r="B932" s="216" t="s">
        <v>2549</v>
      </c>
      <c r="C932" s="215" t="s">
        <v>1011</v>
      </c>
      <c r="D932" s="46"/>
      <c r="E932" s="45">
        <f t="shared" si="58"/>
        <v>0</v>
      </c>
      <c r="F932" s="127">
        <f t="shared" si="59"/>
        <v>0</v>
      </c>
      <c r="G932" s="151">
        <f>'Etude de cas n°1'!D932</f>
        <v>0</v>
      </c>
      <c r="H932" s="5"/>
      <c r="I932" s="5"/>
      <c r="J932" s="178"/>
      <c r="K932" s="178"/>
      <c r="L932" s="178"/>
      <c r="M932" s="178"/>
      <c r="N932" s="178"/>
    </row>
    <row r="933" spans="1:14" s="101" customFormat="1" ht="12" customHeight="1" x14ac:dyDescent="0.25">
      <c r="A933" s="230" t="s">
        <v>2550</v>
      </c>
      <c r="B933" s="216" t="s">
        <v>2551</v>
      </c>
      <c r="C933" s="215"/>
      <c r="D933" s="46"/>
      <c r="E933" s="45"/>
      <c r="F933" s="127"/>
      <c r="G933" s="151"/>
      <c r="H933" s="5"/>
      <c r="I933" s="5"/>
      <c r="J933" s="178"/>
      <c r="K933" s="178"/>
      <c r="L933" s="178"/>
      <c r="M933" s="178"/>
      <c r="N933" s="178"/>
    </row>
    <row r="934" spans="1:14" s="101" customFormat="1" ht="12" customHeight="1" x14ac:dyDescent="0.25">
      <c r="A934" s="230" t="s">
        <v>2552</v>
      </c>
      <c r="B934" s="216" t="s">
        <v>2553</v>
      </c>
      <c r="C934" s="215" t="s">
        <v>1034</v>
      </c>
      <c r="D934" s="46"/>
      <c r="E934" s="45">
        <f t="shared" si="58"/>
        <v>0</v>
      </c>
      <c r="F934" s="127">
        <f t="shared" si="59"/>
        <v>0</v>
      </c>
      <c r="G934" s="151">
        <f>'Etude de cas n°1'!D934</f>
        <v>0</v>
      </c>
      <c r="H934" s="5"/>
      <c r="I934" s="5"/>
      <c r="J934" s="178"/>
      <c r="K934" s="178"/>
      <c r="L934" s="178"/>
      <c r="M934" s="178"/>
      <c r="N934" s="178"/>
    </row>
    <row r="935" spans="1:14" s="101" customFormat="1" ht="12" customHeight="1" x14ac:dyDescent="0.25">
      <c r="A935" s="230" t="s">
        <v>2554</v>
      </c>
      <c r="B935" s="216" t="s">
        <v>2555</v>
      </c>
      <c r="C935" s="215" t="s">
        <v>1034</v>
      </c>
      <c r="D935" s="46"/>
      <c r="E935" s="45">
        <f t="shared" si="58"/>
        <v>0</v>
      </c>
      <c r="F935" s="127">
        <f t="shared" si="59"/>
        <v>0</v>
      </c>
      <c r="G935" s="151">
        <f>'Etude de cas n°1'!D935</f>
        <v>0</v>
      </c>
      <c r="H935" s="5"/>
      <c r="I935" s="5"/>
      <c r="J935" s="178"/>
      <c r="K935" s="178"/>
      <c r="L935" s="178"/>
      <c r="M935" s="178"/>
      <c r="N935" s="178"/>
    </row>
    <row r="936" spans="1:14" s="101" customFormat="1" ht="12" customHeight="1" x14ac:dyDescent="0.25">
      <c r="A936" s="230" t="s">
        <v>2556</v>
      </c>
      <c r="B936" s="216" t="s">
        <v>2557</v>
      </c>
      <c r="C936" s="215" t="s">
        <v>1034</v>
      </c>
      <c r="D936" s="46"/>
      <c r="E936" s="45">
        <f t="shared" si="58"/>
        <v>0</v>
      </c>
      <c r="F936" s="127">
        <f t="shared" si="59"/>
        <v>0</v>
      </c>
      <c r="G936" s="151">
        <f>'Etude de cas n°1'!D936</f>
        <v>0</v>
      </c>
      <c r="H936" s="5"/>
      <c r="I936" s="5"/>
      <c r="J936" s="178"/>
      <c r="K936" s="178"/>
      <c r="L936" s="178"/>
      <c r="M936" s="178"/>
      <c r="N936" s="178"/>
    </row>
    <row r="937" spans="1:14" s="102" customFormat="1" ht="12" customHeight="1" x14ac:dyDescent="0.25">
      <c r="A937" s="230" t="s">
        <v>2558</v>
      </c>
      <c r="B937" s="216" t="s">
        <v>2559</v>
      </c>
      <c r="C937" s="217" t="s">
        <v>1034</v>
      </c>
      <c r="D937" s="46"/>
      <c r="E937" s="45">
        <f t="shared" si="58"/>
        <v>0</v>
      </c>
      <c r="F937" s="127">
        <f t="shared" si="59"/>
        <v>0</v>
      </c>
      <c r="G937" s="151">
        <f>'Etude de cas n°1'!D937</f>
        <v>0</v>
      </c>
      <c r="H937" s="8"/>
      <c r="I937" s="8"/>
      <c r="J937" s="179"/>
      <c r="K937" s="179"/>
      <c r="L937" s="179"/>
      <c r="M937" s="179"/>
      <c r="N937" s="179"/>
    </row>
    <row r="938" spans="1:14" s="103" customFormat="1" ht="13.2" x14ac:dyDescent="0.25">
      <c r="A938" s="133" t="s">
        <v>2560</v>
      </c>
      <c r="B938" s="4" t="s">
        <v>2561</v>
      </c>
      <c r="C938" s="215"/>
      <c r="D938" s="46"/>
      <c r="E938" s="45"/>
      <c r="F938" s="127"/>
      <c r="G938" s="151"/>
      <c r="H938" s="5"/>
      <c r="I938" s="5"/>
      <c r="J938" s="180"/>
      <c r="K938" s="180"/>
      <c r="L938" s="180"/>
      <c r="M938" s="180"/>
      <c r="N938" s="180"/>
    </row>
    <row r="939" spans="1:14" s="103" customFormat="1" ht="13.2" x14ac:dyDescent="0.25">
      <c r="A939" s="230" t="s">
        <v>277</v>
      </c>
      <c r="B939" s="216" t="s">
        <v>2562</v>
      </c>
      <c r="C939" s="215" t="s">
        <v>1034</v>
      </c>
      <c r="D939" s="46"/>
      <c r="E939" s="45">
        <f t="shared" si="58"/>
        <v>0</v>
      </c>
      <c r="F939" s="127">
        <f t="shared" si="59"/>
        <v>0</v>
      </c>
      <c r="G939" s="151">
        <f>'Etude de cas n°1'!D939</f>
        <v>0</v>
      </c>
      <c r="H939" s="5"/>
      <c r="I939" s="5"/>
      <c r="J939" s="180"/>
      <c r="K939" s="180"/>
      <c r="L939" s="180"/>
      <c r="M939" s="180"/>
      <c r="N939" s="180"/>
    </row>
    <row r="940" spans="1:14" s="103" customFormat="1" ht="13.2" x14ac:dyDescent="0.25">
      <c r="A940" s="230" t="s">
        <v>278</v>
      </c>
      <c r="B940" s="216" t="s">
        <v>2563</v>
      </c>
      <c r="C940" s="215" t="s">
        <v>1034</v>
      </c>
      <c r="D940" s="46"/>
      <c r="E940" s="45">
        <f t="shared" si="58"/>
        <v>0</v>
      </c>
      <c r="F940" s="127">
        <f t="shared" si="59"/>
        <v>0</v>
      </c>
      <c r="G940" s="151">
        <f>'Etude de cas n°1'!D940</f>
        <v>0</v>
      </c>
      <c r="H940" s="5"/>
      <c r="I940" s="5"/>
      <c r="J940" s="180"/>
      <c r="K940" s="180"/>
      <c r="L940" s="180"/>
      <c r="M940" s="180"/>
      <c r="N940" s="180"/>
    </row>
    <row r="941" spans="1:14" s="103" customFormat="1" ht="13.2" x14ac:dyDescent="0.25">
      <c r="A941" s="230" t="s">
        <v>279</v>
      </c>
      <c r="B941" s="216" t="s">
        <v>2564</v>
      </c>
      <c r="C941" s="215" t="s">
        <v>1011</v>
      </c>
      <c r="D941" s="46"/>
      <c r="E941" s="45">
        <f t="shared" si="58"/>
        <v>0</v>
      </c>
      <c r="F941" s="127">
        <f t="shared" si="59"/>
        <v>0</v>
      </c>
      <c r="G941" s="151">
        <f>'Etude de cas n°1'!D941</f>
        <v>0</v>
      </c>
      <c r="H941" s="5"/>
      <c r="I941" s="5"/>
      <c r="J941" s="180"/>
      <c r="K941" s="180"/>
      <c r="L941" s="180"/>
      <c r="M941" s="180"/>
      <c r="N941" s="180"/>
    </row>
    <row r="942" spans="1:14" s="103" customFormat="1" ht="13.2" x14ac:dyDescent="0.25">
      <c r="A942" s="230" t="s">
        <v>280</v>
      </c>
      <c r="B942" s="216" t="s">
        <v>2565</v>
      </c>
      <c r="C942" s="217" t="s">
        <v>1011</v>
      </c>
      <c r="D942" s="46"/>
      <c r="E942" s="45">
        <f t="shared" si="58"/>
        <v>0</v>
      </c>
      <c r="F942" s="127">
        <f t="shared" si="59"/>
        <v>0</v>
      </c>
      <c r="G942" s="151">
        <f>'Etude de cas n°1'!D942</f>
        <v>0</v>
      </c>
      <c r="H942" s="5"/>
      <c r="I942" s="5"/>
      <c r="J942" s="180"/>
      <c r="K942" s="180"/>
      <c r="L942" s="180"/>
      <c r="M942" s="180"/>
      <c r="N942" s="180"/>
    </row>
    <row r="943" spans="1:14" s="103" customFormat="1" ht="13.2" x14ac:dyDescent="0.25">
      <c r="A943" s="230" t="s">
        <v>281</v>
      </c>
      <c r="B943" s="223" t="s">
        <v>2566</v>
      </c>
      <c r="C943" s="215" t="s">
        <v>1011</v>
      </c>
      <c r="D943" s="46"/>
      <c r="E943" s="45">
        <f t="shared" si="58"/>
        <v>0</v>
      </c>
      <c r="F943" s="127">
        <f t="shared" si="59"/>
        <v>0</v>
      </c>
      <c r="G943" s="151">
        <f>'Etude de cas n°1'!D943</f>
        <v>0</v>
      </c>
      <c r="H943" s="5"/>
      <c r="I943" s="5"/>
      <c r="J943" s="180"/>
      <c r="K943" s="180"/>
      <c r="L943" s="180"/>
      <c r="M943" s="180"/>
      <c r="N943" s="180"/>
    </row>
    <row r="944" spans="1:14" s="103" customFormat="1" ht="13.2" x14ac:dyDescent="0.25">
      <c r="A944" s="230" t="s">
        <v>282</v>
      </c>
      <c r="B944" s="223" t="s">
        <v>2567</v>
      </c>
      <c r="C944" s="215" t="s">
        <v>1011</v>
      </c>
      <c r="D944" s="46"/>
      <c r="E944" s="45">
        <f t="shared" si="58"/>
        <v>0</v>
      </c>
      <c r="F944" s="127">
        <f t="shared" si="59"/>
        <v>0</v>
      </c>
      <c r="G944" s="151">
        <f>'Etude de cas n°1'!D944</f>
        <v>0</v>
      </c>
      <c r="H944" s="5"/>
      <c r="I944" s="5"/>
      <c r="J944" s="180"/>
      <c r="K944" s="180"/>
      <c r="L944" s="180"/>
      <c r="M944" s="180"/>
      <c r="N944" s="180"/>
    </row>
    <row r="945" spans="1:14" s="103" customFormat="1" ht="13.2" x14ac:dyDescent="0.25">
      <c r="A945" s="133" t="s">
        <v>2568</v>
      </c>
      <c r="B945" s="6" t="s">
        <v>2569</v>
      </c>
      <c r="C945" s="215"/>
      <c r="D945" s="46"/>
      <c r="E945" s="45"/>
      <c r="F945" s="127"/>
      <c r="G945" s="151"/>
      <c r="H945" s="5"/>
      <c r="I945" s="5"/>
      <c r="J945" s="180"/>
      <c r="K945" s="180"/>
      <c r="L945" s="180"/>
      <c r="M945" s="180"/>
      <c r="N945" s="180"/>
    </row>
    <row r="946" spans="1:14" s="103" customFormat="1" ht="13.2" x14ac:dyDescent="0.25">
      <c r="A946" s="230" t="s">
        <v>288</v>
      </c>
      <c r="B946" s="223" t="s">
        <v>2570</v>
      </c>
      <c r="C946" s="215"/>
      <c r="D946" s="46"/>
      <c r="E946" s="45"/>
      <c r="F946" s="127"/>
      <c r="G946" s="151"/>
      <c r="H946" s="5"/>
      <c r="I946" s="5"/>
      <c r="J946" s="180"/>
      <c r="K946" s="180"/>
      <c r="L946" s="180"/>
      <c r="M946" s="180"/>
      <c r="N946" s="180"/>
    </row>
    <row r="947" spans="1:14" s="103" customFormat="1" ht="13.2" x14ac:dyDescent="0.25">
      <c r="A947" s="230" t="s">
        <v>2571</v>
      </c>
      <c r="B947" s="223" t="s">
        <v>2572</v>
      </c>
      <c r="C947" s="215" t="s">
        <v>1011</v>
      </c>
      <c r="D947" s="46"/>
      <c r="E947" s="45">
        <f t="shared" si="58"/>
        <v>0</v>
      </c>
      <c r="F947" s="127">
        <f t="shared" si="59"/>
        <v>0</v>
      </c>
      <c r="G947" s="151">
        <f>'Etude de cas n°1'!D947</f>
        <v>0</v>
      </c>
      <c r="H947" s="5"/>
      <c r="I947" s="5"/>
      <c r="J947" s="180"/>
      <c r="K947" s="180"/>
      <c r="L947" s="180"/>
      <c r="M947" s="180"/>
      <c r="N947" s="180"/>
    </row>
    <row r="948" spans="1:14" s="103" customFormat="1" ht="13.2" x14ac:dyDescent="0.25">
      <c r="A948" s="230" t="s">
        <v>2573</v>
      </c>
      <c r="B948" s="223" t="s">
        <v>2574</v>
      </c>
      <c r="C948" s="215" t="s">
        <v>1011</v>
      </c>
      <c r="D948" s="46"/>
      <c r="E948" s="45">
        <f t="shared" si="58"/>
        <v>0</v>
      </c>
      <c r="F948" s="127">
        <f t="shared" si="59"/>
        <v>0</v>
      </c>
      <c r="G948" s="151">
        <f>'Etude de cas n°1'!D948</f>
        <v>0</v>
      </c>
      <c r="H948" s="5"/>
      <c r="I948" s="5"/>
      <c r="J948" s="180"/>
      <c r="K948" s="180"/>
      <c r="L948" s="180"/>
      <c r="M948" s="180"/>
      <c r="N948" s="180"/>
    </row>
    <row r="949" spans="1:14" s="94" customFormat="1" ht="13.2" x14ac:dyDescent="0.25">
      <c r="A949" s="230" t="s">
        <v>289</v>
      </c>
      <c r="B949" s="216" t="s">
        <v>2575</v>
      </c>
      <c r="C949" s="217"/>
      <c r="D949" s="46"/>
      <c r="E949" s="45"/>
      <c r="F949" s="127"/>
      <c r="G949" s="151"/>
      <c r="H949" s="19"/>
      <c r="I949" s="19"/>
      <c r="J949" s="19"/>
      <c r="K949" s="19"/>
      <c r="L949" s="19"/>
      <c r="M949" s="19"/>
      <c r="N949" s="19"/>
    </row>
    <row r="950" spans="1:14" s="97" customFormat="1" ht="13.2" x14ac:dyDescent="0.25">
      <c r="A950" s="230" t="s">
        <v>2576</v>
      </c>
      <c r="B950" s="216" t="s">
        <v>2577</v>
      </c>
      <c r="C950" s="217"/>
      <c r="D950" s="46"/>
      <c r="E950" s="45"/>
      <c r="F950" s="127"/>
      <c r="G950" s="151"/>
      <c r="H950" s="218"/>
      <c r="I950" s="218"/>
      <c r="J950" s="218"/>
      <c r="K950" s="218"/>
      <c r="L950" s="218"/>
      <c r="M950" s="218"/>
      <c r="N950" s="218"/>
    </row>
    <row r="951" spans="1:14" s="97" customFormat="1" ht="13.2" x14ac:dyDescent="0.25">
      <c r="A951" s="230" t="s">
        <v>2578</v>
      </c>
      <c r="B951" s="216" t="s">
        <v>2579</v>
      </c>
      <c r="C951" s="215" t="s">
        <v>1011</v>
      </c>
      <c r="D951" s="46"/>
      <c r="E951" s="45">
        <f t="shared" si="58"/>
        <v>0</v>
      </c>
      <c r="F951" s="127">
        <f t="shared" si="59"/>
        <v>0</v>
      </c>
      <c r="G951" s="151">
        <f>'Etude de cas n°1'!D951</f>
        <v>0</v>
      </c>
      <c r="H951" s="218"/>
      <c r="I951" s="218"/>
      <c r="J951" s="218"/>
      <c r="K951" s="218"/>
      <c r="L951" s="218"/>
      <c r="M951" s="218"/>
      <c r="N951" s="218"/>
    </row>
    <row r="952" spans="1:14" s="97" customFormat="1" ht="13.2" x14ac:dyDescent="0.25">
      <c r="A952" s="230" t="s">
        <v>2580</v>
      </c>
      <c r="B952" s="216" t="s">
        <v>2581</v>
      </c>
      <c r="C952" s="215" t="s">
        <v>1011</v>
      </c>
      <c r="D952" s="46"/>
      <c r="E952" s="45">
        <f t="shared" si="58"/>
        <v>0</v>
      </c>
      <c r="F952" s="127">
        <f t="shared" si="59"/>
        <v>0</v>
      </c>
      <c r="G952" s="151">
        <f>'Etude de cas n°1'!D952</f>
        <v>0</v>
      </c>
      <c r="H952" s="218"/>
      <c r="I952" s="218"/>
      <c r="J952" s="218"/>
      <c r="K952" s="218"/>
      <c r="L952" s="218"/>
      <c r="M952" s="218"/>
      <c r="N952" s="218"/>
    </row>
    <row r="953" spans="1:14" s="94" customFormat="1" ht="13.2" x14ac:dyDescent="0.25">
      <c r="A953" s="230" t="s">
        <v>2582</v>
      </c>
      <c r="B953" s="216" t="s">
        <v>2583</v>
      </c>
      <c r="C953" s="217" t="s">
        <v>1011</v>
      </c>
      <c r="D953" s="46"/>
      <c r="E953" s="45">
        <f t="shared" si="58"/>
        <v>0</v>
      </c>
      <c r="F953" s="127">
        <f t="shared" si="59"/>
        <v>0</v>
      </c>
      <c r="G953" s="151">
        <f>'Etude de cas n°1'!D953</f>
        <v>0</v>
      </c>
      <c r="H953" s="19"/>
      <c r="I953" s="19"/>
      <c r="J953" s="19"/>
      <c r="K953" s="19"/>
      <c r="L953" s="19"/>
      <c r="M953" s="19"/>
      <c r="N953" s="19"/>
    </row>
    <row r="954" spans="1:14" s="94" customFormat="1" ht="13.2" x14ac:dyDescent="0.25">
      <c r="A954" s="230" t="s">
        <v>2584</v>
      </c>
      <c r="B954" s="216" t="s">
        <v>2585</v>
      </c>
      <c r="C954" s="217" t="s">
        <v>1011</v>
      </c>
      <c r="D954" s="46"/>
      <c r="E954" s="45">
        <f t="shared" si="58"/>
        <v>0</v>
      </c>
      <c r="F954" s="127">
        <f t="shared" si="59"/>
        <v>0</v>
      </c>
      <c r="G954" s="151">
        <f>'Etude de cas n°1'!D954</f>
        <v>0</v>
      </c>
      <c r="H954" s="19"/>
      <c r="I954" s="19"/>
      <c r="J954" s="19"/>
      <c r="K954" s="19"/>
      <c r="L954" s="19"/>
      <c r="M954" s="19"/>
      <c r="N954" s="19"/>
    </row>
    <row r="955" spans="1:14" s="97" customFormat="1" ht="13.2" x14ac:dyDescent="0.25">
      <c r="A955" s="230" t="s">
        <v>2586</v>
      </c>
      <c r="B955" s="216" t="s">
        <v>2587</v>
      </c>
      <c r="C955" s="215" t="s">
        <v>1011</v>
      </c>
      <c r="D955" s="46"/>
      <c r="E955" s="45">
        <f t="shared" si="58"/>
        <v>0</v>
      </c>
      <c r="F955" s="127">
        <f t="shared" si="59"/>
        <v>0</v>
      </c>
      <c r="G955" s="151">
        <f>'Etude de cas n°1'!D955</f>
        <v>0</v>
      </c>
      <c r="H955" s="218"/>
      <c r="I955" s="218"/>
      <c r="J955" s="218"/>
      <c r="K955" s="218"/>
      <c r="L955" s="218"/>
      <c r="M955" s="218"/>
      <c r="N955" s="218"/>
    </row>
    <row r="956" spans="1:14" s="97" customFormat="1" ht="13.2" x14ac:dyDescent="0.25">
      <c r="A956" s="230" t="s">
        <v>2588</v>
      </c>
      <c r="B956" s="216" t="s">
        <v>2589</v>
      </c>
      <c r="C956" s="215" t="s">
        <v>1011</v>
      </c>
      <c r="D956" s="46"/>
      <c r="E956" s="45">
        <f t="shared" si="58"/>
        <v>0</v>
      </c>
      <c r="F956" s="127">
        <f t="shared" si="59"/>
        <v>0</v>
      </c>
      <c r="G956" s="151">
        <f>'Etude de cas n°1'!D956</f>
        <v>0</v>
      </c>
      <c r="H956" s="218"/>
      <c r="I956" s="218"/>
      <c r="J956" s="218"/>
      <c r="K956" s="218"/>
      <c r="L956" s="218"/>
      <c r="M956" s="218"/>
      <c r="N956" s="218"/>
    </row>
    <row r="957" spans="1:14" s="97" customFormat="1" ht="13.2" x14ac:dyDescent="0.25">
      <c r="A957" s="230" t="s">
        <v>2590</v>
      </c>
      <c r="B957" s="216" t="s">
        <v>2591</v>
      </c>
      <c r="C957" s="215" t="s">
        <v>1011</v>
      </c>
      <c r="D957" s="46"/>
      <c r="E957" s="45">
        <f t="shared" si="58"/>
        <v>0</v>
      </c>
      <c r="F957" s="127">
        <f t="shared" si="59"/>
        <v>0</v>
      </c>
      <c r="G957" s="151">
        <f>'Etude de cas n°1'!D957</f>
        <v>0</v>
      </c>
      <c r="H957" s="218"/>
      <c r="I957" s="218"/>
      <c r="J957" s="218"/>
      <c r="K957" s="218"/>
      <c r="L957" s="218"/>
      <c r="M957" s="218"/>
      <c r="N957" s="218"/>
    </row>
    <row r="958" spans="1:14" s="97" customFormat="1" ht="13.2" x14ac:dyDescent="0.25">
      <c r="A958" s="230" t="s">
        <v>2592</v>
      </c>
      <c r="B958" s="216" t="s">
        <v>2593</v>
      </c>
      <c r="C958" s="215" t="s">
        <v>1011</v>
      </c>
      <c r="D958" s="46"/>
      <c r="E958" s="45">
        <f t="shared" si="58"/>
        <v>0</v>
      </c>
      <c r="F958" s="127">
        <f t="shared" si="59"/>
        <v>0</v>
      </c>
      <c r="G958" s="151">
        <f>'Etude de cas n°1'!D958</f>
        <v>0</v>
      </c>
      <c r="H958" s="218"/>
      <c r="I958" s="218"/>
      <c r="J958" s="218"/>
      <c r="K958" s="218"/>
      <c r="L958" s="218"/>
      <c r="M958" s="218"/>
      <c r="N958" s="218"/>
    </row>
    <row r="959" spans="1:14" s="97" customFormat="1" ht="13.2" x14ac:dyDescent="0.25">
      <c r="A959" s="230" t="s">
        <v>2594</v>
      </c>
      <c r="B959" s="216" t="s">
        <v>2595</v>
      </c>
      <c r="C959" s="215" t="s">
        <v>1011</v>
      </c>
      <c r="D959" s="46"/>
      <c r="E959" s="45">
        <f t="shared" si="58"/>
        <v>0</v>
      </c>
      <c r="F959" s="127">
        <f t="shared" si="59"/>
        <v>0</v>
      </c>
      <c r="G959" s="151">
        <f>'Etude de cas n°1'!D959</f>
        <v>0</v>
      </c>
      <c r="H959" s="218"/>
      <c r="I959" s="218"/>
      <c r="J959" s="218"/>
      <c r="K959" s="218"/>
      <c r="L959" s="218"/>
      <c r="M959" s="218"/>
      <c r="N959" s="218"/>
    </row>
    <row r="960" spans="1:14" s="97" customFormat="1" ht="13.2" x14ac:dyDescent="0.25">
      <c r="A960" s="230" t="s">
        <v>2596</v>
      </c>
      <c r="B960" s="216" t="s">
        <v>2597</v>
      </c>
      <c r="C960" s="215"/>
      <c r="D960" s="46"/>
      <c r="E960" s="45"/>
      <c r="F960" s="127"/>
      <c r="G960" s="151"/>
      <c r="H960" s="218"/>
      <c r="I960" s="218"/>
      <c r="J960" s="218"/>
      <c r="K960" s="218"/>
      <c r="L960" s="218"/>
      <c r="M960" s="218"/>
      <c r="N960" s="218"/>
    </row>
    <row r="961" spans="1:14" s="97" customFormat="1" ht="13.2" x14ac:dyDescent="0.25">
      <c r="A961" s="230" t="s">
        <v>2598</v>
      </c>
      <c r="B961" s="216" t="s">
        <v>2599</v>
      </c>
      <c r="C961" s="215" t="s">
        <v>1011</v>
      </c>
      <c r="D961" s="46"/>
      <c r="E961" s="45">
        <f t="shared" si="58"/>
        <v>0</v>
      </c>
      <c r="F961" s="127">
        <f t="shared" si="59"/>
        <v>0</v>
      </c>
      <c r="G961" s="151">
        <f>'Etude de cas n°1'!D961</f>
        <v>0</v>
      </c>
      <c r="H961" s="218"/>
      <c r="I961" s="218"/>
      <c r="J961" s="218"/>
      <c r="K961" s="218"/>
      <c r="L961" s="218"/>
      <c r="M961" s="218"/>
      <c r="N961" s="218"/>
    </row>
    <row r="962" spans="1:14" s="94" customFormat="1" ht="26.25" customHeight="1" x14ac:dyDescent="0.25">
      <c r="A962" s="230" t="s">
        <v>2600</v>
      </c>
      <c r="B962" s="216" t="s">
        <v>2601</v>
      </c>
      <c r="C962" s="215" t="s">
        <v>1011</v>
      </c>
      <c r="D962" s="46"/>
      <c r="E962" s="45">
        <f t="shared" si="58"/>
        <v>0</v>
      </c>
      <c r="F962" s="127">
        <f t="shared" si="59"/>
        <v>0</v>
      </c>
      <c r="G962" s="151">
        <f>'Etude de cas n°1'!D962</f>
        <v>0</v>
      </c>
      <c r="H962" s="19"/>
      <c r="I962" s="19"/>
      <c r="J962" s="19"/>
      <c r="K962" s="19"/>
      <c r="L962" s="19"/>
      <c r="M962" s="19"/>
      <c r="N962" s="19"/>
    </row>
    <row r="963" spans="1:14" s="94" customFormat="1" ht="13.2" x14ac:dyDescent="0.25">
      <c r="A963" s="230" t="s">
        <v>2602</v>
      </c>
      <c r="B963" s="216" t="s">
        <v>2603</v>
      </c>
      <c r="C963" s="215" t="s">
        <v>1011</v>
      </c>
      <c r="D963" s="46"/>
      <c r="E963" s="45">
        <f t="shared" si="58"/>
        <v>0</v>
      </c>
      <c r="F963" s="127">
        <f t="shared" si="59"/>
        <v>0</v>
      </c>
      <c r="G963" s="151">
        <f>'Etude de cas n°1'!D963</f>
        <v>0</v>
      </c>
      <c r="H963" s="19"/>
      <c r="I963" s="19"/>
      <c r="J963" s="19"/>
      <c r="K963" s="19"/>
      <c r="L963" s="19"/>
      <c r="M963" s="19"/>
      <c r="N963" s="19"/>
    </row>
    <row r="964" spans="1:14" s="94" customFormat="1" ht="13.2" x14ac:dyDescent="0.25">
      <c r="A964" s="230" t="s">
        <v>2604</v>
      </c>
      <c r="B964" s="216" t="s">
        <v>2605</v>
      </c>
      <c r="C964" s="217"/>
      <c r="D964" s="46"/>
      <c r="E964" s="45"/>
      <c r="F964" s="127"/>
      <c r="G964" s="151"/>
      <c r="H964" s="19"/>
      <c r="I964" s="19"/>
      <c r="J964" s="19"/>
      <c r="K964" s="19"/>
      <c r="L964" s="19"/>
      <c r="M964" s="19"/>
      <c r="N964" s="19"/>
    </row>
    <row r="965" spans="1:14" s="94" customFormat="1" ht="13.2" x14ac:dyDescent="0.25">
      <c r="A965" s="230" t="s">
        <v>2606</v>
      </c>
      <c r="B965" s="216" t="s">
        <v>2607</v>
      </c>
      <c r="C965" s="215" t="s">
        <v>1011</v>
      </c>
      <c r="D965" s="46"/>
      <c r="E965" s="45">
        <f t="shared" si="58"/>
        <v>0</v>
      </c>
      <c r="F965" s="127">
        <f t="shared" si="59"/>
        <v>0</v>
      </c>
      <c r="G965" s="151">
        <f>'Etude de cas n°1'!D965</f>
        <v>0</v>
      </c>
      <c r="H965" s="19"/>
      <c r="I965" s="19"/>
      <c r="J965" s="19"/>
      <c r="K965" s="19"/>
      <c r="L965" s="19"/>
      <c r="M965" s="19"/>
      <c r="N965" s="19"/>
    </row>
    <row r="966" spans="1:14" s="94" customFormat="1" ht="13.2" x14ac:dyDescent="0.25">
      <c r="A966" s="230" t="s">
        <v>2608</v>
      </c>
      <c r="B966" s="216" t="s">
        <v>2609</v>
      </c>
      <c r="C966" s="215" t="s">
        <v>1011</v>
      </c>
      <c r="D966" s="46"/>
      <c r="E966" s="45">
        <f t="shared" si="58"/>
        <v>0</v>
      </c>
      <c r="F966" s="127">
        <f t="shared" si="59"/>
        <v>0</v>
      </c>
      <c r="G966" s="151">
        <f>'Etude de cas n°1'!D966</f>
        <v>0</v>
      </c>
      <c r="H966" s="19"/>
      <c r="I966" s="19"/>
      <c r="J966" s="19"/>
      <c r="K966" s="19"/>
      <c r="L966" s="19"/>
      <c r="M966" s="19"/>
      <c r="N966" s="19"/>
    </row>
    <row r="967" spans="1:14" s="94" customFormat="1" ht="13.2" x14ac:dyDescent="0.25">
      <c r="A967" s="230" t="s">
        <v>290</v>
      </c>
      <c r="B967" s="216" t="s">
        <v>2610</v>
      </c>
      <c r="C967" s="215"/>
      <c r="D967" s="46"/>
      <c r="E967" s="45"/>
      <c r="F967" s="127"/>
      <c r="G967" s="151"/>
      <c r="H967" s="19"/>
      <c r="I967" s="19"/>
      <c r="J967" s="19"/>
      <c r="K967" s="19"/>
      <c r="L967" s="19"/>
      <c r="M967" s="19"/>
      <c r="N967" s="19"/>
    </row>
    <row r="968" spans="1:14" s="94" customFormat="1" ht="13.2" x14ac:dyDescent="0.25">
      <c r="A968" s="230" t="s">
        <v>2611</v>
      </c>
      <c r="B968" s="216" t="s">
        <v>2612</v>
      </c>
      <c r="C968" s="217"/>
      <c r="D968" s="46"/>
      <c r="E968" s="45"/>
      <c r="F968" s="127"/>
      <c r="G968" s="151"/>
      <c r="H968" s="19"/>
      <c r="I968" s="19"/>
      <c r="J968" s="19"/>
      <c r="K968" s="19"/>
      <c r="L968" s="19"/>
      <c r="M968" s="19"/>
      <c r="N968" s="19"/>
    </row>
    <row r="969" spans="1:14" s="94" customFormat="1" ht="13.2" x14ac:dyDescent="0.25">
      <c r="A969" s="230" t="s">
        <v>2606</v>
      </c>
      <c r="B969" s="216" t="s">
        <v>2506</v>
      </c>
      <c r="C969" s="215" t="s">
        <v>1011</v>
      </c>
      <c r="D969" s="46"/>
      <c r="E969" s="45">
        <f t="shared" si="58"/>
        <v>0</v>
      </c>
      <c r="F969" s="127">
        <f t="shared" si="59"/>
        <v>0</v>
      </c>
      <c r="G969" s="151">
        <f>'Etude de cas n°1'!D969</f>
        <v>0</v>
      </c>
      <c r="H969" s="19"/>
      <c r="I969" s="19"/>
      <c r="J969" s="19"/>
      <c r="K969" s="19"/>
      <c r="L969" s="19"/>
      <c r="M969" s="19"/>
      <c r="N969" s="19"/>
    </row>
    <row r="970" spans="1:14" s="94" customFormat="1" ht="13.2" x14ac:dyDescent="0.25">
      <c r="A970" s="230" t="s">
        <v>2608</v>
      </c>
      <c r="B970" s="216" t="s">
        <v>2508</v>
      </c>
      <c r="C970" s="215" t="s">
        <v>1011</v>
      </c>
      <c r="D970" s="46"/>
      <c r="E970" s="45">
        <f t="shared" si="58"/>
        <v>0</v>
      </c>
      <c r="F970" s="127">
        <f t="shared" si="59"/>
        <v>0</v>
      </c>
      <c r="G970" s="151">
        <f>'Etude de cas n°1'!D970</f>
        <v>0</v>
      </c>
      <c r="H970" s="19"/>
      <c r="I970" s="19"/>
      <c r="J970" s="19"/>
      <c r="K970" s="19"/>
      <c r="L970" s="19"/>
      <c r="M970" s="19"/>
      <c r="N970" s="19"/>
    </row>
    <row r="971" spans="1:14" s="94" customFormat="1" ht="13.2" x14ac:dyDescent="0.25">
      <c r="A971" s="230" t="s">
        <v>2613</v>
      </c>
      <c r="B971" s="216" t="s">
        <v>2614</v>
      </c>
      <c r="C971" s="217" t="s">
        <v>1011</v>
      </c>
      <c r="D971" s="46"/>
      <c r="E971" s="45">
        <f t="shared" si="58"/>
        <v>0</v>
      </c>
      <c r="F971" s="127">
        <f t="shared" si="59"/>
        <v>0</v>
      </c>
      <c r="G971" s="151">
        <f>'Etude de cas n°1'!D971</f>
        <v>0</v>
      </c>
      <c r="H971" s="19"/>
      <c r="I971" s="19"/>
      <c r="J971" s="19"/>
      <c r="K971" s="19"/>
      <c r="L971" s="19"/>
      <c r="M971" s="19"/>
      <c r="N971" s="19"/>
    </row>
    <row r="972" spans="1:14" s="94" customFormat="1" ht="13.2" x14ac:dyDescent="0.25">
      <c r="A972" s="230" t="s">
        <v>2615</v>
      </c>
      <c r="B972" s="216" t="s">
        <v>2616</v>
      </c>
      <c r="C972" s="217" t="s">
        <v>1011</v>
      </c>
      <c r="D972" s="46"/>
      <c r="E972" s="45">
        <f t="shared" si="58"/>
        <v>0</v>
      </c>
      <c r="F972" s="127">
        <f t="shared" si="59"/>
        <v>0</v>
      </c>
      <c r="G972" s="151">
        <f>'Etude de cas n°1'!D972</f>
        <v>0</v>
      </c>
      <c r="H972" s="19"/>
      <c r="I972" s="19"/>
      <c r="J972" s="19"/>
      <c r="K972" s="19"/>
      <c r="L972" s="19"/>
      <c r="M972" s="19"/>
      <c r="N972" s="19"/>
    </row>
    <row r="973" spans="1:14" s="94" customFormat="1" ht="26.4" x14ac:dyDescent="0.25">
      <c r="A973" s="230" t="s">
        <v>2617</v>
      </c>
      <c r="B973" s="216" t="s">
        <v>2618</v>
      </c>
      <c r="C973" s="215" t="s">
        <v>1011</v>
      </c>
      <c r="D973" s="46"/>
      <c r="E973" s="45">
        <f t="shared" si="58"/>
        <v>0</v>
      </c>
      <c r="F973" s="127">
        <f t="shared" si="59"/>
        <v>0</v>
      </c>
      <c r="G973" s="151">
        <f>'Etude de cas n°1'!D973</f>
        <v>0</v>
      </c>
      <c r="H973" s="19"/>
      <c r="I973" s="19"/>
      <c r="J973" s="19"/>
      <c r="K973" s="19"/>
      <c r="L973" s="19"/>
      <c r="M973" s="19"/>
      <c r="N973" s="19"/>
    </row>
    <row r="974" spans="1:14" s="94" customFormat="1" ht="26.4" x14ac:dyDescent="0.25">
      <c r="A974" s="230" t="s">
        <v>2619</v>
      </c>
      <c r="B974" s="216" t="s">
        <v>2620</v>
      </c>
      <c r="C974" s="215" t="s">
        <v>1011</v>
      </c>
      <c r="D974" s="46"/>
      <c r="E974" s="45">
        <f t="shared" si="58"/>
        <v>0</v>
      </c>
      <c r="F974" s="127">
        <f t="shared" si="59"/>
        <v>0</v>
      </c>
      <c r="G974" s="151">
        <f>'Etude de cas n°1'!D974</f>
        <v>0</v>
      </c>
      <c r="H974" s="19"/>
      <c r="I974" s="19"/>
      <c r="J974" s="19"/>
      <c r="K974" s="19"/>
      <c r="L974" s="19"/>
      <c r="M974" s="19"/>
      <c r="N974" s="19"/>
    </row>
    <row r="975" spans="1:14" s="94" customFormat="1" ht="13.2" x14ac:dyDescent="0.25">
      <c r="A975" s="230" t="s">
        <v>2621</v>
      </c>
      <c r="B975" s="216" t="s">
        <v>2622</v>
      </c>
      <c r="C975" s="215" t="s">
        <v>1011</v>
      </c>
      <c r="D975" s="46"/>
      <c r="E975" s="45">
        <f t="shared" si="58"/>
        <v>0</v>
      </c>
      <c r="F975" s="127">
        <f t="shared" si="59"/>
        <v>0</v>
      </c>
      <c r="G975" s="151">
        <f>'Etude de cas n°1'!D975</f>
        <v>0</v>
      </c>
      <c r="H975" s="19"/>
      <c r="I975" s="19"/>
      <c r="J975" s="19"/>
      <c r="K975" s="19"/>
      <c r="L975" s="19"/>
      <c r="M975" s="19"/>
      <c r="N975" s="19"/>
    </row>
    <row r="976" spans="1:14" s="94" customFormat="1" ht="13.2" x14ac:dyDescent="0.25">
      <c r="A976" s="230" t="s">
        <v>291</v>
      </c>
      <c r="B976" s="216" t="s">
        <v>2623</v>
      </c>
      <c r="C976" s="215"/>
      <c r="D976" s="46"/>
      <c r="E976" s="45">
        <f t="shared" si="58"/>
        <v>0</v>
      </c>
      <c r="F976" s="127">
        <f t="shared" si="59"/>
        <v>0</v>
      </c>
      <c r="G976" s="151">
        <f>'Etude de cas n°1'!D976</f>
        <v>0</v>
      </c>
      <c r="H976" s="19"/>
      <c r="I976" s="19"/>
      <c r="J976" s="19"/>
      <c r="K976" s="19"/>
      <c r="L976" s="19"/>
      <c r="M976" s="19"/>
      <c r="N976" s="19"/>
    </row>
    <row r="977" spans="1:14" s="94" customFormat="1" ht="13.2" x14ac:dyDescent="0.25">
      <c r="A977" s="230" t="s">
        <v>2624</v>
      </c>
      <c r="B977" s="216" t="s">
        <v>2625</v>
      </c>
      <c r="C977" s="215" t="s">
        <v>1011</v>
      </c>
      <c r="D977" s="46"/>
      <c r="E977" s="45">
        <f t="shared" si="58"/>
        <v>0</v>
      </c>
      <c r="F977" s="127">
        <f t="shared" si="59"/>
        <v>0</v>
      </c>
      <c r="G977" s="151">
        <f>'Etude de cas n°1'!D977</f>
        <v>0</v>
      </c>
      <c r="H977" s="19"/>
      <c r="I977" s="19"/>
      <c r="J977" s="19"/>
      <c r="K977" s="19"/>
      <c r="L977" s="19"/>
      <c r="M977" s="19"/>
      <c r="N977" s="19"/>
    </row>
    <row r="978" spans="1:14" s="94" customFormat="1" ht="13.2" x14ac:dyDescent="0.25">
      <c r="A978" s="230" t="s">
        <v>2626</v>
      </c>
      <c r="B978" s="216" t="s">
        <v>2627</v>
      </c>
      <c r="C978" s="215" t="s">
        <v>1011</v>
      </c>
      <c r="D978" s="46"/>
      <c r="E978" s="45">
        <f t="shared" si="58"/>
        <v>0</v>
      </c>
      <c r="F978" s="127">
        <f t="shared" si="59"/>
        <v>0</v>
      </c>
      <c r="G978" s="151">
        <f>'Etude de cas n°1'!D978</f>
        <v>0</v>
      </c>
      <c r="H978" s="19"/>
      <c r="I978" s="19"/>
      <c r="J978" s="19"/>
      <c r="K978" s="19"/>
      <c r="L978" s="19"/>
      <c r="M978" s="19"/>
      <c r="N978" s="19"/>
    </row>
    <row r="979" spans="1:14" s="94" customFormat="1" ht="13.2" x14ac:dyDescent="0.25">
      <c r="A979" s="230" t="s">
        <v>2628</v>
      </c>
      <c r="B979" s="216" t="s">
        <v>2629</v>
      </c>
      <c r="C979" s="215" t="s">
        <v>1011</v>
      </c>
      <c r="D979" s="46"/>
      <c r="E979" s="45">
        <f t="shared" si="58"/>
        <v>0</v>
      </c>
      <c r="F979" s="127">
        <f t="shared" si="59"/>
        <v>0</v>
      </c>
      <c r="G979" s="151">
        <f>'Etude de cas n°1'!D979</f>
        <v>0</v>
      </c>
      <c r="H979" s="19"/>
      <c r="I979" s="19"/>
      <c r="J979" s="19"/>
      <c r="K979" s="19"/>
      <c r="L979" s="19"/>
      <c r="M979" s="19"/>
      <c r="N979" s="19"/>
    </row>
    <row r="980" spans="1:14" s="94" customFormat="1" ht="13.2" x14ac:dyDescent="0.25">
      <c r="A980" s="230" t="s">
        <v>2630</v>
      </c>
      <c r="B980" s="216" t="s">
        <v>2631</v>
      </c>
      <c r="C980" s="217" t="s">
        <v>1011</v>
      </c>
      <c r="D980" s="46"/>
      <c r="E980" s="45">
        <f t="shared" si="58"/>
        <v>0</v>
      </c>
      <c r="F980" s="127">
        <f t="shared" si="59"/>
        <v>0</v>
      </c>
      <c r="G980" s="151">
        <f>'Etude de cas n°1'!D980</f>
        <v>0</v>
      </c>
      <c r="H980" s="19"/>
      <c r="I980" s="19"/>
      <c r="J980" s="19"/>
      <c r="K980" s="19"/>
      <c r="L980" s="19"/>
      <c r="M980" s="19"/>
      <c r="N980" s="19"/>
    </row>
    <row r="981" spans="1:14" s="94" customFormat="1" ht="13.2" x14ac:dyDescent="0.25">
      <c r="A981" s="230" t="s">
        <v>2632</v>
      </c>
      <c r="B981" s="216" t="s">
        <v>2633</v>
      </c>
      <c r="C981" s="215" t="s">
        <v>1011</v>
      </c>
      <c r="D981" s="46"/>
      <c r="E981" s="45">
        <f t="shared" si="58"/>
        <v>0</v>
      </c>
      <c r="F981" s="127">
        <f t="shared" si="59"/>
        <v>0</v>
      </c>
      <c r="G981" s="151">
        <f>'Etude de cas n°1'!D981</f>
        <v>0</v>
      </c>
      <c r="H981" s="19"/>
      <c r="I981" s="19"/>
      <c r="J981" s="19"/>
      <c r="K981" s="19"/>
      <c r="L981" s="19"/>
      <c r="M981" s="19"/>
      <c r="N981" s="19"/>
    </row>
    <row r="982" spans="1:14" s="94" customFormat="1" ht="13.2" x14ac:dyDescent="0.25">
      <c r="A982" s="133" t="s">
        <v>2634</v>
      </c>
      <c r="B982" s="4" t="s">
        <v>2635</v>
      </c>
      <c r="C982" s="215"/>
      <c r="D982" s="46"/>
      <c r="E982" s="45"/>
      <c r="F982" s="127"/>
      <c r="G982" s="151"/>
      <c r="H982" s="19"/>
      <c r="I982" s="19"/>
      <c r="J982" s="19"/>
      <c r="K982" s="19"/>
      <c r="L982" s="19"/>
      <c r="M982" s="19"/>
      <c r="N982" s="19"/>
    </row>
    <row r="983" spans="1:14" s="94" customFormat="1" ht="13.2" x14ac:dyDescent="0.25">
      <c r="A983" s="230" t="s">
        <v>2636</v>
      </c>
      <c r="B983" s="216" t="s">
        <v>2637</v>
      </c>
      <c r="C983" s="215"/>
      <c r="D983" s="46"/>
      <c r="E983" s="45"/>
      <c r="F983" s="127"/>
      <c r="G983" s="151"/>
      <c r="H983" s="19"/>
      <c r="I983" s="19"/>
      <c r="J983" s="19"/>
      <c r="K983" s="19"/>
      <c r="L983" s="19"/>
      <c r="M983" s="19"/>
      <c r="N983" s="19"/>
    </row>
    <row r="984" spans="1:14" s="94" customFormat="1" ht="26.4" x14ac:dyDescent="0.25">
      <c r="A984" s="230" t="s">
        <v>2638</v>
      </c>
      <c r="B984" s="216" t="s">
        <v>2639</v>
      </c>
      <c r="C984" s="215" t="s">
        <v>1011</v>
      </c>
      <c r="D984" s="46"/>
      <c r="E984" s="45">
        <f t="shared" si="58"/>
        <v>0</v>
      </c>
      <c r="F984" s="127">
        <f t="shared" si="59"/>
        <v>0</v>
      </c>
      <c r="G984" s="151">
        <f>'Etude de cas n°1'!D984</f>
        <v>0</v>
      </c>
      <c r="H984" s="19"/>
      <c r="I984" s="19"/>
      <c r="J984" s="19"/>
      <c r="K984" s="19"/>
      <c r="L984" s="19"/>
      <c r="M984" s="19"/>
      <c r="N984" s="19"/>
    </row>
    <row r="985" spans="1:14" s="94" customFormat="1" ht="13.2" x14ac:dyDescent="0.25">
      <c r="A985" s="230" t="s">
        <v>2640</v>
      </c>
      <c r="B985" s="216" t="s">
        <v>2641</v>
      </c>
      <c r="C985" s="215" t="s">
        <v>1011</v>
      </c>
      <c r="D985" s="46"/>
      <c r="E985" s="45">
        <f t="shared" si="58"/>
        <v>0</v>
      </c>
      <c r="F985" s="127">
        <f t="shared" si="59"/>
        <v>0</v>
      </c>
      <c r="G985" s="151">
        <f>'Etude de cas n°1'!D985</f>
        <v>0</v>
      </c>
      <c r="H985" s="19"/>
      <c r="I985" s="19"/>
      <c r="J985" s="19"/>
      <c r="K985" s="19"/>
      <c r="L985" s="19"/>
      <c r="M985" s="19"/>
      <c r="N985" s="19"/>
    </row>
    <row r="986" spans="1:14" s="94" customFormat="1" ht="13.2" x14ac:dyDescent="0.25">
      <c r="A986" s="230" t="s">
        <v>2642</v>
      </c>
      <c r="B986" s="216" t="s">
        <v>2643</v>
      </c>
      <c r="C986" s="217" t="s">
        <v>1034</v>
      </c>
      <c r="D986" s="46"/>
      <c r="E986" s="45">
        <f t="shared" si="58"/>
        <v>0</v>
      </c>
      <c r="F986" s="127">
        <f t="shared" si="59"/>
        <v>0</v>
      </c>
      <c r="G986" s="151">
        <f>'Etude de cas n°1'!D986</f>
        <v>0</v>
      </c>
      <c r="H986" s="19"/>
      <c r="I986" s="19"/>
      <c r="J986" s="19"/>
      <c r="K986" s="19"/>
      <c r="L986" s="19"/>
      <c r="M986" s="19"/>
      <c r="N986" s="19"/>
    </row>
    <row r="987" spans="1:14" s="94" customFormat="1" ht="13.2" x14ac:dyDescent="0.25">
      <c r="A987" s="230" t="s">
        <v>2644</v>
      </c>
      <c r="B987" s="216" t="s">
        <v>2645</v>
      </c>
      <c r="C987" s="217" t="s">
        <v>1011</v>
      </c>
      <c r="D987" s="46"/>
      <c r="E987" s="45">
        <f t="shared" si="58"/>
        <v>0</v>
      </c>
      <c r="F987" s="127">
        <f t="shared" si="59"/>
        <v>0</v>
      </c>
      <c r="G987" s="151">
        <f>'Etude de cas n°1'!D987</f>
        <v>0</v>
      </c>
      <c r="H987" s="19"/>
      <c r="I987" s="19"/>
      <c r="J987" s="19"/>
      <c r="K987" s="19"/>
      <c r="L987" s="19"/>
      <c r="M987" s="19"/>
      <c r="N987" s="19"/>
    </row>
    <row r="988" spans="1:14" s="94" customFormat="1" ht="13.2" x14ac:dyDescent="0.25">
      <c r="A988" s="230" t="s">
        <v>299</v>
      </c>
      <c r="B988" s="216" t="s">
        <v>2646</v>
      </c>
      <c r="C988" s="215"/>
      <c r="D988" s="46"/>
      <c r="E988" s="45"/>
      <c r="F988" s="127"/>
      <c r="G988" s="151"/>
      <c r="H988" s="19"/>
      <c r="I988" s="19"/>
      <c r="J988" s="19"/>
      <c r="K988" s="19"/>
      <c r="L988" s="19"/>
      <c r="M988" s="19"/>
      <c r="N988" s="19"/>
    </row>
    <row r="989" spans="1:14" s="94" customFormat="1" ht="13.2" x14ac:dyDescent="0.25">
      <c r="A989" s="230" t="s">
        <v>2647</v>
      </c>
      <c r="B989" s="216" t="s">
        <v>2648</v>
      </c>
      <c r="C989" s="215" t="s">
        <v>1011</v>
      </c>
      <c r="D989" s="46"/>
      <c r="E989" s="45">
        <f t="shared" si="58"/>
        <v>0</v>
      </c>
      <c r="F989" s="127">
        <f t="shared" si="59"/>
        <v>0</v>
      </c>
      <c r="G989" s="151">
        <f>'Etude de cas n°1'!D989</f>
        <v>0</v>
      </c>
      <c r="H989" s="19"/>
      <c r="I989" s="19"/>
      <c r="J989" s="19"/>
      <c r="K989" s="19"/>
      <c r="L989" s="19"/>
      <c r="M989" s="19"/>
      <c r="N989" s="19"/>
    </row>
    <row r="990" spans="1:14" s="94" customFormat="1" ht="13.2" x14ac:dyDescent="0.25">
      <c r="A990" s="230" t="s">
        <v>2649</v>
      </c>
      <c r="B990" s="216" t="s">
        <v>2650</v>
      </c>
      <c r="C990" s="215" t="s">
        <v>1011</v>
      </c>
      <c r="D990" s="46"/>
      <c r="E990" s="45">
        <f t="shared" si="58"/>
        <v>0</v>
      </c>
      <c r="F990" s="127">
        <f t="shared" si="59"/>
        <v>0</v>
      </c>
      <c r="G990" s="151">
        <f>'Etude de cas n°1'!D990</f>
        <v>0</v>
      </c>
      <c r="H990" s="19"/>
      <c r="I990" s="19"/>
      <c r="J990" s="19"/>
      <c r="K990" s="19"/>
      <c r="L990" s="19"/>
      <c r="M990" s="19"/>
      <c r="N990" s="19"/>
    </row>
    <row r="991" spans="1:14" s="94" customFormat="1" ht="13.2" x14ac:dyDescent="0.25">
      <c r="A991" s="230" t="s">
        <v>2651</v>
      </c>
      <c r="B991" s="216" t="s">
        <v>2652</v>
      </c>
      <c r="C991" s="215"/>
      <c r="D991" s="46"/>
      <c r="E991" s="45">
        <f t="shared" si="58"/>
        <v>0</v>
      </c>
      <c r="F991" s="127"/>
      <c r="G991" s="151"/>
      <c r="H991" s="19"/>
      <c r="I991" s="19"/>
      <c r="J991" s="19"/>
      <c r="K991" s="19"/>
      <c r="L991" s="19"/>
      <c r="M991" s="19"/>
      <c r="N991" s="19"/>
    </row>
    <row r="992" spans="1:14" s="94" customFormat="1" ht="13.2" x14ac:dyDescent="0.25">
      <c r="A992" s="230" t="s">
        <v>2653</v>
      </c>
      <c r="B992" s="216" t="s">
        <v>2654</v>
      </c>
      <c r="C992" s="217" t="s">
        <v>1011</v>
      </c>
      <c r="D992" s="46"/>
      <c r="E992" s="45">
        <f t="shared" si="58"/>
        <v>0</v>
      </c>
      <c r="F992" s="127">
        <f t="shared" si="59"/>
        <v>0</v>
      </c>
      <c r="G992" s="151">
        <f>'Etude de cas n°1'!D992</f>
        <v>0</v>
      </c>
      <c r="H992" s="19"/>
      <c r="I992" s="19"/>
      <c r="J992" s="19"/>
      <c r="K992" s="19"/>
      <c r="L992" s="19"/>
      <c r="M992" s="19"/>
      <c r="N992" s="19"/>
    </row>
    <row r="993" spans="1:14" s="94" customFormat="1" ht="13.2" x14ac:dyDescent="0.25">
      <c r="A993" s="230" t="s">
        <v>2655</v>
      </c>
      <c r="B993" s="216" t="s">
        <v>2656</v>
      </c>
      <c r="C993" s="215" t="s">
        <v>1011</v>
      </c>
      <c r="D993" s="46"/>
      <c r="E993" s="45">
        <f t="shared" ref="E993:E1056" si="60">G993</f>
        <v>0</v>
      </c>
      <c r="F993" s="127">
        <f t="shared" si="59"/>
        <v>0</v>
      </c>
      <c r="G993" s="151">
        <f>'Etude de cas n°1'!D993</f>
        <v>0</v>
      </c>
      <c r="H993" s="19"/>
      <c r="I993" s="19"/>
      <c r="J993" s="19"/>
      <c r="K993" s="19"/>
      <c r="L993" s="19"/>
      <c r="M993" s="19"/>
      <c r="N993" s="19"/>
    </row>
    <row r="994" spans="1:14" s="94" customFormat="1" ht="13.2" x14ac:dyDescent="0.25">
      <c r="A994" s="230" t="s">
        <v>2657</v>
      </c>
      <c r="B994" s="216" t="s">
        <v>2658</v>
      </c>
      <c r="C994" s="215" t="s">
        <v>1011</v>
      </c>
      <c r="D994" s="46"/>
      <c r="E994" s="45">
        <f t="shared" si="60"/>
        <v>0</v>
      </c>
      <c r="F994" s="127">
        <f t="shared" ref="F994:F1058" si="61">D994*E994</f>
        <v>0</v>
      </c>
      <c r="G994" s="151">
        <f>'Etude de cas n°1'!D994</f>
        <v>0</v>
      </c>
      <c r="H994" s="19"/>
      <c r="I994" s="19"/>
      <c r="J994" s="19"/>
      <c r="K994" s="19"/>
      <c r="L994" s="19"/>
      <c r="M994" s="19"/>
      <c r="N994" s="19"/>
    </row>
    <row r="995" spans="1:14" s="94" customFormat="1" ht="13.2" x14ac:dyDescent="0.25">
      <c r="A995" s="230" t="s">
        <v>2659</v>
      </c>
      <c r="B995" s="216" t="s">
        <v>2660</v>
      </c>
      <c r="C995" s="217" t="s">
        <v>1011</v>
      </c>
      <c r="D995" s="46"/>
      <c r="E995" s="45">
        <f t="shared" si="60"/>
        <v>0</v>
      </c>
      <c r="F995" s="127">
        <f t="shared" si="61"/>
        <v>0</v>
      </c>
      <c r="G995" s="151">
        <f>'Etude de cas n°1'!D995</f>
        <v>0</v>
      </c>
      <c r="H995" s="19"/>
      <c r="I995" s="19"/>
      <c r="J995" s="19"/>
      <c r="K995" s="19"/>
      <c r="L995" s="19"/>
      <c r="M995" s="19"/>
      <c r="N995" s="19"/>
    </row>
    <row r="996" spans="1:14" s="94" customFormat="1" ht="13.2" x14ac:dyDescent="0.25">
      <c r="A996" s="230" t="s">
        <v>2661</v>
      </c>
      <c r="B996" s="216" t="s">
        <v>2662</v>
      </c>
      <c r="C996" s="215" t="s">
        <v>1011</v>
      </c>
      <c r="D996" s="46"/>
      <c r="E996" s="45">
        <f t="shared" si="60"/>
        <v>0</v>
      </c>
      <c r="F996" s="127">
        <f t="shared" si="61"/>
        <v>0</v>
      </c>
      <c r="G996" s="151">
        <f>'Etude de cas n°1'!D996</f>
        <v>0</v>
      </c>
      <c r="H996" s="19"/>
      <c r="I996" s="19"/>
      <c r="J996" s="19"/>
      <c r="K996" s="19"/>
      <c r="L996" s="19"/>
      <c r="M996" s="19"/>
      <c r="N996" s="19"/>
    </row>
    <row r="997" spans="1:14" s="94" customFormat="1" ht="13.2" x14ac:dyDescent="0.25">
      <c r="A997" s="230" t="s">
        <v>2663</v>
      </c>
      <c r="B997" s="216" t="s">
        <v>2664</v>
      </c>
      <c r="C997" s="215" t="s">
        <v>1011</v>
      </c>
      <c r="D997" s="46"/>
      <c r="E997" s="45">
        <f t="shared" si="60"/>
        <v>0</v>
      </c>
      <c r="F997" s="127">
        <f t="shared" si="61"/>
        <v>0</v>
      </c>
      <c r="G997" s="151">
        <f>'Etude de cas n°1'!D997</f>
        <v>0</v>
      </c>
      <c r="H997" s="19"/>
      <c r="I997" s="19"/>
      <c r="J997" s="19"/>
      <c r="K997" s="19"/>
      <c r="L997" s="19"/>
      <c r="M997" s="19"/>
      <c r="N997" s="19"/>
    </row>
    <row r="998" spans="1:14" s="94" customFormat="1" ht="13.2" x14ac:dyDescent="0.25">
      <c r="A998" s="230" t="s">
        <v>2665</v>
      </c>
      <c r="B998" s="216" t="s">
        <v>2666</v>
      </c>
      <c r="C998" s="215" t="s">
        <v>1011</v>
      </c>
      <c r="D998" s="46"/>
      <c r="E998" s="45">
        <f t="shared" si="60"/>
        <v>0</v>
      </c>
      <c r="F998" s="127">
        <f t="shared" si="61"/>
        <v>0</v>
      </c>
      <c r="G998" s="151">
        <f>'Etude de cas n°1'!D998</f>
        <v>0</v>
      </c>
      <c r="H998" s="19"/>
      <c r="I998" s="19"/>
      <c r="J998" s="19"/>
      <c r="K998" s="19"/>
      <c r="L998" s="19"/>
      <c r="M998" s="19"/>
      <c r="N998" s="19"/>
    </row>
    <row r="999" spans="1:14" s="94" customFormat="1" ht="13.2" x14ac:dyDescent="0.25">
      <c r="A999" s="230" t="s">
        <v>2667</v>
      </c>
      <c r="B999" s="216" t="s">
        <v>2668</v>
      </c>
      <c r="C999" s="215" t="s">
        <v>1011</v>
      </c>
      <c r="D999" s="46"/>
      <c r="E999" s="45">
        <f t="shared" si="60"/>
        <v>0</v>
      </c>
      <c r="F999" s="127">
        <f t="shared" si="61"/>
        <v>0</v>
      </c>
      <c r="G999" s="151">
        <f>'Etude de cas n°1'!D999</f>
        <v>0</v>
      </c>
      <c r="H999" s="19"/>
      <c r="I999" s="19"/>
      <c r="J999" s="19"/>
      <c r="K999" s="19"/>
      <c r="L999" s="19"/>
      <c r="M999" s="19"/>
      <c r="N999" s="19"/>
    </row>
    <row r="1000" spans="1:14" s="94" customFormat="1" ht="13.2" x14ac:dyDescent="0.25">
      <c r="A1000" s="230" t="s">
        <v>2669</v>
      </c>
      <c r="B1000" s="216" t="s">
        <v>2670</v>
      </c>
      <c r="C1000" s="215" t="s">
        <v>1011</v>
      </c>
      <c r="D1000" s="46"/>
      <c r="E1000" s="45">
        <f t="shared" si="60"/>
        <v>0</v>
      </c>
      <c r="F1000" s="127">
        <f t="shared" si="61"/>
        <v>0</v>
      </c>
      <c r="G1000" s="151">
        <f>'Etude de cas n°1'!D1000</f>
        <v>0</v>
      </c>
      <c r="H1000" s="19"/>
      <c r="I1000" s="19"/>
      <c r="J1000" s="19"/>
      <c r="K1000" s="19"/>
      <c r="L1000" s="19"/>
      <c r="M1000" s="19"/>
      <c r="N1000" s="19"/>
    </row>
    <row r="1001" spans="1:14" s="94" customFormat="1" ht="13.2" x14ac:dyDescent="0.25">
      <c r="A1001" s="230" t="s">
        <v>2671</v>
      </c>
      <c r="B1001" s="216" t="s">
        <v>2672</v>
      </c>
      <c r="C1001" s="215" t="s">
        <v>1011</v>
      </c>
      <c r="D1001" s="46"/>
      <c r="E1001" s="45">
        <f t="shared" si="60"/>
        <v>0</v>
      </c>
      <c r="F1001" s="127">
        <f t="shared" si="61"/>
        <v>0</v>
      </c>
      <c r="G1001" s="151">
        <f>'Etude de cas n°1'!D1001</f>
        <v>0</v>
      </c>
      <c r="H1001" s="19"/>
      <c r="I1001" s="19"/>
      <c r="J1001" s="19"/>
      <c r="K1001" s="19"/>
      <c r="L1001" s="19"/>
      <c r="M1001" s="19"/>
      <c r="N1001" s="19"/>
    </row>
    <row r="1002" spans="1:14" s="94" customFormat="1" ht="13.2" x14ac:dyDescent="0.25">
      <c r="A1002" s="230" t="s">
        <v>2673</v>
      </c>
      <c r="B1002" s="216" t="s">
        <v>2674</v>
      </c>
      <c r="C1002" s="215" t="s">
        <v>1011</v>
      </c>
      <c r="D1002" s="46"/>
      <c r="E1002" s="45">
        <f t="shared" si="60"/>
        <v>0</v>
      </c>
      <c r="F1002" s="127">
        <f t="shared" si="61"/>
        <v>0</v>
      </c>
      <c r="G1002" s="151">
        <f>'Etude de cas n°1'!D1002</f>
        <v>0</v>
      </c>
      <c r="H1002" s="19"/>
      <c r="I1002" s="19"/>
      <c r="J1002" s="19"/>
      <c r="K1002" s="19"/>
      <c r="L1002" s="19"/>
      <c r="M1002" s="19"/>
      <c r="N1002" s="19"/>
    </row>
    <row r="1003" spans="1:14" s="94" customFormat="1" ht="13.2" x14ac:dyDescent="0.25">
      <c r="A1003" s="230" t="s">
        <v>2675</v>
      </c>
      <c r="B1003" s="216" t="s">
        <v>2676</v>
      </c>
      <c r="C1003" s="215" t="s">
        <v>1011</v>
      </c>
      <c r="D1003" s="46"/>
      <c r="E1003" s="45">
        <f t="shared" si="60"/>
        <v>0</v>
      </c>
      <c r="F1003" s="127">
        <f t="shared" si="61"/>
        <v>0</v>
      </c>
      <c r="G1003" s="151">
        <f>'Etude de cas n°1'!D1003</f>
        <v>0</v>
      </c>
      <c r="H1003" s="19"/>
      <c r="I1003" s="19"/>
      <c r="J1003" s="19"/>
      <c r="K1003" s="19"/>
      <c r="L1003" s="19"/>
      <c r="M1003" s="19"/>
      <c r="N1003" s="19"/>
    </row>
    <row r="1004" spans="1:14" s="94" customFormat="1" ht="13.2" x14ac:dyDescent="0.25">
      <c r="A1004" s="230" t="s">
        <v>2677</v>
      </c>
      <c r="B1004" s="216" t="s">
        <v>2678</v>
      </c>
      <c r="C1004" s="215" t="s">
        <v>1011</v>
      </c>
      <c r="D1004" s="46"/>
      <c r="E1004" s="45">
        <f t="shared" si="60"/>
        <v>0</v>
      </c>
      <c r="F1004" s="127">
        <f t="shared" si="61"/>
        <v>0</v>
      </c>
      <c r="G1004" s="151">
        <f>'Etude de cas n°1'!D1004</f>
        <v>0</v>
      </c>
      <c r="H1004" s="19"/>
      <c r="I1004" s="19"/>
      <c r="J1004" s="19"/>
      <c r="K1004" s="19"/>
      <c r="L1004" s="19"/>
      <c r="M1004" s="19"/>
      <c r="N1004" s="19"/>
    </row>
    <row r="1005" spans="1:14" s="94" customFormat="1" ht="13.2" x14ac:dyDescent="0.25">
      <c r="A1005" s="230" t="s">
        <v>2679</v>
      </c>
      <c r="B1005" s="216" t="s">
        <v>2680</v>
      </c>
      <c r="C1005" s="215"/>
      <c r="D1005" s="46"/>
      <c r="E1005" s="45"/>
      <c r="F1005" s="127"/>
      <c r="G1005" s="151"/>
      <c r="H1005" s="19"/>
      <c r="I1005" s="19"/>
      <c r="J1005" s="19"/>
      <c r="K1005" s="19"/>
      <c r="L1005" s="19"/>
      <c r="M1005" s="19"/>
      <c r="N1005" s="19"/>
    </row>
    <row r="1006" spans="1:14" s="94" customFormat="1" ht="13.2" x14ac:dyDescent="0.25">
      <c r="A1006" s="230" t="s">
        <v>2681</v>
      </c>
      <c r="B1006" s="216" t="s">
        <v>2682</v>
      </c>
      <c r="C1006" s="215" t="s">
        <v>1011</v>
      </c>
      <c r="D1006" s="46"/>
      <c r="E1006" s="45">
        <f t="shared" si="60"/>
        <v>0</v>
      </c>
      <c r="F1006" s="127">
        <f t="shared" si="61"/>
        <v>0</v>
      </c>
      <c r="G1006" s="151">
        <f>'Etude de cas n°1'!D1006</f>
        <v>0</v>
      </c>
      <c r="H1006" s="19"/>
      <c r="I1006" s="19"/>
      <c r="J1006" s="19"/>
      <c r="K1006" s="19"/>
      <c r="L1006" s="19"/>
      <c r="M1006" s="19"/>
      <c r="N1006" s="19"/>
    </row>
    <row r="1007" spans="1:14" s="94" customFormat="1" ht="26.4" x14ac:dyDescent="0.25">
      <c r="A1007" s="230" t="s">
        <v>2683</v>
      </c>
      <c r="B1007" s="216" t="s">
        <v>2684</v>
      </c>
      <c r="C1007" s="215" t="s">
        <v>1011</v>
      </c>
      <c r="D1007" s="46"/>
      <c r="E1007" s="45">
        <f t="shared" si="60"/>
        <v>0</v>
      </c>
      <c r="F1007" s="127">
        <f t="shared" si="61"/>
        <v>0</v>
      </c>
      <c r="G1007" s="151">
        <f>'Etude de cas n°1'!D1007</f>
        <v>0</v>
      </c>
      <c r="H1007" s="19"/>
      <c r="I1007" s="19"/>
      <c r="J1007" s="19"/>
      <c r="K1007" s="19"/>
      <c r="L1007" s="19"/>
      <c r="M1007" s="19"/>
      <c r="N1007" s="19"/>
    </row>
    <row r="1008" spans="1:14" s="94" customFormat="1" ht="13.2" x14ac:dyDescent="0.25">
      <c r="A1008" s="230" t="s">
        <v>2685</v>
      </c>
      <c r="B1008" s="216" t="s">
        <v>2686</v>
      </c>
      <c r="C1008" s="215"/>
      <c r="D1008" s="46"/>
      <c r="E1008" s="45"/>
      <c r="F1008" s="127"/>
      <c r="G1008" s="151"/>
      <c r="H1008" s="19"/>
      <c r="I1008" s="19"/>
      <c r="J1008" s="19"/>
      <c r="K1008" s="19"/>
      <c r="L1008" s="19"/>
      <c r="M1008" s="19"/>
      <c r="N1008" s="19"/>
    </row>
    <row r="1009" spans="1:14" s="94" customFormat="1" ht="13.2" x14ac:dyDescent="0.25">
      <c r="A1009" s="230" t="s">
        <v>2687</v>
      </c>
      <c r="B1009" s="216" t="s">
        <v>2688</v>
      </c>
      <c r="C1009" s="217" t="s">
        <v>1011</v>
      </c>
      <c r="D1009" s="46"/>
      <c r="E1009" s="45">
        <f t="shared" si="60"/>
        <v>0</v>
      </c>
      <c r="F1009" s="127">
        <f t="shared" si="61"/>
        <v>0</v>
      </c>
      <c r="G1009" s="151">
        <f>'Etude de cas n°1'!D1009</f>
        <v>0</v>
      </c>
      <c r="H1009" s="19"/>
      <c r="I1009" s="19"/>
      <c r="J1009" s="19"/>
      <c r="K1009" s="19"/>
      <c r="L1009" s="19"/>
      <c r="M1009" s="19"/>
      <c r="N1009" s="19"/>
    </row>
    <row r="1010" spans="1:14" s="94" customFormat="1" ht="13.2" x14ac:dyDescent="0.25">
      <c r="A1010" s="230" t="s">
        <v>2689</v>
      </c>
      <c r="B1010" s="216" t="s">
        <v>2690</v>
      </c>
      <c r="C1010" s="215" t="s">
        <v>1011</v>
      </c>
      <c r="D1010" s="46"/>
      <c r="E1010" s="45">
        <f t="shared" si="60"/>
        <v>0</v>
      </c>
      <c r="F1010" s="127">
        <f t="shared" si="61"/>
        <v>0</v>
      </c>
      <c r="G1010" s="151">
        <f>'Etude de cas n°1'!D1010</f>
        <v>0</v>
      </c>
      <c r="H1010" s="19"/>
      <c r="I1010" s="19"/>
      <c r="J1010" s="19"/>
      <c r="K1010" s="19"/>
      <c r="L1010" s="19"/>
      <c r="M1010" s="19"/>
      <c r="N1010" s="19"/>
    </row>
    <row r="1011" spans="1:14" s="94" customFormat="1" ht="13.2" x14ac:dyDescent="0.25">
      <c r="A1011" s="230" t="s">
        <v>2691</v>
      </c>
      <c r="B1011" s="216" t="s">
        <v>2692</v>
      </c>
      <c r="C1011" s="215" t="s">
        <v>1011</v>
      </c>
      <c r="D1011" s="46"/>
      <c r="E1011" s="45">
        <f t="shared" si="60"/>
        <v>0</v>
      </c>
      <c r="F1011" s="127">
        <f t="shared" si="61"/>
        <v>0</v>
      </c>
      <c r="G1011" s="151">
        <f>'Etude de cas n°1'!D1011</f>
        <v>0</v>
      </c>
      <c r="H1011" s="19"/>
      <c r="I1011" s="19"/>
      <c r="J1011" s="19"/>
      <c r="K1011" s="19"/>
      <c r="L1011" s="19"/>
      <c r="M1011" s="19"/>
      <c r="N1011" s="19"/>
    </row>
    <row r="1012" spans="1:14" s="94" customFormat="1" ht="13.2" x14ac:dyDescent="0.25">
      <c r="A1012" s="230" t="s">
        <v>2693</v>
      </c>
      <c r="B1012" s="216" t="s">
        <v>2694</v>
      </c>
      <c r="C1012" s="217" t="s">
        <v>1011</v>
      </c>
      <c r="D1012" s="46"/>
      <c r="E1012" s="45">
        <f t="shared" si="60"/>
        <v>0</v>
      </c>
      <c r="F1012" s="127">
        <f t="shared" si="61"/>
        <v>0</v>
      </c>
      <c r="G1012" s="151">
        <f>'Etude de cas n°1'!D1012</f>
        <v>0</v>
      </c>
      <c r="H1012" s="19"/>
      <c r="I1012" s="19"/>
      <c r="J1012" s="19"/>
      <c r="K1012" s="19"/>
      <c r="L1012" s="19"/>
      <c r="M1012" s="19"/>
      <c r="N1012" s="19"/>
    </row>
    <row r="1013" spans="1:14" s="94" customFormat="1" ht="13.2" x14ac:dyDescent="0.25">
      <c r="A1013" s="230" t="s">
        <v>2695</v>
      </c>
      <c r="B1013" s="216" t="s">
        <v>2696</v>
      </c>
      <c r="C1013" s="215" t="s">
        <v>1011</v>
      </c>
      <c r="D1013" s="46"/>
      <c r="E1013" s="45">
        <f t="shared" si="60"/>
        <v>0</v>
      </c>
      <c r="F1013" s="127">
        <f t="shared" si="61"/>
        <v>0</v>
      </c>
      <c r="G1013" s="151">
        <f>'Etude de cas n°1'!D1013</f>
        <v>0</v>
      </c>
      <c r="H1013" s="19"/>
      <c r="I1013" s="19"/>
      <c r="J1013" s="19"/>
      <c r="K1013" s="19"/>
      <c r="L1013" s="19"/>
      <c r="M1013" s="19"/>
      <c r="N1013" s="19"/>
    </row>
    <row r="1014" spans="1:14" s="94" customFormat="1" ht="13.2" x14ac:dyDescent="0.25">
      <c r="A1014" s="230" t="s">
        <v>2697</v>
      </c>
      <c r="B1014" s="216" t="s">
        <v>2698</v>
      </c>
      <c r="C1014" s="215" t="s">
        <v>1011</v>
      </c>
      <c r="D1014" s="46"/>
      <c r="E1014" s="45">
        <f t="shared" si="60"/>
        <v>0</v>
      </c>
      <c r="F1014" s="127">
        <f t="shared" si="61"/>
        <v>0</v>
      </c>
      <c r="G1014" s="151">
        <f>'Etude de cas n°1'!D1014</f>
        <v>0</v>
      </c>
      <c r="H1014" s="19"/>
      <c r="I1014" s="19"/>
      <c r="J1014" s="19"/>
      <c r="K1014" s="19"/>
      <c r="L1014" s="19"/>
      <c r="M1014" s="19"/>
      <c r="N1014" s="19"/>
    </row>
    <row r="1015" spans="1:14" s="94" customFormat="1" ht="13.2" x14ac:dyDescent="0.25">
      <c r="A1015" s="230" t="s">
        <v>2699</v>
      </c>
      <c r="B1015" s="216" t="s">
        <v>2700</v>
      </c>
      <c r="C1015" s="215" t="s">
        <v>1011</v>
      </c>
      <c r="D1015" s="46"/>
      <c r="E1015" s="45">
        <f t="shared" si="60"/>
        <v>0</v>
      </c>
      <c r="F1015" s="127">
        <f t="shared" si="61"/>
        <v>0</v>
      </c>
      <c r="G1015" s="151">
        <f>'Etude de cas n°1'!D1015</f>
        <v>0</v>
      </c>
      <c r="H1015" s="19"/>
      <c r="I1015" s="19"/>
      <c r="J1015" s="19"/>
      <c r="K1015" s="19"/>
      <c r="L1015" s="19"/>
      <c r="M1015" s="19"/>
      <c r="N1015" s="19"/>
    </row>
    <row r="1016" spans="1:14" s="94" customFormat="1" ht="13.2" x14ac:dyDescent="0.25">
      <c r="A1016" s="230" t="s">
        <v>2701</v>
      </c>
      <c r="B1016" s="216" t="s">
        <v>2702</v>
      </c>
      <c r="C1016" s="215" t="s">
        <v>1011</v>
      </c>
      <c r="D1016" s="46"/>
      <c r="E1016" s="45">
        <f t="shared" si="60"/>
        <v>0</v>
      </c>
      <c r="F1016" s="127">
        <f t="shared" si="61"/>
        <v>0</v>
      </c>
      <c r="G1016" s="151">
        <f>'Etude de cas n°1'!D1016</f>
        <v>0</v>
      </c>
      <c r="H1016" s="19"/>
      <c r="I1016" s="19"/>
      <c r="J1016" s="19"/>
      <c r="K1016" s="19"/>
      <c r="L1016" s="19"/>
      <c r="M1016" s="19"/>
      <c r="N1016" s="19"/>
    </row>
    <row r="1017" spans="1:14" s="94" customFormat="1" ht="13.2" x14ac:dyDescent="0.25">
      <c r="A1017" s="230" t="s">
        <v>2703</v>
      </c>
      <c r="B1017" s="216" t="s">
        <v>2704</v>
      </c>
      <c r="C1017" s="215" t="s">
        <v>1011</v>
      </c>
      <c r="D1017" s="46"/>
      <c r="E1017" s="45">
        <f t="shared" si="60"/>
        <v>0</v>
      </c>
      <c r="F1017" s="127">
        <f t="shared" si="61"/>
        <v>0</v>
      </c>
      <c r="G1017" s="151">
        <f>'Etude de cas n°1'!D1017</f>
        <v>0</v>
      </c>
      <c r="H1017" s="19"/>
      <c r="I1017" s="19"/>
      <c r="J1017" s="19"/>
      <c r="K1017" s="19"/>
      <c r="L1017" s="19"/>
      <c r="M1017" s="19"/>
      <c r="N1017" s="19"/>
    </row>
    <row r="1018" spans="1:14" s="94" customFormat="1" ht="13.2" x14ac:dyDescent="0.25">
      <c r="A1018" s="230" t="s">
        <v>2705</v>
      </c>
      <c r="B1018" s="216" t="s">
        <v>2706</v>
      </c>
      <c r="C1018" s="215" t="s">
        <v>1011</v>
      </c>
      <c r="D1018" s="46"/>
      <c r="E1018" s="45">
        <f t="shared" si="60"/>
        <v>0</v>
      </c>
      <c r="F1018" s="127">
        <f t="shared" si="61"/>
        <v>0</v>
      </c>
      <c r="G1018" s="151">
        <f>'Etude de cas n°1'!D1018</f>
        <v>0</v>
      </c>
      <c r="H1018" s="19"/>
      <c r="I1018" s="19"/>
      <c r="J1018" s="19"/>
      <c r="K1018" s="19"/>
      <c r="L1018" s="19"/>
      <c r="M1018" s="19"/>
      <c r="N1018" s="19"/>
    </row>
    <row r="1019" spans="1:14" s="94" customFormat="1" ht="13.2" x14ac:dyDescent="0.25">
      <c r="A1019" s="230" t="s">
        <v>2707</v>
      </c>
      <c r="B1019" s="216" t="s">
        <v>2708</v>
      </c>
      <c r="C1019" s="215" t="s">
        <v>1011</v>
      </c>
      <c r="D1019" s="46"/>
      <c r="E1019" s="45">
        <f t="shared" si="60"/>
        <v>0</v>
      </c>
      <c r="F1019" s="127">
        <f t="shared" si="61"/>
        <v>0</v>
      </c>
      <c r="G1019" s="151">
        <f>'Etude de cas n°1'!D1019</f>
        <v>0</v>
      </c>
      <c r="H1019" s="19"/>
      <c r="I1019" s="19"/>
      <c r="J1019" s="19"/>
      <c r="K1019" s="19"/>
      <c r="L1019" s="19"/>
      <c r="M1019" s="19"/>
      <c r="N1019" s="19"/>
    </row>
    <row r="1020" spans="1:14" s="94" customFormat="1" ht="13.2" x14ac:dyDescent="0.25">
      <c r="A1020" s="230" t="s">
        <v>2709</v>
      </c>
      <c r="B1020" s="216" t="s">
        <v>2710</v>
      </c>
      <c r="C1020" s="215" t="s">
        <v>1011</v>
      </c>
      <c r="D1020" s="46"/>
      <c r="E1020" s="45">
        <f t="shared" si="60"/>
        <v>0</v>
      </c>
      <c r="F1020" s="127">
        <f t="shared" si="61"/>
        <v>0</v>
      </c>
      <c r="G1020" s="151">
        <f>'Etude de cas n°1'!D1020</f>
        <v>0</v>
      </c>
      <c r="H1020" s="19"/>
      <c r="I1020" s="19"/>
      <c r="J1020" s="19"/>
      <c r="K1020" s="19"/>
      <c r="L1020" s="19"/>
      <c r="M1020" s="19"/>
      <c r="N1020" s="19"/>
    </row>
    <row r="1021" spans="1:14" s="94" customFormat="1" ht="13.2" x14ac:dyDescent="0.25">
      <c r="A1021" s="230" t="s">
        <v>2711</v>
      </c>
      <c r="B1021" s="216" t="s">
        <v>2712</v>
      </c>
      <c r="C1021" s="215" t="s">
        <v>1011</v>
      </c>
      <c r="D1021" s="46"/>
      <c r="E1021" s="45">
        <f t="shared" si="60"/>
        <v>0</v>
      </c>
      <c r="F1021" s="127">
        <f t="shared" si="61"/>
        <v>0</v>
      </c>
      <c r="G1021" s="151">
        <f>'Etude de cas n°1'!D1021</f>
        <v>0</v>
      </c>
      <c r="H1021" s="19"/>
      <c r="I1021" s="19"/>
      <c r="J1021" s="19"/>
      <c r="K1021" s="19"/>
      <c r="L1021" s="19"/>
      <c r="M1021" s="19"/>
      <c r="N1021" s="19"/>
    </row>
    <row r="1022" spans="1:14" s="94" customFormat="1" ht="13.2" x14ac:dyDescent="0.25">
      <c r="A1022" s="230" t="s">
        <v>2713</v>
      </c>
      <c r="B1022" s="216" t="s">
        <v>2714</v>
      </c>
      <c r="C1022" s="215" t="s">
        <v>1011</v>
      </c>
      <c r="D1022" s="46"/>
      <c r="E1022" s="45">
        <f t="shared" si="60"/>
        <v>0</v>
      </c>
      <c r="F1022" s="127">
        <f t="shared" ref="F1022" si="62">D1022*E1022</f>
        <v>0</v>
      </c>
      <c r="G1022" s="151">
        <f>'Etude de cas n°1'!D1022</f>
        <v>0</v>
      </c>
      <c r="H1022" s="19"/>
      <c r="I1022" s="19"/>
      <c r="J1022" s="19"/>
      <c r="K1022" s="19"/>
      <c r="L1022" s="19"/>
      <c r="M1022" s="19"/>
      <c r="N1022" s="19"/>
    </row>
    <row r="1023" spans="1:14" s="94" customFormat="1" ht="13.2" x14ac:dyDescent="0.25">
      <c r="A1023" s="230" t="s">
        <v>2715</v>
      </c>
      <c r="B1023" s="216" t="s">
        <v>2716</v>
      </c>
      <c r="C1023" s="215"/>
      <c r="D1023" s="46"/>
      <c r="E1023" s="45"/>
      <c r="F1023" s="127"/>
      <c r="G1023" s="151"/>
      <c r="H1023" s="19"/>
      <c r="I1023" s="19"/>
      <c r="J1023" s="19"/>
      <c r="K1023" s="19"/>
      <c r="L1023" s="19"/>
      <c r="M1023" s="19"/>
      <c r="N1023" s="19"/>
    </row>
    <row r="1024" spans="1:14" s="94" customFormat="1" ht="13.2" x14ac:dyDescent="0.25">
      <c r="A1024" s="230" t="s">
        <v>2717</v>
      </c>
      <c r="B1024" s="216" t="s">
        <v>2718</v>
      </c>
      <c r="C1024" s="215" t="s">
        <v>1034</v>
      </c>
      <c r="D1024" s="46"/>
      <c r="E1024" s="45">
        <f t="shared" si="60"/>
        <v>0</v>
      </c>
      <c r="F1024" s="127">
        <f t="shared" si="61"/>
        <v>0</v>
      </c>
      <c r="G1024" s="151">
        <f>'Etude de cas n°1'!D1024</f>
        <v>0</v>
      </c>
      <c r="H1024" s="19"/>
      <c r="I1024" s="19"/>
      <c r="J1024" s="19"/>
      <c r="K1024" s="19"/>
      <c r="L1024" s="19"/>
      <c r="M1024" s="19"/>
      <c r="N1024" s="19"/>
    </row>
    <row r="1025" spans="1:14" s="94" customFormat="1" ht="12.75" customHeight="1" x14ac:dyDescent="0.25">
      <c r="A1025" s="230" t="s">
        <v>2719</v>
      </c>
      <c r="B1025" s="216" t="s">
        <v>2720</v>
      </c>
      <c r="C1025" s="215" t="s">
        <v>1034</v>
      </c>
      <c r="D1025" s="46"/>
      <c r="E1025" s="45">
        <f t="shared" si="60"/>
        <v>0</v>
      </c>
      <c r="F1025" s="127">
        <f t="shared" si="61"/>
        <v>0</v>
      </c>
      <c r="G1025" s="151">
        <f>'Etude de cas n°1'!D1025</f>
        <v>0</v>
      </c>
      <c r="H1025" s="19"/>
      <c r="I1025" s="19"/>
      <c r="J1025" s="19"/>
      <c r="K1025" s="19"/>
      <c r="L1025" s="19"/>
      <c r="M1025" s="19"/>
      <c r="N1025" s="19"/>
    </row>
    <row r="1026" spans="1:14" s="94" customFormat="1" ht="14.25" customHeight="1" x14ac:dyDescent="0.25">
      <c r="A1026" s="230" t="s">
        <v>2721</v>
      </c>
      <c r="B1026" s="216" t="s">
        <v>2722</v>
      </c>
      <c r="C1026" s="215" t="s">
        <v>1034</v>
      </c>
      <c r="D1026" s="46"/>
      <c r="E1026" s="45">
        <f t="shared" si="60"/>
        <v>0</v>
      </c>
      <c r="F1026" s="127">
        <f t="shared" si="61"/>
        <v>0</v>
      </c>
      <c r="G1026" s="151">
        <f>'Etude de cas n°1'!D1026</f>
        <v>0</v>
      </c>
      <c r="H1026" s="19"/>
      <c r="I1026" s="19"/>
      <c r="J1026" s="19"/>
      <c r="K1026" s="19"/>
      <c r="L1026" s="19"/>
      <c r="M1026" s="19"/>
      <c r="N1026" s="19"/>
    </row>
    <row r="1027" spans="1:14" s="94" customFormat="1" ht="13.5" customHeight="1" x14ac:dyDescent="0.25">
      <c r="A1027" s="230" t="s">
        <v>2723</v>
      </c>
      <c r="B1027" s="216" t="s">
        <v>2724</v>
      </c>
      <c r="C1027" s="215" t="s">
        <v>1034</v>
      </c>
      <c r="D1027" s="46"/>
      <c r="E1027" s="45">
        <f t="shared" si="60"/>
        <v>0</v>
      </c>
      <c r="F1027" s="127">
        <f t="shared" si="61"/>
        <v>0</v>
      </c>
      <c r="G1027" s="151">
        <f>'Etude de cas n°1'!D1027</f>
        <v>0</v>
      </c>
      <c r="H1027" s="19"/>
      <c r="I1027" s="19"/>
      <c r="J1027" s="19"/>
      <c r="K1027" s="19"/>
      <c r="L1027" s="19"/>
      <c r="M1027" s="19"/>
      <c r="N1027" s="19"/>
    </row>
    <row r="1028" spans="1:14" s="94" customFormat="1" ht="12.75" customHeight="1" x14ac:dyDescent="0.25">
      <c r="A1028" s="230" t="s">
        <v>2725</v>
      </c>
      <c r="B1028" s="216" t="s">
        <v>2726</v>
      </c>
      <c r="C1028" s="215" t="s">
        <v>1034</v>
      </c>
      <c r="D1028" s="46"/>
      <c r="E1028" s="45">
        <f t="shared" si="60"/>
        <v>0</v>
      </c>
      <c r="F1028" s="127">
        <f t="shared" si="61"/>
        <v>0</v>
      </c>
      <c r="G1028" s="151">
        <f>'Etude de cas n°1'!D1028</f>
        <v>0</v>
      </c>
      <c r="H1028" s="19"/>
      <c r="I1028" s="19"/>
      <c r="J1028" s="19"/>
      <c r="K1028" s="19"/>
      <c r="L1028" s="19"/>
      <c r="M1028" s="19"/>
      <c r="N1028" s="19"/>
    </row>
    <row r="1029" spans="1:14" s="94" customFormat="1" ht="15" customHeight="1" x14ac:dyDescent="0.25">
      <c r="A1029" s="230" t="s">
        <v>2727</v>
      </c>
      <c r="B1029" s="216" t="s">
        <v>2728</v>
      </c>
      <c r="C1029" s="215" t="s">
        <v>1034</v>
      </c>
      <c r="D1029" s="46"/>
      <c r="E1029" s="45">
        <f t="shared" si="60"/>
        <v>0</v>
      </c>
      <c r="F1029" s="127">
        <f t="shared" si="61"/>
        <v>0</v>
      </c>
      <c r="G1029" s="151">
        <f>'Etude de cas n°1'!D1029</f>
        <v>0</v>
      </c>
      <c r="H1029" s="19"/>
      <c r="I1029" s="19"/>
      <c r="J1029" s="19"/>
      <c r="K1029" s="19"/>
      <c r="L1029" s="19"/>
      <c r="M1029" s="19"/>
      <c r="N1029" s="19"/>
    </row>
    <row r="1030" spans="1:14" s="94" customFormat="1" ht="12.75" customHeight="1" x14ac:dyDescent="0.25">
      <c r="A1030" s="230" t="s">
        <v>2729</v>
      </c>
      <c r="B1030" s="216" t="s">
        <v>2730</v>
      </c>
      <c r="C1030" s="217" t="s">
        <v>1034</v>
      </c>
      <c r="D1030" s="46"/>
      <c r="E1030" s="45">
        <f t="shared" si="60"/>
        <v>0</v>
      </c>
      <c r="F1030" s="127">
        <f t="shared" si="61"/>
        <v>0</v>
      </c>
      <c r="G1030" s="151">
        <f>'Etude de cas n°1'!D1030</f>
        <v>0</v>
      </c>
      <c r="H1030" s="19"/>
      <c r="I1030" s="19"/>
      <c r="J1030" s="19"/>
      <c r="K1030" s="19"/>
      <c r="L1030" s="19"/>
      <c r="M1030" s="19"/>
      <c r="N1030" s="19"/>
    </row>
    <row r="1031" spans="1:14" s="94" customFormat="1" ht="13.2" x14ac:dyDescent="0.25">
      <c r="A1031" s="230" t="s">
        <v>2731</v>
      </c>
      <c r="B1031" s="216" t="s">
        <v>2732</v>
      </c>
      <c r="C1031" s="215" t="s">
        <v>1034</v>
      </c>
      <c r="D1031" s="46"/>
      <c r="E1031" s="45">
        <f t="shared" si="60"/>
        <v>0</v>
      </c>
      <c r="F1031" s="127">
        <f t="shared" si="61"/>
        <v>0</v>
      </c>
      <c r="G1031" s="151">
        <f>'Etude de cas n°1'!D1031</f>
        <v>0</v>
      </c>
      <c r="H1031" s="19"/>
      <c r="I1031" s="19"/>
      <c r="J1031" s="19"/>
      <c r="K1031" s="19"/>
      <c r="L1031" s="19"/>
      <c r="M1031" s="19"/>
      <c r="N1031" s="19"/>
    </row>
    <row r="1032" spans="1:14" s="94" customFormat="1" ht="13.2" x14ac:dyDescent="0.25">
      <c r="A1032" s="230" t="s">
        <v>2733</v>
      </c>
      <c r="B1032" s="216" t="s">
        <v>2734</v>
      </c>
      <c r="C1032" s="215" t="s">
        <v>1034</v>
      </c>
      <c r="D1032" s="46"/>
      <c r="E1032" s="45">
        <f t="shared" si="60"/>
        <v>0</v>
      </c>
      <c r="F1032" s="127">
        <f t="shared" si="61"/>
        <v>0</v>
      </c>
      <c r="G1032" s="151">
        <f>'Etude de cas n°1'!D1032</f>
        <v>0</v>
      </c>
      <c r="H1032" s="19"/>
      <c r="I1032" s="19"/>
      <c r="J1032" s="19"/>
      <c r="K1032" s="19"/>
      <c r="L1032" s="19"/>
      <c r="M1032" s="19"/>
      <c r="N1032" s="19"/>
    </row>
    <row r="1033" spans="1:14" s="94" customFormat="1" ht="13.2" x14ac:dyDescent="0.25">
      <c r="A1033" s="230" t="s">
        <v>2735</v>
      </c>
      <c r="B1033" s="216" t="s">
        <v>2736</v>
      </c>
      <c r="C1033" s="215"/>
      <c r="D1033" s="46"/>
      <c r="E1033" s="45"/>
      <c r="F1033" s="127"/>
      <c r="G1033" s="151"/>
      <c r="H1033" s="19"/>
      <c r="I1033" s="19"/>
      <c r="J1033" s="19"/>
      <c r="K1033" s="19"/>
      <c r="L1033" s="19"/>
      <c r="M1033" s="19"/>
      <c r="N1033" s="19"/>
    </row>
    <row r="1034" spans="1:14" s="94" customFormat="1" ht="13.2" x14ac:dyDescent="0.25">
      <c r="A1034" s="230" t="s">
        <v>2737</v>
      </c>
      <c r="B1034" s="192" t="s">
        <v>2738</v>
      </c>
      <c r="C1034" s="215" t="s">
        <v>984</v>
      </c>
      <c r="D1034" s="46"/>
      <c r="E1034" s="45">
        <f t="shared" si="60"/>
        <v>0</v>
      </c>
      <c r="F1034" s="127">
        <f t="shared" si="61"/>
        <v>0</v>
      </c>
      <c r="G1034" s="151">
        <f>'Etude de cas n°1'!D1034</f>
        <v>0</v>
      </c>
      <c r="H1034" s="19"/>
      <c r="I1034" s="19"/>
      <c r="J1034" s="19"/>
      <c r="K1034" s="19"/>
      <c r="L1034" s="19"/>
      <c r="M1034" s="19"/>
      <c r="N1034" s="19"/>
    </row>
    <row r="1035" spans="1:14" s="94" customFormat="1" ht="13.2" x14ac:dyDescent="0.25">
      <c r="A1035" s="230" t="s">
        <v>2739</v>
      </c>
      <c r="B1035" s="216" t="s">
        <v>2740</v>
      </c>
      <c r="C1035" s="215" t="s">
        <v>984</v>
      </c>
      <c r="D1035" s="46"/>
      <c r="E1035" s="45">
        <f t="shared" si="60"/>
        <v>0</v>
      </c>
      <c r="F1035" s="127">
        <f t="shared" si="61"/>
        <v>0</v>
      </c>
      <c r="G1035" s="151">
        <f>'Etude de cas n°1'!D1035</f>
        <v>0</v>
      </c>
      <c r="H1035" s="19"/>
      <c r="I1035" s="19"/>
      <c r="J1035" s="19"/>
      <c r="K1035" s="19"/>
      <c r="L1035" s="19"/>
      <c r="M1035" s="19"/>
      <c r="N1035" s="19"/>
    </row>
    <row r="1036" spans="1:14" s="94" customFormat="1" ht="13.2" x14ac:dyDescent="0.25">
      <c r="A1036" s="230" t="s">
        <v>2741</v>
      </c>
      <c r="B1036" s="216" t="s">
        <v>2742</v>
      </c>
      <c r="C1036" s="217" t="s">
        <v>984</v>
      </c>
      <c r="D1036" s="46"/>
      <c r="E1036" s="45">
        <f t="shared" si="60"/>
        <v>0</v>
      </c>
      <c r="F1036" s="127">
        <f t="shared" si="61"/>
        <v>0</v>
      </c>
      <c r="G1036" s="151">
        <f>'Etude de cas n°1'!D1036</f>
        <v>0</v>
      </c>
      <c r="H1036" s="19"/>
      <c r="I1036" s="19"/>
      <c r="J1036" s="19"/>
      <c r="K1036" s="19"/>
      <c r="L1036" s="19"/>
      <c r="M1036" s="19"/>
      <c r="N1036" s="19"/>
    </row>
    <row r="1037" spans="1:14" s="94" customFormat="1" ht="13.2" x14ac:dyDescent="0.25">
      <c r="A1037" s="230" t="s">
        <v>2743</v>
      </c>
      <c r="B1037" s="223" t="s">
        <v>2744</v>
      </c>
      <c r="C1037" s="215" t="s">
        <v>984</v>
      </c>
      <c r="D1037" s="46"/>
      <c r="E1037" s="45">
        <f t="shared" si="60"/>
        <v>0</v>
      </c>
      <c r="F1037" s="127">
        <f t="shared" si="61"/>
        <v>0</v>
      </c>
      <c r="G1037" s="151">
        <f>'Etude de cas n°1'!D1037</f>
        <v>0</v>
      </c>
      <c r="H1037" s="19"/>
      <c r="I1037" s="19"/>
      <c r="J1037" s="19"/>
      <c r="K1037" s="19"/>
      <c r="L1037" s="19"/>
      <c r="M1037" s="19"/>
      <c r="N1037" s="19"/>
    </row>
    <row r="1038" spans="1:14" s="94" customFormat="1" ht="13.2" x14ac:dyDescent="0.25">
      <c r="A1038" s="230" t="s">
        <v>2745</v>
      </c>
      <c r="B1038" s="223" t="s">
        <v>2746</v>
      </c>
      <c r="C1038" s="215" t="s">
        <v>984</v>
      </c>
      <c r="D1038" s="46"/>
      <c r="E1038" s="45">
        <f t="shared" si="60"/>
        <v>0</v>
      </c>
      <c r="F1038" s="127">
        <f t="shared" si="61"/>
        <v>0</v>
      </c>
      <c r="G1038" s="151">
        <f>'Etude de cas n°1'!D1038</f>
        <v>0</v>
      </c>
      <c r="H1038" s="19"/>
      <c r="I1038" s="19"/>
      <c r="J1038" s="19"/>
      <c r="K1038" s="19"/>
      <c r="L1038" s="19"/>
      <c r="M1038" s="19"/>
      <c r="N1038" s="19"/>
    </row>
    <row r="1039" spans="1:14" s="94" customFormat="1" ht="13.2" x14ac:dyDescent="0.25">
      <c r="A1039" s="230" t="s">
        <v>2747</v>
      </c>
      <c r="B1039" s="223" t="s">
        <v>2748</v>
      </c>
      <c r="C1039" s="215" t="s">
        <v>1011</v>
      </c>
      <c r="D1039" s="46"/>
      <c r="E1039" s="45">
        <f t="shared" si="60"/>
        <v>0</v>
      </c>
      <c r="F1039" s="127">
        <f t="shared" si="61"/>
        <v>0</v>
      </c>
      <c r="G1039" s="151">
        <f>'Etude de cas n°1'!D1039</f>
        <v>0</v>
      </c>
      <c r="H1039" s="19"/>
      <c r="I1039" s="19"/>
      <c r="J1039" s="19"/>
      <c r="K1039" s="19"/>
      <c r="L1039" s="19"/>
      <c r="M1039" s="19"/>
      <c r="N1039" s="19"/>
    </row>
    <row r="1040" spans="1:14" s="94" customFormat="1" ht="13.5" customHeight="1" x14ac:dyDescent="0.25">
      <c r="A1040" s="230" t="s">
        <v>2749</v>
      </c>
      <c r="B1040" s="216" t="s">
        <v>2750</v>
      </c>
      <c r="C1040" s="242"/>
      <c r="D1040" s="46"/>
      <c r="E1040" s="45"/>
      <c r="F1040" s="127"/>
      <c r="G1040" s="151"/>
      <c r="H1040" s="19"/>
      <c r="I1040" s="19"/>
      <c r="J1040" s="19"/>
      <c r="K1040" s="19"/>
      <c r="L1040" s="19"/>
      <c r="M1040" s="19"/>
      <c r="N1040" s="19"/>
    </row>
    <row r="1041" spans="1:14" s="94" customFormat="1" ht="13.2" x14ac:dyDescent="0.25">
      <c r="A1041" s="230" t="s">
        <v>2751</v>
      </c>
      <c r="B1041" s="223" t="s">
        <v>2718</v>
      </c>
      <c r="C1041" s="215" t="s">
        <v>1034</v>
      </c>
      <c r="D1041" s="46"/>
      <c r="E1041" s="45">
        <f t="shared" si="60"/>
        <v>0</v>
      </c>
      <c r="F1041" s="127">
        <f t="shared" si="61"/>
        <v>0</v>
      </c>
      <c r="G1041" s="151">
        <f>'Etude de cas n°1'!D1041</f>
        <v>0</v>
      </c>
      <c r="H1041" s="19"/>
      <c r="I1041" s="19"/>
      <c r="J1041" s="19"/>
      <c r="K1041" s="19"/>
      <c r="L1041" s="19"/>
      <c r="M1041" s="19"/>
      <c r="N1041" s="19"/>
    </row>
    <row r="1042" spans="1:14" s="94" customFormat="1" ht="13.2" x14ac:dyDescent="0.25">
      <c r="A1042" s="230" t="s">
        <v>2752</v>
      </c>
      <c r="B1042" s="223" t="s">
        <v>2720</v>
      </c>
      <c r="C1042" s="215" t="s">
        <v>1034</v>
      </c>
      <c r="D1042" s="46"/>
      <c r="E1042" s="45">
        <f t="shared" si="60"/>
        <v>0</v>
      </c>
      <c r="F1042" s="127">
        <f t="shared" si="61"/>
        <v>0</v>
      </c>
      <c r="G1042" s="151">
        <f>'Etude de cas n°1'!D1042</f>
        <v>0</v>
      </c>
      <c r="H1042" s="19"/>
      <c r="I1042" s="19"/>
      <c r="J1042" s="19"/>
      <c r="K1042" s="19"/>
      <c r="L1042" s="19"/>
      <c r="M1042" s="19"/>
      <c r="N1042" s="19"/>
    </row>
    <row r="1043" spans="1:14" s="94" customFormat="1" ht="13.2" x14ac:dyDescent="0.25">
      <c r="A1043" s="230" t="s">
        <v>2753</v>
      </c>
      <c r="B1043" s="223" t="s">
        <v>2722</v>
      </c>
      <c r="C1043" s="215" t="s">
        <v>1034</v>
      </c>
      <c r="D1043" s="46"/>
      <c r="E1043" s="45">
        <f t="shared" si="60"/>
        <v>0</v>
      </c>
      <c r="F1043" s="127">
        <f t="shared" si="61"/>
        <v>0</v>
      </c>
      <c r="G1043" s="151">
        <f>'Etude de cas n°1'!D1043</f>
        <v>0</v>
      </c>
      <c r="H1043" s="19"/>
      <c r="I1043" s="19"/>
      <c r="J1043" s="19"/>
      <c r="K1043" s="19"/>
      <c r="L1043" s="19"/>
      <c r="M1043" s="19"/>
      <c r="N1043" s="19"/>
    </row>
    <row r="1044" spans="1:14" s="94" customFormat="1" ht="13.2" x14ac:dyDescent="0.25">
      <c r="A1044" s="230" t="s">
        <v>2754</v>
      </c>
      <c r="B1044" s="216" t="s">
        <v>2724</v>
      </c>
      <c r="C1044" s="215" t="s">
        <v>1034</v>
      </c>
      <c r="D1044" s="46"/>
      <c r="E1044" s="45">
        <f t="shared" si="60"/>
        <v>0</v>
      </c>
      <c r="F1044" s="127">
        <f t="shared" si="61"/>
        <v>0</v>
      </c>
      <c r="G1044" s="151">
        <f>'Etude de cas n°1'!D1044</f>
        <v>0</v>
      </c>
      <c r="H1044" s="19"/>
      <c r="I1044" s="19"/>
      <c r="J1044" s="19"/>
      <c r="K1044" s="19"/>
      <c r="L1044" s="19"/>
      <c r="M1044" s="19"/>
      <c r="N1044" s="19"/>
    </row>
    <row r="1045" spans="1:14" s="94" customFormat="1" ht="13.2" x14ac:dyDescent="0.25">
      <c r="A1045" s="230" t="s">
        <v>2755</v>
      </c>
      <c r="B1045" s="216" t="s">
        <v>2756</v>
      </c>
      <c r="C1045" s="215" t="s">
        <v>1034</v>
      </c>
      <c r="D1045" s="46"/>
      <c r="E1045" s="45">
        <f t="shared" si="60"/>
        <v>0</v>
      </c>
      <c r="F1045" s="127">
        <f t="shared" si="61"/>
        <v>0</v>
      </c>
      <c r="G1045" s="151">
        <f>'Etude de cas n°1'!D1045</f>
        <v>0</v>
      </c>
      <c r="H1045" s="19"/>
      <c r="I1045" s="19"/>
      <c r="J1045" s="19"/>
      <c r="K1045" s="19"/>
      <c r="L1045" s="19"/>
      <c r="M1045" s="19"/>
      <c r="N1045" s="19"/>
    </row>
    <row r="1046" spans="1:14" s="94" customFormat="1" ht="13.2" x14ac:dyDescent="0.25">
      <c r="A1046" s="230" t="s">
        <v>2757</v>
      </c>
      <c r="B1046" s="223" t="s">
        <v>2758</v>
      </c>
      <c r="C1046" s="215" t="s">
        <v>1034</v>
      </c>
      <c r="D1046" s="46"/>
      <c r="E1046" s="45">
        <f t="shared" si="60"/>
        <v>0</v>
      </c>
      <c r="F1046" s="127">
        <f t="shared" si="61"/>
        <v>0</v>
      </c>
      <c r="G1046" s="151">
        <f>'Etude de cas n°1'!D1046</f>
        <v>0</v>
      </c>
      <c r="H1046" s="19"/>
      <c r="I1046" s="19"/>
      <c r="J1046" s="19"/>
      <c r="K1046" s="19"/>
      <c r="L1046" s="19"/>
      <c r="M1046" s="19"/>
      <c r="N1046" s="19"/>
    </row>
    <row r="1047" spans="1:14" s="94" customFormat="1" ht="13.2" x14ac:dyDescent="0.25">
      <c r="A1047" s="230" t="s">
        <v>2759</v>
      </c>
      <c r="B1047" s="223" t="s">
        <v>2760</v>
      </c>
      <c r="C1047" s="215" t="s">
        <v>1034</v>
      </c>
      <c r="D1047" s="46"/>
      <c r="E1047" s="45">
        <f t="shared" si="60"/>
        <v>0</v>
      </c>
      <c r="F1047" s="127">
        <f t="shared" si="61"/>
        <v>0</v>
      </c>
      <c r="G1047" s="151">
        <f>'Etude de cas n°1'!D1047</f>
        <v>0</v>
      </c>
      <c r="H1047" s="19"/>
      <c r="I1047" s="19"/>
      <c r="J1047" s="19"/>
      <c r="K1047" s="19"/>
      <c r="L1047" s="19"/>
      <c r="M1047" s="19"/>
      <c r="N1047" s="19"/>
    </row>
    <row r="1048" spans="1:14" s="94" customFormat="1" ht="13.2" x14ac:dyDescent="0.25">
      <c r="A1048" s="230" t="s">
        <v>2761</v>
      </c>
      <c r="B1048" s="223" t="s">
        <v>2762</v>
      </c>
      <c r="C1048" s="215" t="s">
        <v>1034</v>
      </c>
      <c r="D1048" s="46"/>
      <c r="E1048" s="45">
        <f t="shared" si="60"/>
        <v>0</v>
      </c>
      <c r="F1048" s="127">
        <f t="shared" si="61"/>
        <v>0</v>
      </c>
      <c r="G1048" s="151">
        <f>'Etude de cas n°1'!D1048</f>
        <v>0</v>
      </c>
      <c r="H1048" s="19"/>
      <c r="I1048" s="19"/>
      <c r="J1048" s="19"/>
      <c r="K1048" s="19"/>
      <c r="L1048" s="19"/>
      <c r="M1048" s="19"/>
      <c r="N1048" s="19"/>
    </row>
    <row r="1049" spans="1:14" s="94" customFormat="1" ht="13.2" x14ac:dyDescent="0.25">
      <c r="A1049" s="230" t="s">
        <v>2763</v>
      </c>
      <c r="B1049" s="216" t="s">
        <v>2764</v>
      </c>
      <c r="C1049" s="215"/>
      <c r="D1049" s="46"/>
      <c r="E1049" s="45"/>
      <c r="F1049" s="127"/>
      <c r="G1049" s="151"/>
      <c r="H1049" s="19"/>
      <c r="I1049" s="19"/>
      <c r="J1049" s="19"/>
      <c r="K1049" s="19"/>
      <c r="L1049" s="19"/>
      <c r="M1049" s="19"/>
      <c r="N1049" s="19"/>
    </row>
    <row r="1050" spans="1:14" s="94" customFormat="1" ht="13.2" x14ac:dyDescent="0.25">
      <c r="A1050" s="230" t="s">
        <v>2765</v>
      </c>
      <c r="B1050" s="223" t="s">
        <v>2738</v>
      </c>
      <c r="C1050" s="215" t="s">
        <v>984</v>
      </c>
      <c r="D1050" s="46"/>
      <c r="E1050" s="45">
        <f t="shared" si="60"/>
        <v>0</v>
      </c>
      <c r="F1050" s="127">
        <f t="shared" si="61"/>
        <v>0</v>
      </c>
      <c r="G1050" s="151">
        <f>'Etude de cas n°1'!D1050</f>
        <v>0</v>
      </c>
      <c r="H1050" s="19"/>
      <c r="I1050" s="19"/>
      <c r="J1050" s="19"/>
      <c r="K1050" s="19"/>
      <c r="L1050" s="19"/>
      <c r="M1050" s="19"/>
      <c r="N1050" s="19"/>
    </row>
    <row r="1051" spans="1:14" s="94" customFormat="1" ht="13.2" x14ac:dyDescent="0.25">
      <c r="A1051" s="230" t="s">
        <v>2766</v>
      </c>
      <c r="B1051" s="223" t="s">
        <v>2740</v>
      </c>
      <c r="C1051" s="215" t="s">
        <v>984</v>
      </c>
      <c r="D1051" s="46"/>
      <c r="E1051" s="45">
        <f t="shared" si="60"/>
        <v>0</v>
      </c>
      <c r="F1051" s="127">
        <f t="shared" si="61"/>
        <v>0</v>
      </c>
      <c r="G1051" s="151">
        <f>'Etude de cas n°1'!D1051</f>
        <v>0</v>
      </c>
      <c r="H1051" s="19"/>
      <c r="I1051" s="19"/>
      <c r="J1051" s="19"/>
      <c r="K1051" s="19"/>
      <c r="L1051" s="19"/>
      <c r="M1051" s="19"/>
      <c r="N1051" s="19"/>
    </row>
    <row r="1052" spans="1:14" s="94" customFormat="1" ht="13.2" x14ac:dyDescent="0.25">
      <c r="A1052" s="230" t="s">
        <v>2767</v>
      </c>
      <c r="B1052" s="223" t="s">
        <v>2742</v>
      </c>
      <c r="C1052" s="215" t="s">
        <v>984</v>
      </c>
      <c r="D1052" s="46"/>
      <c r="E1052" s="45">
        <f t="shared" si="60"/>
        <v>0</v>
      </c>
      <c r="F1052" s="127">
        <f t="shared" si="61"/>
        <v>0</v>
      </c>
      <c r="G1052" s="151">
        <f>'Etude de cas n°1'!D1052</f>
        <v>0</v>
      </c>
      <c r="H1052" s="19"/>
      <c r="I1052" s="19"/>
      <c r="J1052" s="19"/>
      <c r="K1052" s="19"/>
      <c r="L1052" s="19"/>
      <c r="M1052" s="19"/>
      <c r="N1052" s="19"/>
    </row>
    <row r="1053" spans="1:14" s="94" customFormat="1" ht="13.2" x14ac:dyDescent="0.25">
      <c r="A1053" s="230" t="s">
        <v>2768</v>
      </c>
      <c r="B1053" s="216" t="s">
        <v>2744</v>
      </c>
      <c r="C1053" s="217" t="s">
        <v>984</v>
      </c>
      <c r="D1053" s="46"/>
      <c r="E1053" s="45">
        <f t="shared" si="60"/>
        <v>0</v>
      </c>
      <c r="F1053" s="127">
        <f t="shared" si="61"/>
        <v>0</v>
      </c>
      <c r="G1053" s="151">
        <f>'Etude de cas n°1'!D1053</f>
        <v>0</v>
      </c>
      <c r="H1053" s="19"/>
      <c r="I1053" s="19"/>
      <c r="J1053" s="19"/>
      <c r="K1053" s="19"/>
      <c r="L1053" s="19"/>
      <c r="M1053" s="19"/>
      <c r="N1053" s="19"/>
    </row>
    <row r="1054" spans="1:14" s="94" customFormat="1" ht="13.2" x14ac:dyDescent="0.25">
      <c r="A1054" s="230" t="s">
        <v>2769</v>
      </c>
      <c r="B1054" s="216" t="s">
        <v>2746</v>
      </c>
      <c r="C1054" s="217" t="s">
        <v>984</v>
      </c>
      <c r="D1054" s="46"/>
      <c r="E1054" s="45">
        <f t="shared" si="60"/>
        <v>0</v>
      </c>
      <c r="F1054" s="127">
        <f t="shared" si="61"/>
        <v>0</v>
      </c>
      <c r="G1054" s="151">
        <f>'Etude de cas n°1'!D1054</f>
        <v>0</v>
      </c>
      <c r="H1054" s="19"/>
      <c r="I1054" s="19"/>
      <c r="J1054" s="19"/>
      <c r="K1054" s="19"/>
      <c r="L1054" s="19"/>
      <c r="M1054" s="19"/>
      <c r="N1054" s="19"/>
    </row>
    <row r="1055" spans="1:14" s="94" customFormat="1" ht="26.4" x14ac:dyDescent="0.25">
      <c r="A1055" s="232" t="s">
        <v>2770</v>
      </c>
      <c r="B1055" s="135" t="s">
        <v>2771</v>
      </c>
      <c r="C1055" s="217"/>
      <c r="D1055" s="46"/>
      <c r="E1055" s="45"/>
      <c r="F1055" s="127"/>
      <c r="G1055" s="151"/>
      <c r="H1055" s="19"/>
      <c r="I1055" s="19"/>
      <c r="J1055" s="19"/>
      <c r="K1055" s="19"/>
      <c r="L1055" s="19"/>
      <c r="M1055" s="19"/>
      <c r="N1055" s="19"/>
    </row>
    <row r="1056" spans="1:14" s="94" customFormat="1" ht="13.2" x14ac:dyDescent="0.25">
      <c r="A1056" s="232" t="s">
        <v>2772</v>
      </c>
      <c r="B1056" s="135" t="s">
        <v>2738</v>
      </c>
      <c r="C1056" s="217" t="s">
        <v>984</v>
      </c>
      <c r="D1056" s="46"/>
      <c r="E1056" s="45">
        <f t="shared" si="60"/>
        <v>0</v>
      </c>
      <c r="F1056" s="127">
        <f t="shared" si="61"/>
        <v>0</v>
      </c>
      <c r="G1056" s="151">
        <f>'Etude de cas n°1'!D1056</f>
        <v>0</v>
      </c>
      <c r="H1056" s="19"/>
      <c r="I1056" s="19"/>
      <c r="J1056" s="19"/>
      <c r="K1056" s="19"/>
      <c r="L1056" s="19"/>
      <c r="M1056" s="19"/>
      <c r="N1056" s="19"/>
    </row>
    <row r="1057" spans="1:14" s="94" customFormat="1" ht="13.2" x14ac:dyDescent="0.25">
      <c r="A1057" s="232" t="s">
        <v>2773</v>
      </c>
      <c r="B1057" s="135" t="s">
        <v>2740</v>
      </c>
      <c r="C1057" s="217" t="s">
        <v>984</v>
      </c>
      <c r="D1057" s="46"/>
      <c r="E1057" s="45">
        <f t="shared" ref="E1057:E1060" si="63">G1057</f>
        <v>0</v>
      </c>
      <c r="F1057" s="127">
        <f t="shared" si="61"/>
        <v>0</v>
      </c>
      <c r="G1057" s="151">
        <f>'Etude de cas n°1'!D1057</f>
        <v>0</v>
      </c>
      <c r="H1057" s="19"/>
      <c r="I1057" s="19"/>
      <c r="J1057" s="19"/>
      <c r="K1057" s="19"/>
      <c r="L1057" s="19"/>
      <c r="M1057" s="19"/>
      <c r="N1057" s="19"/>
    </row>
    <row r="1058" spans="1:14" s="94" customFormat="1" ht="13.2" x14ac:dyDescent="0.25">
      <c r="A1058" s="232" t="s">
        <v>2774</v>
      </c>
      <c r="B1058" s="135" t="s">
        <v>2742</v>
      </c>
      <c r="C1058" s="217" t="s">
        <v>984</v>
      </c>
      <c r="D1058" s="46"/>
      <c r="E1058" s="45">
        <f t="shared" si="63"/>
        <v>0</v>
      </c>
      <c r="F1058" s="127">
        <f t="shared" si="61"/>
        <v>0</v>
      </c>
      <c r="G1058" s="151">
        <f>'Etude de cas n°1'!D1058</f>
        <v>0</v>
      </c>
      <c r="H1058" s="19"/>
      <c r="I1058" s="19"/>
      <c r="J1058" s="19"/>
      <c r="K1058" s="19"/>
      <c r="L1058" s="19"/>
      <c r="M1058" s="19"/>
      <c r="N1058" s="19"/>
    </row>
    <row r="1059" spans="1:14" s="94" customFormat="1" ht="13.2" x14ac:dyDescent="0.25">
      <c r="A1059" s="232" t="s">
        <v>2775</v>
      </c>
      <c r="B1059" s="135" t="s">
        <v>2744</v>
      </c>
      <c r="C1059" s="217" t="s">
        <v>984</v>
      </c>
      <c r="D1059" s="46"/>
      <c r="E1059" s="45">
        <f t="shared" si="63"/>
        <v>0</v>
      </c>
      <c r="F1059" s="127">
        <f>D1059*E1059</f>
        <v>0</v>
      </c>
      <c r="G1059" s="151">
        <f>'Etude de cas n°1'!D1059</f>
        <v>0</v>
      </c>
      <c r="H1059" s="19"/>
      <c r="I1059" s="19"/>
      <c r="J1059" s="19"/>
      <c r="K1059" s="19"/>
      <c r="L1059" s="19"/>
      <c r="M1059" s="19"/>
      <c r="N1059" s="19"/>
    </row>
    <row r="1060" spans="1:14" s="94" customFormat="1" ht="13.2" x14ac:dyDescent="0.25">
      <c r="A1060" s="232" t="s">
        <v>2776</v>
      </c>
      <c r="B1060" s="135" t="s">
        <v>2746</v>
      </c>
      <c r="C1060" s="217" t="s">
        <v>984</v>
      </c>
      <c r="D1060" s="46"/>
      <c r="E1060" s="45">
        <f t="shared" si="63"/>
        <v>0</v>
      </c>
      <c r="F1060" s="127">
        <f>D1060*E1060</f>
        <v>0</v>
      </c>
      <c r="G1060" s="151">
        <f>'Etude de cas n°1'!D1060</f>
        <v>0</v>
      </c>
      <c r="H1060" s="19"/>
      <c r="I1060" s="19"/>
      <c r="J1060" s="19"/>
      <c r="K1060" s="19"/>
      <c r="L1060" s="19"/>
      <c r="M1060" s="19"/>
      <c r="N1060" s="19"/>
    </row>
    <row r="1061" spans="1:14" s="94" customFormat="1" ht="13.2" x14ac:dyDescent="0.25">
      <c r="A1061" s="232"/>
      <c r="B1061" s="122"/>
      <c r="C1061" s="217"/>
      <c r="D1061" s="120"/>
      <c r="E1061" s="45"/>
      <c r="F1061" s="127"/>
      <c r="G1061" s="151"/>
      <c r="H1061" s="19"/>
      <c r="I1061" s="19"/>
      <c r="J1061" s="19"/>
      <c r="K1061" s="19"/>
      <c r="L1061" s="19"/>
      <c r="M1061" s="19"/>
      <c r="N1061" s="19"/>
    </row>
    <row r="1062" spans="1:14" s="94" customFormat="1" ht="13.2" x14ac:dyDescent="0.25">
      <c r="A1062" s="232"/>
      <c r="B1062" s="122" t="s">
        <v>2777</v>
      </c>
      <c r="C1062" s="217"/>
      <c r="D1062" s="120"/>
      <c r="E1062" s="45"/>
      <c r="F1062" s="127">
        <f>SUM(F863:F1061)</f>
        <v>0</v>
      </c>
      <c r="G1062" s="151"/>
      <c r="H1062" s="19"/>
      <c r="I1062" s="19"/>
      <c r="J1062" s="19"/>
      <c r="K1062" s="19"/>
      <c r="L1062" s="19"/>
      <c r="M1062" s="19"/>
      <c r="N1062" s="19"/>
    </row>
    <row r="1063" spans="1:14" s="94" customFormat="1" ht="13.2" x14ac:dyDescent="0.25">
      <c r="A1063" s="232"/>
      <c r="B1063" s="122"/>
      <c r="C1063" s="217"/>
      <c r="D1063" s="120"/>
      <c r="E1063" s="45"/>
      <c r="F1063" s="127"/>
      <c r="G1063" s="151"/>
      <c r="H1063" s="19"/>
      <c r="I1063" s="19"/>
      <c r="J1063" s="19"/>
      <c r="K1063" s="19"/>
      <c r="L1063" s="19"/>
      <c r="M1063" s="19"/>
      <c r="N1063" s="19"/>
    </row>
    <row r="1064" spans="1:14" s="94" customFormat="1" ht="26.4" x14ac:dyDescent="0.25">
      <c r="A1064" s="29" t="s">
        <v>2778</v>
      </c>
      <c r="B1064" s="32" t="s">
        <v>2779</v>
      </c>
      <c r="C1064" s="224" t="s">
        <v>1883</v>
      </c>
      <c r="D1064" s="233"/>
      <c r="E1064" s="224" t="s">
        <v>1883</v>
      </c>
      <c r="F1064" s="224" t="s">
        <v>1883</v>
      </c>
      <c r="G1064" s="224" t="s">
        <v>1883</v>
      </c>
      <c r="H1064" s="19"/>
      <c r="I1064" s="19"/>
      <c r="J1064" s="19"/>
      <c r="K1064" s="19"/>
      <c r="L1064" s="19"/>
      <c r="M1064" s="19"/>
      <c r="N1064" s="19"/>
    </row>
    <row r="1065" spans="1:14" s="94" customFormat="1" ht="26.4" x14ac:dyDescent="0.25">
      <c r="A1065" s="27" t="s">
        <v>458</v>
      </c>
      <c r="B1065" s="3" t="s">
        <v>2780</v>
      </c>
      <c r="C1065" s="217" t="s">
        <v>1883</v>
      </c>
      <c r="D1065" s="46"/>
      <c r="E1065" s="45"/>
      <c r="F1065" s="127"/>
      <c r="G1065" s="151"/>
      <c r="H1065" s="19"/>
      <c r="I1065" s="19"/>
      <c r="J1065" s="19"/>
      <c r="K1065" s="19"/>
      <c r="L1065" s="19"/>
      <c r="M1065" s="19"/>
      <c r="N1065" s="19"/>
    </row>
    <row r="1066" spans="1:14" s="94" customFormat="1" ht="13.2" x14ac:dyDescent="0.25">
      <c r="A1066" s="202" t="s">
        <v>2781</v>
      </c>
      <c r="B1066" s="216" t="s">
        <v>2782</v>
      </c>
      <c r="C1066" s="217"/>
      <c r="D1066" s="46"/>
      <c r="E1066" s="45"/>
      <c r="F1066" s="127"/>
      <c r="G1066" s="151"/>
      <c r="H1066" s="19"/>
      <c r="I1066" s="19"/>
      <c r="J1066" s="19"/>
      <c r="K1066" s="19"/>
      <c r="L1066" s="19"/>
      <c r="M1066" s="19"/>
      <c r="N1066" s="19"/>
    </row>
    <row r="1067" spans="1:14" s="94" customFormat="1" ht="13.2" x14ac:dyDescent="0.25">
      <c r="A1067" s="234" t="s">
        <v>2783</v>
      </c>
      <c r="B1067" s="216" t="s">
        <v>2784</v>
      </c>
      <c r="C1067" s="217" t="s">
        <v>1034</v>
      </c>
      <c r="D1067" s="46"/>
      <c r="E1067" s="45">
        <f t="shared" ref="E1067:E1104" si="64">G1067</f>
        <v>0</v>
      </c>
      <c r="F1067" s="127">
        <f>D1067*E1067</f>
        <v>0</v>
      </c>
      <c r="G1067" s="151">
        <f>'Etude de cas n°1'!D1067</f>
        <v>0</v>
      </c>
      <c r="H1067" s="19"/>
      <c r="I1067" s="19"/>
      <c r="J1067" s="19"/>
      <c r="K1067" s="19"/>
      <c r="L1067" s="19"/>
      <c r="M1067" s="19"/>
      <c r="N1067" s="19"/>
    </row>
    <row r="1068" spans="1:14" s="94" customFormat="1" ht="13.2" x14ac:dyDescent="0.25">
      <c r="A1068" s="234" t="s">
        <v>2785</v>
      </c>
      <c r="B1068" s="216" t="s">
        <v>2786</v>
      </c>
      <c r="C1068" s="217" t="s">
        <v>1034</v>
      </c>
      <c r="D1068" s="46"/>
      <c r="E1068" s="45">
        <f t="shared" si="64"/>
        <v>155</v>
      </c>
      <c r="F1068" s="127">
        <f t="shared" ref="F1068:F1104" si="65">D1068*E1068</f>
        <v>0</v>
      </c>
      <c r="G1068" s="151">
        <f>'Etude de cas n°1'!D1068</f>
        <v>155</v>
      </c>
      <c r="H1068" s="19"/>
      <c r="I1068" s="19"/>
      <c r="J1068" s="19"/>
      <c r="K1068" s="19"/>
      <c r="L1068" s="19"/>
      <c r="M1068" s="19"/>
      <c r="N1068" s="19"/>
    </row>
    <row r="1069" spans="1:14" s="94" customFormat="1" ht="13.2" x14ac:dyDescent="0.25">
      <c r="A1069" s="234" t="s">
        <v>2787</v>
      </c>
      <c r="B1069" s="216" t="s">
        <v>2788</v>
      </c>
      <c r="C1069" s="217" t="s">
        <v>1034</v>
      </c>
      <c r="D1069" s="46"/>
      <c r="E1069" s="45">
        <f t="shared" si="64"/>
        <v>0</v>
      </c>
      <c r="F1069" s="127">
        <f t="shared" si="65"/>
        <v>0</v>
      </c>
      <c r="G1069" s="151">
        <f>'Etude de cas n°1'!D1069</f>
        <v>0</v>
      </c>
      <c r="H1069" s="19"/>
      <c r="I1069" s="19"/>
      <c r="J1069" s="19"/>
      <c r="K1069" s="19"/>
      <c r="L1069" s="19"/>
      <c r="M1069" s="19"/>
      <c r="N1069" s="19"/>
    </row>
    <row r="1070" spans="1:14" s="94" customFormat="1" ht="26.4" x14ac:dyDescent="0.25">
      <c r="A1070" s="202" t="s">
        <v>2789</v>
      </c>
      <c r="B1070" s="216" t="s">
        <v>2790</v>
      </c>
      <c r="C1070" s="217"/>
      <c r="D1070" s="46"/>
      <c r="E1070" s="45"/>
      <c r="F1070" s="127"/>
      <c r="G1070" s="151"/>
      <c r="H1070" s="19"/>
      <c r="I1070" s="19"/>
      <c r="J1070" s="19"/>
      <c r="K1070" s="19"/>
      <c r="L1070" s="19"/>
      <c r="M1070" s="19"/>
      <c r="N1070" s="19"/>
    </row>
    <row r="1071" spans="1:14" s="94" customFormat="1" ht="13.2" x14ac:dyDescent="0.25">
      <c r="A1071" s="234" t="s">
        <v>2791</v>
      </c>
      <c r="B1071" s="216" t="s">
        <v>2792</v>
      </c>
      <c r="C1071" s="217" t="s">
        <v>2793</v>
      </c>
      <c r="D1071" s="46"/>
      <c r="E1071" s="45">
        <f t="shared" si="64"/>
        <v>0</v>
      </c>
      <c r="F1071" s="127">
        <f t="shared" si="65"/>
        <v>0</v>
      </c>
      <c r="G1071" s="151">
        <f>'Etude de cas n°1'!D1071</f>
        <v>0</v>
      </c>
      <c r="H1071" s="19"/>
      <c r="I1071" s="19"/>
      <c r="J1071" s="19"/>
      <c r="K1071" s="19"/>
      <c r="L1071" s="19"/>
      <c r="M1071" s="19"/>
      <c r="N1071" s="19"/>
    </row>
    <row r="1072" spans="1:14" s="94" customFormat="1" ht="13.2" x14ac:dyDescent="0.25">
      <c r="A1072" s="234" t="s">
        <v>2794</v>
      </c>
      <c r="B1072" s="216" t="s">
        <v>2795</v>
      </c>
      <c r="C1072" s="217" t="s">
        <v>2793</v>
      </c>
      <c r="D1072" s="46"/>
      <c r="E1072" s="45">
        <f t="shared" si="64"/>
        <v>30</v>
      </c>
      <c r="F1072" s="127">
        <f t="shared" si="65"/>
        <v>0</v>
      </c>
      <c r="G1072" s="151">
        <f>'Etude de cas n°1'!D1072</f>
        <v>30</v>
      </c>
      <c r="H1072" s="19"/>
      <c r="I1072" s="19"/>
      <c r="J1072" s="19"/>
      <c r="K1072" s="19"/>
      <c r="L1072" s="19"/>
      <c r="M1072" s="19"/>
      <c r="N1072" s="19"/>
    </row>
    <row r="1073" spans="1:14" s="94" customFormat="1" ht="13.2" x14ac:dyDescent="0.25">
      <c r="A1073" s="234" t="s">
        <v>2796</v>
      </c>
      <c r="B1073" s="216" t="s">
        <v>2797</v>
      </c>
      <c r="C1073" s="217" t="s">
        <v>2793</v>
      </c>
      <c r="D1073" s="46"/>
      <c r="E1073" s="45">
        <f t="shared" si="64"/>
        <v>0</v>
      </c>
      <c r="F1073" s="127">
        <f t="shared" si="65"/>
        <v>0</v>
      </c>
      <c r="G1073" s="151">
        <f>'Etude de cas n°1'!D1073</f>
        <v>0</v>
      </c>
      <c r="H1073" s="19"/>
      <c r="I1073" s="19"/>
      <c r="J1073" s="19"/>
      <c r="K1073" s="19"/>
      <c r="L1073" s="19"/>
      <c r="M1073" s="19"/>
      <c r="N1073" s="19"/>
    </row>
    <row r="1074" spans="1:14" s="94" customFormat="1" ht="26.4" x14ac:dyDescent="0.25">
      <c r="A1074" s="27" t="s">
        <v>459</v>
      </c>
      <c r="B1074" s="3" t="s">
        <v>2798</v>
      </c>
      <c r="C1074" s="217"/>
      <c r="D1074" s="46"/>
      <c r="E1074" s="45"/>
      <c r="F1074" s="127"/>
      <c r="G1074" s="151"/>
      <c r="H1074" s="19"/>
      <c r="I1074" s="19"/>
      <c r="J1074" s="19"/>
      <c r="K1074" s="19"/>
      <c r="L1074" s="19"/>
      <c r="M1074" s="19"/>
      <c r="N1074" s="19"/>
    </row>
    <row r="1075" spans="1:14" s="94" customFormat="1" ht="13.2" x14ac:dyDescent="0.25">
      <c r="A1075" s="202" t="s">
        <v>2799</v>
      </c>
      <c r="B1075" s="216" t="s">
        <v>2800</v>
      </c>
      <c r="C1075" s="217"/>
      <c r="D1075" s="120"/>
      <c r="E1075" s="45">
        <f t="shared" si="64"/>
        <v>0</v>
      </c>
      <c r="F1075" s="127"/>
      <c r="G1075" s="151"/>
      <c r="H1075" s="19"/>
      <c r="I1075" s="19"/>
      <c r="J1075" s="19"/>
      <c r="K1075" s="19"/>
      <c r="L1075" s="19"/>
      <c r="M1075" s="19"/>
      <c r="N1075" s="19"/>
    </row>
    <row r="1076" spans="1:14" s="94" customFormat="1" ht="13.2" x14ac:dyDescent="0.25">
      <c r="A1076" s="234" t="s">
        <v>2801</v>
      </c>
      <c r="B1076" s="216" t="s">
        <v>2802</v>
      </c>
      <c r="C1076" s="217" t="s">
        <v>1034</v>
      </c>
      <c r="D1076" s="120"/>
      <c r="E1076" s="45">
        <f t="shared" si="64"/>
        <v>0</v>
      </c>
      <c r="F1076" s="127">
        <f t="shared" si="65"/>
        <v>0</v>
      </c>
      <c r="G1076" s="151">
        <f>'Etude de cas n°1'!D1076</f>
        <v>0</v>
      </c>
      <c r="H1076" s="19"/>
      <c r="I1076" s="19"/>
      <c r="J1076" s="19"/>
      <c r="K1076" s="19"/>
      <c r="L1076" s="19"/>
      <c r="M1076" s="19"/>
      <c r="N1076" s="19"/>
    </row>
    <row r="1077" spans="1:14" s="97" customFormat="1" ht="13.2" x14ac:dyDescent="0.25">
      <c r="A1077" s="234" t="s">
        <v>2803</v>
      </c>
      <c r="B1077" s="216" t="s">
        <v>2804</v>
      </c>
      <c r="C1077" s="217" t="s">
        <v>1034</v>
      </c>
      <c r="D1077" s="120"/>
      <c r="E1077" s="45">
        <f t="shared" si="64"/>
        <v>0</v>
      </c>
      <c r="F1077" s="127">
        <f t="shared" si="65"/>
        <v>0</v>
      </c>
      <c r="G1077" s="151">
        <f>'Etude de cas n°1'!D1077</f>
        <v>0</v>
      </c>
      <c r="H1077" s="218"/>
      <c r="I1077" s="218"/>
      <c r="J1077" s="218"/>
      <c r="K1077" s="218"/>
      <c r="L1077" s="218"/>
      <c r="M1077" s="218"/>
      <c r="N1077" s="218"/>
    </row>
    <row r="1078" spans="1:14" s="97" customFormat="1" ht="13.2" x14ac:dyDescent="0.25">
      <c r="A1078" s="234" t="s">
        <v>2805</v>
      </c>
      <c r="B1078" s="216" t="s">
        <v>2806</v>
      </c>
      <c r="C1078" s="217" t="s">
        <v>1034</v>
      </c>
      <c r="D1078" s="120"/>
      <c r="E1078" s="45">
        <f t="shared" si="64"/>
        <v>0</v>
      </c>
      <c r="F1078" s="127">
        <f t="shared" si="65"/>
        <v>0</v>
      </c>
      <c r="G1078" s="151">
        <f>'Etude de cas n°1'!D1078</f>
        <v>0</v>
      </c>
      <c r="H1078" s="218"/>
      <c r="I1078" s="218"/>
      <c r="J1078" s="218"/>
      <c r="K1078" s="218"/>
      <c r="L1078" s="218"/>
      <c r="M1078" s="218"/>
      <c r="N1078" s="218"/>
    </row>
    <row r="1079" spans="1:14" s="97" customFormat="1" ht="26.4" x14ac:dyDescent="0.25">
      <c r="A1079" s="202" t="s">
        <v>2807</v>
      </c>
      <c r="B1079" s="216" t="s">
        <v>2808</v>
      </c>
      <c r="C1079" s="217"/>
      <c r="D1079" s="120"/>
      <c r="E1079" s="45"/>
      <c r="F1079" s="127"/>
      <c r="G1079" s="151"/>
      <c r="H1079" s="218"/>
      <c r="I1079" s="218"/>
      <c r="J1079" s="218"/>
      <c r="K1079" s="218"/>
      <c r="L1079" s="218"/>
      <c r="M1079" s="218"/>
      <c r="N1079" s="218"/>
    </row>
    <row r="1080" spans="1:14" s="97" customFormat="1" ht="13.2" x14ac:dyDescent="0.25">
      <c r="A1080" s="234" t="s">
        <v>2809</v>
      </c>
      <c r="B1080" s="216" t="s">
        <v>2810</v>
      </c>
      <c r="C1080" s="217" t="s">
        <v>2793</v>
      </c>
      <c r="D1080" s="120"/>
      <c r="E1080" s="45">
        <f t="shared" si="64"/>
        <v>0</v>
      </c>
      <c r="F1080" s="127">
        <f t="shared" si="65"/>
        <v>0</v>
      </c>
      <c r="G1080" s="151">
        <f>'Etude de cas n°1'!D1080</f>
        <v>0</v>
      </c>
      <c r="H1080" s="218"/>
      <c r="I1080" s="218"/>
      <c r="J1080" s="218"/>
      <c r="K1080" s="218"/>
      <c r="L1080" s="218"/>
      <c r="M1080" s="218"/>
      <c r="N1080" s="218"/>
    </row>
    <row r="1081" spans="1:14" s="97" customFormat="1" ht="13.2" x14ac:dyDescent="0.25">
      <c r="A1081" s="234" t="s">
        <v>2811</v>
      </c>
      <c r="B1081" s="216" t="s">
        <v>2812</v>
      </c>
      <c r="C1081" s="217" t="s">
        <v>2793</v>
      </c>
      <c r="D1081" s="120"/>
      <c r="E1081" s="45">
        <f t="shared" si="64"/>
        <v>0</v>
      </c>
      <c r="F1081" s="127">
        <f t="shared" si="65"/>
        <v>0</v>
      </c>
      <c r="G1081" s="151">
        <f>'Etude de cas n°1'!D1081</f>
        <v>0</v>
      </c>
      <c r="H1081" s="218"/>
      <c r="I1081" s="218"/>
      <c r="J1081" s="218"/>
      <c r="K1081" s="218"/>
      <c r="L1081" s="218"/>
      <c r="M1081" s="218"/>
      <c r="N1081" s="218"/>
    </row>
    <row r="1082" spans="1:14" s="97" customFormat="1" ht="13.2" x14ac:dyDescent="0.25">
      <c r="A1082" s="234" t="s">
        <v>2813</v>
      </c>
      <c r="B1082" s="216" t="s">
        <v>2814</v>
      </c>
      <c r="C1082" s="217" t="s">
        <v>2793</v>
      </c>
      <c r="D1082" s="120"/>
      <c r="E1082" s="45">
        <f t="shared" si="64"/>
        <v>0</v>
      </c>
      <c r="F1082" s="127">
        <f t="shared" si="65"/>
        <v>0</v>
      </c>
      <c r="G1082" s="151">
        <f>'Etude de cas n°1'!D1082</f>
        <v>0</v>
      </c>
      <c r="H1082" s="218"/>
      <c r="I1082" s="218"/>
      <c r="J1082" s="218"/>
      <c r="K1082" s="218"/>
      <c r="L1082" s="218"/>
      <c r="M1082" s="218"/>
      <c r="N1082" s="218"/>
    </row>
    <row r="1083" spans="1:14" s="97" customFormat="1" ht="26.4" x14ac:dyDescent="0.25">
      <c r="A1083" s="27" t="s">
        <v>2815</v>
      </c>
      <c r="B1083" s="3" t="s">
        <v>2816</v>
      </c>
      <c r="C1083" s="217" t="s">
        <v>1034</v>
      </c>
      <c r="D1083" s="120"/>
      <c r="E1083" s="45">
        <f t="shared" si="64"/>
        <v>0</v>
      </c>
      <c r="F1083" s="127">
        <f>D1083*E1083</f>
        <v>0</v>
      </c>
      <c r="G1083" s="151">
        <f>'Etude de cas n°1'!D1083</f>
        <v>0</v>
      </c>
      <c r="H1083" s="218"/>
      <c r="I1083" s="218"/>
      <c r="J1083" s="218"/>
      <c r="K1083" s="218"/>
      <c r="L1083" s="218"/>
      <c r="M1083" s="218"/>
      <c r="N1083" s="218"/>
    </row>
    <row r="1084" spans="1:14" s="97" customFormat="1" ht="26.4" x14ac:dyDescent="0.25">
      <c r="A1084" s="27" t="s">
        <v>2817</v>
      </c>
      <c r="B1084" s="3" t="s">
        <v>2818</v>
      </c>
      <c r="C1084" s="217" t="s">
        <v>1034</v>
      </c>
      <c r="D1084" s="120"/>
      <c r="E1084" s="45">
        <f t="shared" si="64"/>
        <v>0</v>
      </c>
      <c r="F1084" s="127">
        <f>D1084*E1084</f>
        <v>0</v>
      </c>
      <c r="G1084" s="151">
        <f>'Etude de cas n°1'!D1084</f>
        <v>0</v>
      </c>
      <c r="H1084" s="218"/>
      <c r="I1084" s="218"/>
      <c r="J1084" s="218"/>
      <c r="K1084" s="218"/>
      <c r="L1084" s="218"/>
      <c r="M1084" s="218"/>
      <c r="N1084" s="218"/>
    </row>
    <row r="1085" spans="1:14" s="97" customFormat="1" ht="26.4" x14ac:dyDescent="0.25">
      <c r="A1085" s="27" t="s">
        <v>2819</v>
      </c>
      <c r="B1085" s="3" t="s">
        <v>2820</v>
      </c>
      <c r="C1085" s="217" t="s">
        <v>1034</v>
      </c>
      <c r="D1085" s="120"/>
      <c r="E1085" s="45">
        <f t="shared" si="64"/>
        <v>0</v>
      </c>
      <c r="F1085" s="127">
        <f>D1085*E1085</f>
        <v>0</v>
      </c>
      <c r="G1085" s="151">
        <f>'Etude de cas n°1'!D1085</f>
        <v>0</v>
      </c>
      <c r="H1085" s="218"/>
      <c r="I1085" s="218"/>
      <c r="J1085" s="218"/>
      <c r="K1085" s="218"/>
      <c r="L1085" s="218"/>
      <c r="M1085" s="218"/>
      <c r="N1085" s="218"/>
    </row>
    <row r="1086" spans="1:14" s="97" customFormat="1" ht="13.2" x14ac:dyDescent="0.25">
      <c r="A1086" s="27" t="s">
        <v>2821</v>
      </c>
      <c r="B1086" s="3" t="s">
        <v>2822</v>
      </c>
      <c r="C1086" s="217"/>
      <c r="D1086" s="120"/>
      <c r="E1086" s="45"/>
      <c r="F1086" s="127"/>
      <c r="G1086" s="151"/>
      <c r="H1086" s="218"/>
      <c r="I1086" s="218"/>
      <c r="J1086" s="218"/>
      <c r="K1086" s="218"/>
      <c r="L1086" s="218"/>
      <c r="M1086" s="218"/>
      <c r="N1086" s="218"/>
    </row>
    <row r="1087" spans="1:14" s="97" customFormat="1" ht="13.2" x14ac:dyDescent="0.25">
      <c r="A1087" s="202" t="s">
        <v>2823</v>
      </c>
      <c r="B1087" s="216" t="s">
        <v>2792</v>
      </c>
      <c r="C1087" s="217" t="s">
        <v>1011</v>
      </c>
      <c r="D1087" s="120"/>
      <c r="E1087" s="45">
        <f t="shared" si="64"/>
        <v>0</v>
      </c>
      <c r="F1087" s="127">
        <f t="shared" si="65"/>
        <v>0</v>
      </c>
      <c r="G1087" s="151">
        <f>'Etude de cas n°1'!D1087</f>
        <v>0</v>
      </c>
      <c r="H1087" s="218"/>
      <c r="I1087" s="218"/>
      <c r="J1087" s="218"/>
      <c r="K1087" s="218"/>
      <c r="L1087" s="218"/>
      <c r="M1087" s="218"/>
      <c r="N1087" s="218"/>
    </row>
    <row r="1088" spans="1:14" s="97" customFormat="1" ht="13.2" x14ac:dyDescent="0.25">
      <c r="A1088" s="202" t="s">
        <v>2824</v>
      </c>
      <c r="B1088" s="216" t="s">
        <v>2795</v>
      </c>
      <c r="C1088" s="217" t="s">
        <v>1011</v>
      </c>
      <c r="D1088" s="120"/>
      <c r="E1088" s="45">
        <f t="shared" si="64"/>
        <v>10</v>
      </c>
      <c r="F1088" s="127">
        <f t="shared" si="65"/>
        <v>0</v>
      </c>
      <c r="G1088" s="151">
        <f>'Etude de cas n°1'!D1088</f>
        <v>10</v>
      </c>
      <c r="H1088" s="218"/>
      <c r="I1088" s="218"/>
      <c r="J1088" s="218"/>
      <c r="K1088" s="218"/>
      <c r="L1088" s="218"/>
      <c r="M1088" s="218"/>
      <c r="N1088" s="218"/>
    </row>
    <row r="1089" spans="1:14" s="97" customFormat="1" ht="13.2" x14ac:dyDescent="0.25">
      <c r="A1089" s="202" t="s">
        <v>2825</v>
      </c>
      <c r="B1089" s="216" t="s">
        <v>2797</v>
      </c>
      <c r="C1089" s="217" t="s">
        <v>1011</v>
      </c>
      <c r="D1089" s="120"/>
      <c r="E1089" s="45">
        <f t="shared" si="64"/>
        <v>0</v>
      </c>
      <c r="F1089" s="127">
        <f t="shared" si="65"/>
        <v>0</v>
      </c>
      <c r="G1089" s="151">
        <f>'Etude de cas n°1'!D1089</f>
        <v>0</v>
      </c>
      <c r="H1089" s="218"/>
      <c r="I1089" s="218"/>
      <c r="J1089" s="218"/>
      <c r="K1089" s="218"/>
      <c r="L1089" s="218"/>
      <c r="M1089" s="218"/>
      <c r="N1089" s="218"/>
    </row>
    <row r="1090" spans="1:14" s="97" customFormat="1" ht="13.2" x14ac:dyDescent="0.25">
      <c r="A1090" s="27" t="s">
        <v>2826</v>
      </c>
      <c r="B1090" s="3" t="s">
        <v>2827</v>
      </c>
      <c r="C1090" s="217" t="s">
        <v>1011</v>
      </c>
      <c r="D1090" s="120"/>
      <c r="E1090" s="45">
        <f t="shared" si="64"/>
        <v>0</v>
      </c>
      <c r="F1090" s="127">
        <f t="shared" si="65"/>
        <v>0</v>
      </c>
      <c r="G1090" s="151">
        <f>'Etude de cas n°1'!D1090</f>
        <v>0</v>
      </c>
      <c r="H1090" s="218"/>
      <c r="I1090" s="218"/>
      <c r="J1090" s="218"/>
      <c r="K1090" s="218"/>
      <c r="L1090" s="218"/>
      <c r="M1090" s="218"/>
      <c r="N1090" s="218"/>
    </row>
    <row r="1091" spans="1:14" s="97" customFormat="1" ht="13.2" x14ac:dyDescent="0.25">
      <c r="A1091" s="27" t="s">
        <v>2828</v>
      </c>
      <c r="B1091" s="3" t="s">
        <v>2829</v>
      </c>
      <c r="C1091" s="217"/>
      <c r="D1091" s="120"/>
      <c r="E1091" s="45"/>
      <c r="F1091" s="127"/>
      <c r="G1091" s="151"/>
      <c r="H1091" s="218"/>
      <c r="I1091" s="218"/>
      <c r="J1091" s="218"/>
      <c r="K1091" s="218"/>
      <c r="L1091" s="218"/>
      <c r="M1091" s="218"/>
      <c r="N1091" s="218"/>
    </row>
    <row r="1092" spans="1:14" s="97" customFormat="1" ht="13.2" x14ac:dyDescent="0.25">
      <c r="A1092" s="202" t="s">
        <v>2830</v>
      </c>
      <c r="B1092" s="216" t="s">
        <v>2792</v>
      </c>
      <c r="C1092" s="217" t="s">
        <v>1011</v>
      </c>
      <c r="D1092" s="120"/>
      <c r="E1092" s="45">
        <f t="shared" si="64"/>
        <v>0</v>
      </c>
      <c r="F1092" s="127">
        <f t="shared" si="65"/>
        <v>0</v>
      </c>
      <c r="G1092" s="151">
        <f>'Etude de cas n°1'!D1092</f>
        <v>0</v>
      </c>
      <c r="H1092" s="218"/>
      <c r="I1092" s="218"/>
      <c r="J1092" s="218"/>
      <c r="K1092" s="218"/>
      <c r="L1092" s="218"/>
      <c r="M1092" s="218"/>
      <c r="N1092" s="218"/>
    </row>
    <row r="1093" spans="1:14" s="97" customFormat="1" ht="13.2" x14ac:dyDescent="0.25">
      <c r="A1093" s="202" t="s">
        <v>2831</v>
      </c>
      <c r="B1093" s="216" t="s">
        <v>2795</v>
      </c>
      <c r="C1093" s="217" t="s">
        <v>1011</v>
      </c>
      <c r="D1093" s="120"/>
      <c r="E1093" s="45">
        <f t="shared" si="64"/>
        <v>0</v>
      </c>
      <c r="F1093" s="127">
        <f t="shared" si="65"/>
        <v>0</v>
      </c>
      <c r="G1093" s="151">
        <f>'Etude de cas n°1'!D1093</f>
        <v>0</v>
      </c>
      <c r="H1093" s="218"/>
      <c r="I1093" s="218"/>
      <c r="J1093" s="218"/>
      <c r="K1093" s="218"/>
      <c r="L1093" s="218"/>
      <c r="M1093" s="218"/>
      <c r="N1093" s="218"/>
    </row>
    <row r="1094" spans="1:14" s="97" customFormat="1" ht="13.2" x14ac:dyDescent="0.25">
      <c r="A1094" s="202" t="s">
        <v>2832</v>
      </c>
      <c r="B1094" s="216" t="s">
        <v>2797</v>
      </c>
      <c r="C1094" s="217" t="s">
        <v>1011</v>
      </c>
      <c r="D1094" s="120"/>
      <c r="E1094" s="45">
        <f t="shared" si="64"/>
        <v>0</v>
      </c>
      <c r="F1094" s="127">
        <f t="shared" si="65"/>
        <v>0</v>
      </c>
      <c r="G1094" s="151">
        <f>'Etude de cas n°1'!D1094</f>
        <v>0</v>
      </c>
      <c r="H1094" s="218"/>
      <c r="I1094" s="218"/>
      <c r="J1094" s="218"/>
      <c r="K1094" s="218"/>
      <c r="L1094" s="218"/>
      <c r="M1094" s="218"/>
      <c r="N1094" s="218"/>
    </row>
    <row r="1095" spans="1:14" s="97" customFormat="1" ht="13.2" x14ac:dyDescent="0.25">
      <c r="A1095" s="27" t="s">
        <v>2833</v>
      </c>
      <c r="B1095" s="3" t="s">
        <v>2834</v>
      </c>
      <c r="C1095" s="217" t="s">
        <v>1011</v>
      </c>
      <c r="D1095" s="120"/>
      <c r="E1095" s="45">
        <f t="shared" si="64"/>
        <v>10</v>
      </c>
      <c r="F1095" s="127">
        <f t="shared" si="65"/>
        <v>0</v>
      </c>
      <c r="G1095" s="151">
        <f>'Etude de cas n°1'!D1095</f>
        <v>10</v>
      </c>
      <c r="H1095" s="218"/>
      <c r="I1095" s="218"/>
      <c r="J1095" s="218"/>
      <c r="K1095" s="218"/>
      <c r="L1095" s="218"/>
      <c r="M1095" s="218"/>
      <c r="N1095" s="218"/>
    </row>
    <row r="1096" spans="1:14" s="97" customFormat="1" ht="13.2" x14ac:dyDescent="0.25">
      <c r="A1096" s="27" t="s">
        <v>2835</v>
      </c>
      <c r="B1096" s="3" t="s">
        <v>2836</v>
      </c>
      <c r="C1096" s="217" t="s">
        <v>1034</v>
      </c>
      <c r="D1096" s="120"/>
      <c r="E1096" s="45">
        <f t="shared" si="64"/>
        <v>10</v>
      </c>
      <c r="F1096" s="127">
        <f t="shared" si="65"/>
        <v>0</v>
      </c>
      <c r="G1096" s="151">
        <f>'Etude de cas n°1'!D1096</f>
        <v>10</v>
      </c>
      <c r="H1096" s="218"/>
      <c r="I1096" s="218"/>
      <c r="J1096" s="218"/>
      <c r="K1096" s="218"/>
      <c r="L1096" s="218"/>
      <c r="M1096" s="218"/>
      <c r="N1096" s="218"/>
    </row>
    <row r="1097" spans="1:14" s="97" customFormat="1" ht="13.2" x14ac:dyDescent="0.25">
      <c r="A1097" s="27" t="s">
        <v>2837</v>
      </c>
      <c r="B1097" s="3" t="s">
        <v>2838</v>
      </c>
      <c r="C1097" s="217" t="s">
        <v>984</v>
      </c>
      <c r="D1097" s="120"/>
      <c r="E1097" s="45">
        <f t="shared" si="64"/>
        <v>0</v>
      </c>
      <c r="F1097" s="127">
        <f t="shared" si="65"/>
        <v>0</v>
      </c>
      <c r="G1097" s="151">
        <f>'Etude de cas n°1'!D1097</f>
        <v>0</v>
      </c>
      <c r="H1097" s="218"/>
      <c r="I1097" s="218"/>
      <c r="J1097" s="218"/>
      <c r="K1097" s="218"/>
      <c r="L1097" s="218"/>
      <c r="M1097" s="218"/>
      <c r="N1097" s="218"/>
    </row>
    <row r="1098" spans="1:14" s="97" customFormat="1" ht="26.4" x14ac:dyDescent="0.25">
      <c r="A1098" s="27" t="s">
        <v>2839</v>
      </c>
      <c r="B1098" s="3" t="s">
        <v>2840</v>
      </c>
      <c r="C1098" s="227" t="s">
        <v>1011</v>
      </c>
      <c r="D1098" s="120"/>
      <c r="E1098" s="45">
        <f t="shared" si="64"/>
        <v>0</v>
      </c>
      <c r="F1098" s="127">
        <f>D1098*E1098</f>
        <v>0</v>
      </c>
      <c r="G1098" s="151">
        <f>'Etude de cas n°1'!D1098</f>
        <v>0</v>
      </c>
      <c r="H1098" s="218"/>
      <c r="I1098" s="218"/>
      <c r="J1098" s="218"/>
      <c r="K1098" s="218"/>
      <c r="L1098" s="218"/>
      <c r="M1098" s="218"/>
      <c r="N1098" s="218"/>
    </row>
    <row r="1099" spans="1:14" s="97" customFormat="1" ht="13.2" x14ac:dyDescent="0.25">
      <c r="A1099" s="27" t="s">
        <v>2841</v>
      </c>
      <c r="B1099" s="3" t="s">
        <v>2842</v>
      </c>
      <c r="C1099" s="227" t="s">
        <v>1011</v>
      </c>
      <c r="D1099" s="120"/>
      <c r="E1099" s="45">
        <f t="shared" si="64"/>
        <v>0</v>
      </c>
      <c r="F1099" s="127">
        <f>D1099*E1099</f>
        <v>0</v>
      </c>
      <c r="G1099" s="151">
        <f>'Etude de cas n°1'!D1099</f>
        <v>0</v>
      </c>
      <c r="H1099" s="218"/>
      <c r="I1099" s="218"/>
      <c r="J1099" s="218"/>
      <c r="K1099" s="218"/>
      <c r="L1099" s="218"/>
      <c r="M1099" s="218"/>
      <c r="N1099" s="218"/>
    </row>
    <row r="1100" spans="1:14" s="97" customFormat="1" ht="13.2" x14ac:dyDescent="0.25">
      <c r="A1100" s="27" t="s">
        <v>2843</v>
      </c>
      <c r="B1100" s="245" t="s">
        <v>2844</v>
      </c>
      <c r="C1100" s="227" t="s">
        <v>1141</v>
      </c>
      <c r="D1100" s="120"/>
      <c r="E1100" s="45">
        <f t="shared" si="64"/>
        <v>0</v>
      </c>
      <c r="F1100" s="127">
        <f>D1100*E1100</f>
        <v>0</v>
      </c>
      <c r="G1100" s="151">
        <f>'Etude de cas n°1'!D1100</f>
        <v>0</v>
      </c>
      <c r="H1100" s="218"/>
      <c r="I1100" s="218"/>
      <c r="J1100" s="218"/>
      <c r="K1100" s="218"/>
      <c r="L1100" s="218"/>
      <c r="M1100" s="218"/>
      <c r="N1100" s="218"/>
    </row>
    <row r="1101" spans="1:14" s="97" customFormat="1" ht="12.75" customHeight="1" x14ac:dyDescent="0.25">
      <c r="A1101" s="27" t="s">
        <v>2845</v>
      </c>
      <c r="B1101" s="3" t="s">
        <v>2846</v>
      </c>
      <c r="C1101" s="217"/>
      <c r="D1101" s="120"/>
      <c r="E1101" s="45"/>
      <c r="F1101" s="127"/>
      <c r="G1101" s="151"/>
      <c r="H1101" s="218"/>
      <c r="I1101" s="218"/>
      <c r="J1101" s="218"/>
      <c r="K1101" s="218"/>
      <c r="L1101" s="218"/>
      <c r="M1101" s="218"/>
      <c r="N1101" s="218"/>
    </row>
    <row r="1102" spans="1:14" s="97" customFormat="1" ht="13.2" x14ac:dyDescent="0.25">
      <c r="A1102" s="202" t="s">
        <v>2847</v>
      </c>
      <c r="B1102" s="192" t="s">
        <v>2848</v>
      </c>
      <c r="C1102" s="217" t="s">
        <v>984</v>
      </c>
      <c r="D1102" s="120"/>
      <c r="E1102" s="45">
        <f t="shared" si="64"/>
        <v>1</v>
      </c>
      <c r="F1102" s="127">
        <f t="shared" si="65"/>
        <v>0</v>
      </c>
      <c r="G1102" s="151">
        <f>'Etude de cas n°1'!D1102</f>
        <v>1</v>
      </c>
      <c r="H1102" s="218"/>
      <c r="I1102" s="218"/>
      <c r="J1102" s="218"/>
      <c r="K1102" s="218"/>
      <c r="L1102" s="218"/>
      <c r="M1102" s="218"/>
      <c r="N1102" s="218"/>
    </row>
    <row r="1103" spans="1:14" s="97" customFormat="1" ht="13.2" x14ac:dyDescent="0.25">
      <c r="A1103" s="202" t="s">
        <v>2849</v>
      </c>
      <c r="B1103" s="192" t="s">
        <v>2850</v>
      </c>
      <c r="C1103" s="217" t="s">
        <v>984</v>
      </c>
      <c r="D1103" s="120"/>
      <c r="E1103" s="45">
        <f t="shared" si="64"/>
        <v>1</v>
      </c>
      <c r="F1103" s="127">
        <f t="shared" si="65"/>
        <v>0</v>
      </c>
      <c r="G1103" s="151">
        <f>'Etude de cas n°1'!D1103</f>
        <v>1</v>
      </c>
      <c r="H1103" s="218"/>
      <c r="I1103" s="218"/>
      <c r="J1103" s="218"/>
      <c r="K1103" s="218"/>
      <c r="L1103" s="218"/>
      <c r="M1103" s="218"/>
      <c r="N1103" s="218"/>
    </row>
    <row r="1104" spans="1:14" s="97" customFormat="1" ht="13.2" x14ac:dyDescent="0.25">
      <c r="A1104" s="202" t="s">
        <v>2851</v>
      </c>
      <c r="B1104" s="216" t="s">
        <v>2852</v>
      </c>
      <c r="C1104" s="217" t="s">
        <v>1011</v>
      </c>
      <c r="D1104" s="120"/>
      <c r="E1104" s="45">
        <f t="shared" si="64"/>
        <v>2</v>
      </c>
      <c r="F1104" s="127">
        <f t="shared" si="65"/>
        <v>0</v>
      </c>
      <c r="G1104" s="151">
        <f>'Etude de cas n°1'!D1104</f>
        <v>2</v>
      </c>
      <c r="H1104" s="218"/>
      <c r="I1104" s="218"/>
      <c r="J1104" s="218"/>
      <c r="K1104" s="218"/>
      <c r="L1104" s="218"/>
      <c r="M1104" s="218"/>
      <c r="N1104" s="218"/>
    </row>
    <row r="1105" spans="1:14" s="97" customFormat="1" ht="13.2" x14ac:dyDescent="0.25">
      <c r="A1105" s="202"/>
      <c r="B1105" s="216"/>
      <c r="C1105" s="217"/>
      <c r="D1105" s="120"/>
      <c r="E1105" s="217"/>
      <c r="F1105" s="127"/>
      <c r="G1105" s="151"/>
      <c r="H1105" s="218"/>
      <c r="I1105" s="218"/>
      <c r="J1105" s="218"/>
      <c r="K1105" s="218"/>
      <c r="L1105" s="218"/>
      <c r="M1105" s="218"/>
      <c r="N1105" s="218"/>
    </row>
    <row r="1106" spans="1:14" s="97" customFormat="1" ht="26.4" x14ac:dyDescent="0.25">
      <c r="A1106" s="202"/>
      <c r="B1106" s="122" t="s">
        <v>2853</v>
      </c>
      <c r="C1106" s="217"/>
      <c r="D1106" s="120"/>
      <c r="E1106" s="45"/>
      <c r="F1106" s="127">
        <f>SUM(F1065:F1105)</f>
        <v>0</v>
      </c>
      <c r="G1106" s="151"/>
      <c r="H1106" s="218"/>
      <c r="I1106" s="218"/>
      <c r="J1106" s="218"/>
      <c r="K1106" s="218"/>
      <c r="L1106" s="218"/>
      <c r="M1106" s="218"/>
      <c r="N1106" s="218"/>
    </row>
    <row r="1107" spans="1:14" s="97" customFormat="1" ht="13.2" x14ac:dyDescent="0.25">
      <c r="A1107" s="202"/>
      <c r="B1107" s="122"/>
      <c r="C1107" s="217"/>
      <c r="D1107" s="120"/>
      <c r="E1107" s="45"/>
      <c r="F1107" s="127"/>
      <c r="G1107" s="151"/>
      <c r="H1107" s="218"/>
      <c r="I1107" s="218"/>
      <c r="J1107" s="218"/>
      <c r="K1107" s="218"/>
      <c r="L1107" s="218"/>
      <c r="M1107" s="218"/>
      <c r="N1107" s="218"/>
    </row>
    <row r="1108" spans="1:14" s="97" customFormat="1" ht="13.2" x14ac:dyDescent="0.25">
      <c r="A1108" s="32" t="s">
        <v>2854</v>
      </c>
      <c r="B1108" s="32" t="s">
        <v>2855</v>
      </c>
      <c r="C1108" s="224" t="s">
        <v>1883</v>
      </c>
      <c r="D1108" s="123"/>
      <c r="E1108" s="224" t="s">
        <v>1883</v>
      </c>
      <c r="F1108" s="224" t="s">
        <v>1883</v>
      </c>
      <c r="G1108" s="224" t="s">
        <v>1883</v>
      </c>
      <c r="H1108" s="218"/>
      <c r="I1108" s="218"/>
      <c r="J1108" s="218"/>
      <c r="K1108" s="218"/>
      <c r="L1108" s="218"/>
      <c r="M1108" s="218"/>
      <c r="N1108" s="218"/>
    </row>
    <row r="1109" spans="1:14" s="97" customFormat="1" ht="13.2" x14ac:dyDescent="0.25">
      <c r="A1109" s="27" t="s">
        <v>2856</v>
      </c>
      <c r="B1109" s="3" t="s">
        <v>2857</v>
      </c>
      <c r="C1109" s="217" t="s">
        <v>1883</v>
      </c>
      <c r="D1109" s="136"/>
      <c r="E1109" s="217" t="s">
        <v>1883</v>
      </c>
      <c r="F1109" s="217" t="s">
        <v>1883</v>
      </c>
      <c r="G1109" s="151" t="str">
        <f>'Etude de cas n°1'!D1109</f>
        <v/>
      </c>
      <c r="H1109" s="218"/>
      <c r="I1109" s="218"/>
      <c r="J1109" s="218"/>
      <c r="K1109" s="218"/>
      <c r="L1109" s="218"/>
      <c r="M1109" s="218"/>
      <c r="N1109" s="218"/>
    </row>
    <row r="1110" spans="1:14" s="97" customFormat="1" ht="13.2" x14ac:dyDescent="0.25">
      <c r="A1110" s="202" t="s">
        <v>476</v>
      </c>
      <c r="B1110" s="216" t="s">
        <v>2858</v>
      </c>
      <c r="C1110" s="217" t="s">
        <v>1883</v>
      </c>
      <c r="D1110" s="136"/>
      <c r="E1110" s="217" t="s">
        <v>1883</v>
      </c>
      <c r="F1110" s="217" t="s">
        <v>1883</v>
      </c>
      <c r="G1110" s="151" t="str">
        <f>'Etude de cas n°1'!D1110</f>
        <v/>
      </c>
      <c r="H1110" s="218"/>
      <c r="I1110" s="218"/>
      <c r="J1110" s="218"/>
      <c r="K1110" s="218"/>
      <c r="L1110" s="218"/>
      <c r="M1110" s="218"/>
      <c r="N1110" s="218"/>
    </row>
    <row r="1111" spans="1:14" s="97" customFormat="1" ht="13.2" x14ac:dyDescent="0.25">
      <c r="A1111" s="202" t="s">
        <v>2859</v>
      </c>
      <c r="B1111" s="216" t="s">
        <v>2860</v>
      </c>
      <c r="C1111" s="217" t="s">
        <v>984</v>
      </c>
      <c r="D1111" s="120"/>
      <c r="E1111" s="45">
        <f t="shared" ref="E1111:E1174" si="66">G1111</f>
        <v>0</v>
      </c>
      <c r="F1111" s="127">
        <f>D1111*E1111</f>
        <v>0</v>
      </c>
      <c r="G1111" s="151">
        <f>'Etude de cas n°1'!D1111</f>
        <v>0</v>
      </c>
      <c r="H1111" s="218"/>
      <c r="I1111" s="218"/>
      <c r="J1111" s="218"/>
      <c r="K1111" s="218"/>
      <c r="L1111" s="218"/>
      <c r="M1111" s="218"/>
      <c r="N1111" s="218"/>
    </row>
    <row r="1112" spans="1:14" s="97" customFormat="1" ht="13.2" x14ac:dyDescent="0.25">
      <c r="A1112" s="202" t="s">
        <v>2861</v>
      </c>
      <c r="B1112" s="216" t="s">
        <v>2862</v>
      </c>
      <c r="C1112" s="217" t="s">
        <v>984</v>
      </c>
      <c r="D1112" s="120"/>
      <c r="E1112" s="45">
        <f t="shared" si="66"/>
        <v>1</v>
      </c>
      <c r="F1112" s="127">
        <f t="shared" ref="F1112:F1175" si="67">D1112*E1112</f>
        <v>0</v>
      </c>
      <c r="G1112" s="151">
        <f>'Etude de cas n°1'!D1112</f>
        <v>1</v>
      </c>
      <c r="H1112" s="218"/>
      <c r="I1112" s="218"/>
      <c r="J1112" s="218"/>
      <c r="K1112" s="218"/>
      <c r="L1112" s="218"/>
      <c r="M1112" s="218"/>
      <c r="N1112" s="218"/>
    </row>
    <row r="1113" spans="1:14" s="97" customFormat="1" ht="13.2" x14ac:dyDescent="0.25">
      <c r="A1113" s="202" t="s">
        <v>2863</v>
      </c>
      <c r="B1113" s="216" t="s">
        <v>2864</v>
      </c>
      <c r="C1113" s="217" t="s">
        <v>984</v>
      </c>
      <c r="D1113" s="120"/>
      <c r="E1113" s="45">
        <f t="shared" si="66"/>
        <v>0</v>
      </c>
      <c r="F1113" s="127">
        <f t="shared" si="67"/>
        <v>0</v>
      </c>
      <c r="G1113" s="151">
        <f>'Etude de cas n°1'!D1113</f>
        <v>0</v>
      </c>
      <c r="H1113" s="218"/>
      <c r="I1113" s="218"/>
      <c r="J1113" s="218"/>
      <c r="K1113" s="218"/>
      <c r="L1113" s="218"/>
      <c r="M1113" s="218"/>
      <c r="N1113" s="218"/>
    </row>
    <row r="1114" spans="1:14" s="97" customFormat="1" ht="13.2" x14ac:dyDescent="0.25">
      <c r="A1114" s="202" t="s">
        <v>2865</v>
      </c>
      <c r="B1114" s="216" t="s">
        <v>2866</v>
      </c>
      <c r="C1114" s="217" t="s">
        <v>984</v>
      </c>
      <c r="D1114" s="120"/>
      <c r="E1114" s="45">
        <f t="shared" si="66"/>
        <v>0</v>
      </c>
      <c r="F1114" s="127">
        <f t="shared" si="67"/>
        <v>0</v>
      </c>
      <c r="G1114" s="151">
        <f>'Etude de cas n°1'!D1114</f>
        <v>0</v>
      </c>
      <c r="H1114" s="218"/>
      <c r="I1114" s="218"/>
      <c r="J1114" s="218"/>
      <c r="K1114" s="218"/>
      <c r="L1114" s="218"/>
      <c r="M1114" s="218"/>
      <c r="N1114" s="218"/>
    </row>
    <row r="1115" spans="1:14" s="97" customFormat="1" ht="13.2" x14ac:dyDescent="0.25">
      <c r="A1115" s="202" t="s">
        <v>477</v>
      </c>
      <c r="B1115" s="216" t="s">
        <v>2867</v>
      </c>
      <c r="C1115" s="217" t="s">
        <v>1883</v>
      </c>
      <c r="D1115" s="120"/>
      <c r="E1115" s="45"/>
      <c r="F1115" s="127"/>
      <c r="G1115" s="151"/>
      <c r="H1115" s="218"/>
      <c r="I1115" s="218"/>
      <c r="J1115" s="218"/>
      <c r="K1115" s="218"/>
      <c r="L1115" s="218"/>
      <c r="M1115" s="218"/>
      <c r="N1115" s="218"/>
    </row>
    <row r="1116" spans="1:14" s="97" customFormat="1" ht="13.2" x14ac:dyDescent="0.25">
      <c r="A1116" s="202" t="s">
        <v>2868</v>
      </c>
      <c r="B1116" s="216" t="s">
        <v>2869</v>
      </c>
      <c r="C1116" s="217" t="s">
        <v>1026</v>
      </c>
      <c r="D1116" s="120"/>
      <c r="E1116" s="45">
        <f t="shared" si="66"/>
        <v>0</v>
      </c>
      <c r="F1116" s="127">
        <f t="shared" si="67"/>
        <v>0</v>
      </c>
      <c r="G1116" s="151">
        <f>'Etude de cas n°1'!D1116</f>
        <v>0</v>
      </c>
      <c r="H1116" s="218"/>
      <c r="I1116" s="218"/>
      <c r="J1116" s="218"/>
      <c r="K1116" s="218"/>
      <c r="L1116" s="218"/>
      <c r="M1116" s="218"/>
      <c r="N1116" s="218"/>
    </row>
    <row r="1117" spans="1:14" s="97" customFormat="1" ht="13.2" x14ac:dyDescent="0.25">
      <c r="A1117" s="202" t="s">
        <v>2870</v>
      </c>
      <c r="B1117" s="216" t="s">
        <v>2871</v>
      </c>
      <c r="C1117" s="217" t="s">
        <v>1026</v>
      </c>
      <c r="D1117" s="120"/>
      <c r="E1117" s="45">
        <f t="shared" si="66"/>
        <v>3</v>
      </c>
      <c r="F1117" s="127">
        <f t="shared" si="67"/>
        <v>0</v>
      </c>
      <c r="G1117" s="151">
        <f>'Etude de cas n°1'!D1117</f>
        <v>3</v>
      </c>
      <c r="H1117" s="218"/>
      <c r="I1117" s="218"/>
      <c r="J1117" s="218"/>
      <c r="K1117" s="218"/>
      <c r="L1117" s="218"/>
      <c r="M1117" s="218"/>
      <c r="N1117" s="218"/>
    </row>
    <row r="1118" spans="1:14" s="97" customFormat="1" ht="13.2" x14ac:dyDescent="0.25">
      <c r="A1118" s="202" t="s">
        <v>2872</v>
      </c>
      <c r="B1118" s="216" t="s">
        <v>2873</v>
      </c>
      <c r="C1118" s="217" t="s">
        <v>1026</v>
      </c>
      <c r="D1118" s="120"/>
      <c r="E1118" s="45">
        <f t="shared" si="66"/>
        <v>0</v>
      </c>
      <c r="F1118" s="127">
        <f t="shared" si="67"/>
        <v>0</v>
      </c>
      <c r="G1118" s="151">
        <f>'Etude de cas n°1'!D1118</f>
        <v>0</v>
      </c>
      <c r="H1118" s="218"/>
      <c r="I1118" s="218"/>
      <c r="J1118" s="218"/>
      <c r="K1118" s="218"/>
      <c r="L1118" s="218"/>
      <c r="M1118" s="218"/>
      <c r="N1118" s="218"/>
    </row>
    <row r="1119" spans="1:14" s="97" customFormat="1" ht="13.2" x14ac:dyDescent="0.25">
      <c r="A1119" s="202" t="s">
        <v>2874</v>
      </c>
      <c r="B1119" s="216" t="s">
        <v>2875</v>
      </c>
      <c r="C1119" s="217" t="s">
        <v>1026</v>
      </c>
      <c r="D1119" s="120"/>
      <c r="E1119" s="45">
        <f t="shared" si="66"/>
        <v>0</v>
      </c>
      <c r="F1119" s="127">
        <f t="shared" si="67"/>
        <v>0</v>
      </c>
      <c r="G1119" s="151">
        <f>'Etude de cas n°1'!D1119</f>
        <v>0</v>
      </c>
      <c r="H1119" s="218"/>
      <c r="I1119" s="218"/>
      <c r="J1119" s="218"/>
      <c r="K1119" s="218"/>
      <c r="L1119" s="218"/>
      <c r="M1119" s="218"/>
      <c r="N1119" s="218"/>
    </row>
    <row r="1120" spans="1:14" s="97" customFormat="1" ht="13.2" x14ac:dyDescent="0.25">
      <c r="A1120" s="202" t="s">
        <v>478</v>
      </c>
      <c r="B1120" s="216" t="s">
        <v>2876</v>
      </c>
      <c r="C1120" s="217" t="s">
        <v>1883</v>
      </c>
      <c r="D1120" s="120"/>
      <c r="E1120" s="45"/>
      <c r="F1120" s="127"/>
      <c r="G1120" s="151"/>
      <c r="H1120" s="218"/>
      <c r="I1120" s="218"/>
      <c r="J1120" s="218"/>
      <c r="K1120" s="218"/>
      <c r="L1120" s="218"/>
      <c r="M1120" s="218"/>
      <c r="N1120" s="218"/>
    </row>
    <row r="1121" spans="1:14" s="97" customFormat="1" ht="13.2" x14ac:dyDescent="0.25">
      <c r="A1121" s="202" t="s">
        <v>2877</v>
      </c>
      <c r="B1121" s="216" t="s">
        <v>2878</v>
      </c>
      <c r="C1121" s="217" t="s">
        <v>2879</v>
      </c>
      <c r="D1121" s="120"/>
      <c r="E1121" s="45">
        <f t="shared" si="66"/>
        <v>0</v>
      </c>
      <c r="F1121" s="127">
        <f t="shared" si="67"/>
        <v>0</v>
      </c>
      <c r="G1121" s="151">
        <f>'Etude de cas n°1'!D1121</f>
        <v>0</v>
      </c>
      <c r="H1121" s="218"/>
      <c r="I1121" s="218"/>
      <c r="J1121" s="218"/>
      <c r="K1121" s="218"/>
      <c r="L1121" s="218"/>
      <c r="M1121" s="218"/>
      <c r="N1121" s="218"/>
    </row>
    <row r="1122" spans="1:14" s="97" customFormat="1" ht="13.2" x14ac:dyDescent="0.25">
      <c r="A1122" s="202" t="s">
        <v>2880</v>
      </c>
      <c r="B1122" s="216" t="s">
        <v>2881</v>
      </c>
      <c r="C1122" s="217" t="s">
        <v>2879</v>
      </c>
      <c r="D1122" s="120"/>
      <c r="E1122" s="45">
        <f t="shared" si="66"/>
        <v>24</v>
      </c>
      <c r="F1122" s="127">
        <f t="shared" si="67"/>
        <v>0</v>
      </c>
      <c r="G1122" s="151">
        <f>'Etude de cas n°1'!D1122</f>
        <v>24</v>
      </c>
      <c r="H1122" s="218"/>
      <c r="I1122" s="218"/>
      <c r="J1122" s="218"/>
      <c r="K1122" s="218"/>
      <c r="L1122" s="218"/>
      <c r="M1122" s="218"/>
      <c r="N1122" s="218"/>
    </row>
    <row r="1123" spans="1:14" s="97" customFormat="1" ht="13.2" x14ac:dyDescent="0.25">
      <c r="A1123" s="202" t="s">
        <v>2882</v>
      </c>
      <c r="B1123" s="216" t="s">
        <v>2883</v>
      </c>
      <c r="C1123" s="217" t="s">
        <v>2879</v>
      </c>
      <c r="D1123" s="120"/>
      <c r="E1123" s="45">
        <f t="shared" si="66"/>
        <v>0</v>
      </c>
      <c r="F1123" s="127">
        <f t="shared" si="67"/>
        <v>0</v>
      </c>
      <c r="G1123" s="151">
        <f>'Etude de cas n°1'!D1123</f>
        <v>0</v>
      </c>
      <c r="H1123" s="218"/>
      <c r="I1123" s="218"/>
      <c r="J1123" s="218"/>
      <c r="K1123" s="218"/>
      <c r="L1123" s="218"/>
      <c r="M1123" s="218"/>
      <c r="N1123" s="218"/>
    </row>
    <row r="1124" spans="1:14" s="97" customFormat="1" ht="13.2" x14ac:dyDescent="0.25">
      <c r="A1124" s="202" t="s">
        <v>2884</v>
      </c>
      <c r="B1124" s="216" t="s">
        <v>2885</v>
      </c>
      <c r="C1124" s="217" t="s">
        <v>2879</v>
      </c>
      <c r="D1124" s="120"/>
      <c r="E1124" s="45">
        <f t="shared" si="66"/>
        <v>0</v>
      </c>
      <c r="F1124" s="127">
        <f t="shared" si="67"/>
        <v>0</v>
      </c>
      <c r="G1124" s="151">
        <f>'Etude de cas n°1'!D1124</f>
        <v>0</v>
      </c>
      <c r="H1124" s="218"/>
      <c r="I1124" s="218"/>
      <c r="J1124" s="218"/>
      <c r="K1124" s="218"/>
      <c r="L1124" s="218"/>
      <c r="M1124" s="218"/>
      <c r="N1124" s="218"/>
    </row>
    <row r="1125" spans="1:14" s="97" customFormat="1" ht="13.2" x14ac:dyDescent="0.25">
      <c r="A1125" s="27" t="s">
        <v>2886</v>
      </c>
      <c r="B1125" s="3" t="s">
        <v>2887</v>
      </c>
      <c r="C1125" s="217" t="s">
        <v>1883</v>
      </c>
      <c r="D1125" s="120"/>
      <c r="E1125" s="45"/>
      <c r="F1125" s="127"/>
      <c r="G1125" s="151"/>
      <c r="H1125" s="218"/>
      <c r="I1125" s="218"/>
      <c r="J1125" s="218"/>
      <c r="K1125" s="218"/>
      <c r="L1125" s="218"/>
      <c r="M1125" s="218"/>
      <c r="N1125" s="218"/>
    </row>
    <row r="1126" spans="1:14" s="97" customFormat="1" ht="13.8" x14ac:dyDescent="0.25">
      <c r="A1126" s="202" t="s">
        <v>487</v>
      </c>
      <c r="B1126" s="216" t="s">
        <v>2888</v>
      </c>
      <c r="C1126" s="217" t="s">
        <v>1034</v>
      </c>
      <c r="D1126" s="120"/>
      <c r="E1126" s="45">
        <f t="shared" si="66"/>
        <v>0</v>
      </c>
      <c r="F1126" s="127">
        <f t="shared" si="67"/>
        <v>0</v>
      </c>
      <c r="G1126" s="151">
        <f>'Etude de cas n°1'!D1126</f>
        <v>0</v>
      </c>
      <c r="H1126" s="218"/>
      <c r="I1126" s="218"/>
      <c r="J1126" s="218"/>
      <c r="K1126" s="218"/>
      <c r="L1126" s="218"/>
      <c r="M1126" s="218"/>
      <c r="N1126" s="218"/>
    </row>
    <row r="1127" spans="1:14" s="94" customFormat="1" ht="13.2" x14ac:dyDescent="0.25">
      <c r="A1127" s="202" t="s">
        <v>488</v>
      </c>
      <c r="B1127" s="216" t="s">
        <v>2889</v>
      </c>
      <c r="C1127" s="217" t="s">
        <v>1034</v>
      </c>
      <c r="D1127" s="120"/>
      <c r="E1127" s="45">
        <f t="shared" si="66"/>
        <v>0</v>
      </c>
      <c r="F1127" s="127">
        <f t="shared" si="67"/>
        <v>0</v>
      </c>
      <c r="G1127" s="151">
        <f>'Etude de cas n°1'!D1127</f>
        <v>0</v>
      </c>
      <c r="H1127" s="19"/>
      <c r="I1127" s="19"/>
      <c r="J1127" s="19"/>
      <c r="K1127" s="19"/>
      <c r="L1127" s="19"/>
      <c r="M1127" s="19"/>
      <c r="N1127" s="19"/>
    </row>
    <row r="1128" spans="1:14" s="94" customFormat="1" ht="16.2" x14ac:dyDescent="0.25">
      <c r="A1128" s="202" t="s">
        <v>489</v>
      </c>
      <c r="B1128" s="216" t="s">
        <v>2890</v>
      </c>
      <c r="C1128" s="217" t="s">
        <v>1034</v>
      </c>
      <c r="D1128" s="120"/>
      <c r="E1128" s="45">
        <f t="shared" si="66"/>
        <v>208</v>
      </c>
      <c r="F1128" s="127">
        <f t="shared" si="67"/>
        <v>0</v>
      </c>
      <c r="G1128" s="151">
        <f>'Etude de cas n°1'!D1128</f>
        <v>208</v>
      </c>
      <c r="H1128" s="19"/>
      <c r="I1128" s="19"/>
      <c r="J1128" s="19"/>
      <c r="K1128" s="19"/>
      <c r="L1128" s="19"/>
      <c r="M1128" s="19"/>
      <c r="N1128" s="19"/>
    </row>
    <row r="1129" spans="1:14" s="97" customFormat="1" ht="13.2" x14ac:dyDescent="0.25">
      <c r="A1129" s="202" t="s">
        <v>2891</v>
      </c>
      <c r="B1129" s="216" t="s">
        <v>2892</v>
      </c>
      <c r="C1129" s="217" t="s">
        <v>1034</v>
      </c>
      <c r="D1129" s="120"/>
      <c r="E1129" s="45">
        <f t="shared" si="66"/>
        <v>0</v>
      </c>
      <c r="F1129" s="127">
        <f t="shared" si="67"/>
        <v>0</v>
      </c>
      <c r="G1129" s="151">
        <f>'Etude de cas n°1'!D1129</f>
        <v>0</v>
      </c>
      <c r="H1129" s="218"/>
      <c r="I1129" s="218"/>
      <c r="J1129" s="218"/>
      <c r="K1129" s="218"/>
      <c r="L1129" s="218"/>
      <c r="M1129" s="218"/>
      <c r="N1129" s="218"/>
    </row>
    <row r="1130" spans="1:14" s="97" customFormat="1" ht="13.2" x14ac:dyDescent="0.25">
      <c r="A1130" s="202" t="s">
        <v>2893</v>
      </c>
      <c r="B1130" s="216" t="s">
        <v>2894</v>
      </c>
      <c r="C1130" s="217" t="s">
        <v>1034</v>
      </c>
      <c r="D1130" s="120"/>
      <c r="E1130" s="45">
        <f t="shared" si="66"/>
        <v>0</v>
      </c>
      <c r="F1130" s="127">
        <f t="shared" si="67"/>
        <v>0</v>
      </c>
      <c r="G1130" s="151">
        <f>'Etude de cas n°1'!D1130</f>
        <v>0</v>
      </c>
      <c r="H1130" s="218"/>
      <c r="I1130" s="218"/>
      <c r="J1130" s="218"/>
      <c r="K1130" s="218"/>
      <c r="L1130" s="218"/>
      <c r="M1130" s="218"/>
      <c r="N1130" s="218"/>
    </row>
    <row r="1131" spans="1:14" s="97" customFormat="1" ht="13.2" x14ac:dyDescent="0.25">
      <c r="A1131" s="202" t="s">
        <v>2895</v>
      </c>
      <c r="B1131" s="216" t="s">
        <v>2896</v>
      </c>
      <c r="C1131" s="217" t="s">
        <v>1034</v>
      </c>
      <c r="D1131" s="120"/>
      <c r="E1131" s="45">
        <f t="shared" si="66"/>
        <v>0</v>
      </c>
      <c r="F1131" s="127">
        <f t="shared" si="67"/>
        <v>0</v>
      </c>
      <c r="G1131" s="151">
        <f>'Etude de cas n°1'!D1131</f>
        <v>0</v>
      </c>
      <c r="H1131" s="218"/>
      <c r="I1131" s="218"/>
      <c r="J1131" s="218"/>
      <c r="K1131" s="218"/>
      <c r="L1131" s="218"/>
      <c r="M1131" s="218"/>
      <c r="N1131" s="218"/>
    </row>
    <row r="1132" spans="1:14" s="97" customFormat="1" ht="13.2" x14ac:dyDescent="0.25">
      <c r="A1132" s="202" t="s">
        <v>2897</v>
      </c>
      <c r="B1132" s="216" t="s">
        <v>2898</v>
      </c>
      <c r="C1132" s="217" t="s">
        <v>1034</v>
      </c>
      <c r="D1132" s="120"/>
      <c r="E1132" s="45">
        <f t="shared" si="66"/>
        <v>0</v>
      </c>
      <c r="F1132" s="127">
        <f t="shared" si="67"/>
        <v>0</v>
      </c>
      <c r="G1132" s="151">
        <f>'Etude de cas n°1'!D1132</f>
        <v>0</v>
      </c>
      <c r="H1132" s="218"/>
      <c r="I1132" s="218"/>
      <c r="J1132" s="218"/>
      <c r="K1132" s="218"/>
      <c r="L1132" s="218"/>
      <c r="M1132" s="218"/>
      <c r="N1132" s="218"/>
    </row>
    <row r="1133" spans="1:14" s="97" customFormat="1" ht="13.2" x14ac:dyDescent="0.25">
      <c r="A1133" s="202" t="s">
        <v>2899</v>
      </c>
      <c r="B1133" s="216" t="s">
        <v>2900</v>
      </c>
      <c r="C1133" s="217" t="s">
        <v>1034</v>
      </c>
      <c r="D1133" s="120"/>
      <c r="E1133" s="45">
        <f t="shared" si="66"/>
        <v>0</v>
      </c>
      <c r="F1133" s="127">
        <f t="shared" si="67"/>
        <v>0</v>
      </c>
      <c r="G1133" s="151">
        <f>'Etude de cas n°1'!D1133</f>
        <v>0</v>
      </c>
      <c r="H1133" s="218"/>
      <c r="I1133" s="218"/>
      <c r="J1133" s="218"/>
      <c r="K1133" s="218"/>
      <c r="L1133" s="218"/>
      <c r="M1133" s="218"/>
      <c r="N1133" s="218"/>
    </row>
    <row r="1134" spans="1:14" s="97" customFormat="1" ht="13.2" x14ac:dyDescent="0.25">
      <c r="A1134" s="27" t="s">
        <v>2901</v>
      </c>
      <c r="B1134" s="3" t="s">
        <v>2902</v>
      </c>
      <c r="C1134" s="217" t="s">
        <v>1883</v>
      </c>
      <c r="D1134" s="120"/>
      <c r="E1134" s="45"/>
      <c r="F1134" s="127"/>
      <c r="G1134" s="151"/>
      <c r="H1134" s="218"/>
      <c r="I1134" s="218"/>
      <c r="J1134" s="218"/>
      <c r="K1134" s="218"/>
      <c r="L1134" s="218"/>
      <c r="M1134" s="218"/>
      <c r="N1134" s="218"/>
    </row>
    <row r="1135" spans="1:14" s="97" customFormat="1" ht="13.2" x14ac:dyDescent="0.25">
      <c r="A1135" s="202" t="s">
        <v>576</v>
      </c>
      <c r="B1135" s="216" t="s">
        <v>2903</v>
      </c>
      <c r="C1135" s="217" t="s">
        <v>1034</v>
      </c>
      <c r="D1135" s="120"/>
      <c r="E1135" s="45">
        <f t="shared" si="66"/>
        <v>0</v>
      </c>
      <c r="F1135" s="127">
        <f t="shared" si="67"/>
        <v>0</v>
      </c>
      <c r="G1135" s="151">
        <f>'Etude de cas n°1'!D1135</f>
        <v>0</v>
      </c>
      <c r="H1135" s="218"/>
      <c r="I1135" s="218"/>
      <c r="J1135" s="218"/>
      <c r="K1135" s="218"/>
      <c r="L1135" s="218"/>
      <c r="M1135" s="218"/>
      <c r="N1135" s="218"/>
    </row>
    <row r="1136" spans="1:14" s="97" customFormat="1" ht="13.2" x14ac:dyDescent="0.25">
      <c r="A1136" s="202" t="s">
        <v>577</v>
      </c>
      <c r="B1136" s="216" t="s">
        <v>2904</v>
      </c>
      <c r="C1136" s="217" t="s">
        <v>1034</v>
      </c>
      <c r="D1136" s="120"/>
      <c r="E1136" s="45">
        <f t="shared" si="66"/>
        <v>0</v>
      </c>
      <c r="F1136" s="127">
        <f t="shared" si="67"/>
        <v>0</v>
      </c>
      <c r="G1136" s="151">
        <f>'Etude de cas n°1'!D1136</f>
        <v>0</v>
      </c>
      <c r="H1136" s="218"/>
      <c r="I1136" s="218"/>
      <c r="J1136" s="218"/>
      <c r="K1136" s="218"/>
      <c r="L1136" s="218"/>
      <c r="M1136" s="218"/>
      <c r="N1136" s="218"/>
    </row>
    <row r="1137" spans="1:14" s="97" customFormat="1" ht="13.2" x14ac:dyDescent="0.25">
      <c r="A1137" s="202" t="s">
        <v>578</v>
      </c>
      <c r="B1137" s="216" t="s">
        <v>2905</v>
      </c>
      <c r="C1137" s="217" t="s">
        <v>1034</v>
      </c>
      <c r="D1137" s="120"/>
      <c r="E1137" s="45">
        <f t="shared" si="66"/>
        <v>208</v>
      </c>
      <c r="F1137" s="127">
        <f t="shared" si="67"/>
        <v>0</v>
      </c>
      <c r="G1137" s="151">
        <f>'Etude de cas n°1'!D1137</f>
        <v>208</v>
      </c>
      <c r="H1137" s="218"/>
      <c r="I1137" s="218"/>
      <c r="J1137" s="218"/>
      <c r="K1137" s="218"/>
      <c r="L1137" s="218"/>
      <c r="M1137" s="218"/>
      <c r="N1137" s="218"/>
    </row>
    <row r="1138" spans="1:14" s="97" customFormat="1" ht="13.2" x14ac:dyDescent="0.25">
      <c r="A1138" s="202" t="s">
        <v>579</v>
      </c>
      <c r="B1138" s="216" t="s">
        <v>2906</v>
      </c>
      <c r="C1138" s="217" t="s">
        <v>1034</v>
      </c>
      <c r="D1138" s="120"/>
      <c r="E1138" s="45">
        <f t="shared" si="66"/>
        <v>0</v>
      </c>
      <c r="F1138" s="127">
        <f t="shared" si="67"/>
        <v>0</v>
      </c>
      <c r="G1138" s="151">
        <f>'Etude de cas n°1'!D1138</f>
        <v>0</v>
      </c>
      <c r="H1138" s="218"/>
      <c r="I1138" s="218"/>
      <c r="J1138" s="218"/>
      <c r="K1138" s="218"/>
      <c r="L1138" s="218"/>
      <c r="M1138" s="218"/>
      <c r="N1138" s="218"/>
    </row>
    <row r="1139" spans="1:14" s="97" customFormat="1" ht="13.2" x14ac:dyDescent="0.25">
      <c r="A1139" s="202" t="s">
        <v>580</v>
      </c>
      <c r="B1139" s="216" t="s">
        <v>2907</v>
      </c>
      <c r="C1139" s="217" t="s">
        <v>1034</v>
      </c>
      <c r="D1139" s="120"/>
      <c r="E1139" s="45">
        <f t="shared" si="66"/>
        <v>0</v>
      </c>
      <c r="F1139" s="127">
        <f t="shared" si="67"/>
        <v>0</v>
      </c>
      <c r="G1139" s="151">
        <f>'Etude de cas n°1'!D1139</f>
        <v>0</v>
      </c>
      <c r="H1139" s="218"/>
      <c r="I1139" s="218"/>
      <c r="J1139" s="218"/>
      <c r="K1139" s="218"/>
      <c r="L1139" s="218"/>
      <c r="M1139" s="218"/>
      <c r="N1139" s="218"/>
    </row>
    <row r="1140" spans="1:14" s="97" customFormat="1" ht="13.2" x14ac:dyDescent="0.25">
      <c r="A1140" s="202" t="s">
        <v>581</v>
      </c>
      <c r="B1140" s="216" t="s">
        <v>2908</v>
      </c>
      <c r="C1140" s="217" t="s">
        <v>1034</v>
      </c>
      <c r="D1140" s="120"/>
      <c r="E1140" s="45">
        <f t="shared" si="66"/>
        <v>0</v>
      </c>
      <c r="F1140" s="127">
        <f t="shared" si="67"/>
        <v>0</v>
      </c>
      <c r="G1140" s="151">
        <f>'Etude de cas n°1'!D1140</f>
        <v>0</v>
      </c>
      <c r="H1140" s="218"/>
      <c r="I1140" s="218"/>
      <c r="J1140" s="218"/>
      <c r="K1140" s="218"/>
      <c r="L1140" s="218"/>
      <c r="M1140" s="218"/>
      <c r="N1140" s="218"/>
    </row>
    <row r="1141" spans="1:14" s="94" customFormat="1" ht="13.2" x14ac:dyDescent="0.25">
      <c r="A1141" s="202" t="s">
        <v>582</v>
      </c>
      <c r="B1141" s="216" t="s">
        <v>2909</v>
      </c>
      <c r="C1141" s="217" t="s">
        <v>1034</v>
      </c>
      <c r="D1141" s="120"/>
      <c r="E1141" s="45">
        <f t="shared" si="66"/>
        <v>0</v>
      </c>
      <c r="F1141" s="127">
        <f t="shared" si="67"/>
        <v>0</v>
      </c>
      <c r="G1141" s="151">
        <f>'Etude de cas n°1'!D1141</f>
        <v>0</v>
      </c>
      <c r="H1141" s="19"/>
      <c r="I1141" s="19"/>
      <c r="J1141" s="19"/>
      <c r="K1141" s="19"/>
      <c r="L1141" s="19"/>
      <c r="M1141" s="19"/>
      <c r="N1141" s="19"/>
    </row>
    <row r="1142" spans="1:14" s="97" customFormat="1" ht="13.2" x14ac:dyDescent="0.25">
      <c r="A1142" s="202" t="s">
        <v>583</v>
      </c>
      <c r="B1142" s="216" t="s">
        <v>2910</v>
      </c>
      <c r="C1142" s="217" t="s">
        <v>1034</v>
      </c>
      <c r="D1142" s="120"/>
      <c r="E1142" s="45">
        <f t="shared" si="66"/>
        <v>0</v>
      </c>
      <c r="F1142" s="127">
        <f t="shared" si="67"/>
        <v>0</v>
      </c>
      <c r="G1142" s="151">
        <f>'Etude de cas n°1'!D1142</f>
        <v>0</v>
      </c>
      <c r="H1142" s="218"/>
      <c r="I1142" s="218"/>
      <c r="J1142" s="218"/>
      <c r="K1142" s="218"/>
      <c r="L1142" s="218"/>
      <c r="M1142" s="218"/>
      <c r="N1142" s="218"/>
    </row>
    <row r="1143" spans="1:14" s="97" customFormat="1" ht="13.2" x14ac:dyDescent="0.25">
      <c r="A1143" s="202" t="s">
        <v>584</v>
      </c>
      <c r="B1143" s="216" t="s">
        <v>2911</v>
      </c>
      <c r="C1143" s="217" t="s">
        <v>1034</v>
      </c>
      <c r="D1143" s="120"/>
      <c r="E1143" s="45">
        <f t="shared" si="66"/>
        <v>0</v>
      </c>
      <c r="F1143" s="127">
        <f t="shared" si="67"/>
        <v>0</v>
      </c>
      <c r="G1143" s="151">
        <f>'Etude de cas n°1'!D1143</f>
        <v>0</v>
      </c>
      <c r="H1143" s="218"/>
      <c r="I1143" s="218"/>
      <c r="J1143" s="218"/>
      <c r="K1143" s="218"/>
      <c r="L1143" s="218"/>
      <c r="M1143" s="218"/>
      <c r="N1143" s="218"/>
    </row>
    <row r="1144" spans="1:14" s="97" customFormat="1" ht="13.2" x14ac:dyDescent="0.25">
      <c r="A1144" s="202" t="s">
        <v>585</v>
      </c>
      <c r="B1144" s="216" t="s">
        <v>2912</v>
      </c>
      <c r="C1144" s="217" t="s">
        <v>1034</v>
      </c>
      <c r="D1144" s="120"/>
      <c r="E1144" s="45">
        <f t="shared" si="66"/>
        <v>0</v>
      </c>
      <c r="F1144" s="127">
        <f t="shared" si="67"/>
        <v>0</v>
      </c>
      <c r="G1144" s="151">
        <f>'Etude de cas n°1'!D1144</f>
        <v>0</v>
      </c>
      <c r="H1144" s="218"/>
      <c r="I1144" s="218"/>
      <c r="J1144" s="218"/>
      <c r="K1144" s="218"/>
      <c r="L1144" s="218"/>
      <c r="M1144" s="218"/>
      <c r="N1144" s="218"/>
    </row>
    <row r="1145" spans="1:14" s="97" customFormat="1" ht="13.2" x14ac:dyDescent="0.25">
      <c r="A1145" s="202" t="s">
        <v>586</v>
      </c>
      <c r="B1145" s="216" t="s">
        <v>2913</v>
      </c>
      <c r="C1145" s="217" t="s">
        <v>1034</v>
      </c>
      <c r="D1145" s="120"/>
      <c r="E1145" s="45">
        <f t="shared" si="66"/>
        <v>0</v>
      </c>
      <c r="F1145" s="127">
        <f t="shared" si="67"/>
        <v>0</v>
      </c>
      <c r="G1145" s="151">
        <f>'Etude de cas n°1'!D1145</f>
        <v>0</v>
      </c>
      <c r="H1145" s="218"/>
      <c r="I1145" s="218"/>
      <c r="J1145" s="218"/>
      <c r="K1145" s="218"/>
      <c r="L1145" s="218"/>
      <c r="M1145" s="218"/>
      <c r="N1145" s="218"/>
    </row>
    <row r="1146" spans="1:14" s="97" customFormat="1" ht="13.2" x14ac:dyDescent="0.25">
      <c r="A1146" s="202" t="s">
        <v>587</v>
      </c>
      <c r="B1146" s="216" t="s">
        <v>2914</v>
      </c>
      <c r="C1146" s="217" t="s">
        <v>1011</v>
      </c>
      <c r="D1146" s="120"/>
      <c r="E1146" s="45">
        <f t="shared" si="66"/>
        <v>0</v>
      </c>
      <c r="F1146" s="127">
        <f t="shared" si="67"/>
        <v>0</v>
      </c>
      <c r="G1146" s="151">
        <f>'Etude de cas n°1'!D1146</f>
        <v>0</v>
      </c>
      <c r="H1146" s="218"/>
      <c r="I1146" s="218"/>
      <c r="J1146" s="218"/>
      <c r="K1146" s="218"/>
      <c r="L1146" s="218"/>
      <c r="M1146" s="218"/>
      <c r="N1146" s="218"/>
    </row>
    <row r="1147" spans="1:14" s="97" customFormat="1" ht="13.2" x14ac:dyDescent="0.25">
      <c r="A1147" s="27" t="s">
        <v>2915</v>
      </c>
      <c r="B1147" s="3" t="s">
        <v>2916</v>
      </c>
      <c r="C1147" s="217"/>
      <c r="D1147" s="120"/>
      <c r="E1147" s="45"/>
      <c r="F1147" s="127"/>
      <c r="G1147" s="151"/>
      <c r="H1147" s="218"/>
      <c r="I1147" s="218"/>
      <c r="J1147" s="218"/>
      <c r="K1147" s="218"/>
      <c r="L1147" s="218"/>
      <c r="M1147" s="218"/>
      <c r="N1147" s="218"/>
    </row>
    <row r="1148" spans="1:14" s="97" customFormat="1" ht="13.2" x14ac:dyDescent="0.25">
      <c r="A1148" s="202" t="s">
        <v>597</v>
      </c>
      <c r="B1148" s="216" t="s">
        <v>2917</v>
      </c>
      <c r="C1148" s="217" t="s">
        <v>1026</v>
      </c>
      <c r="D1148" s="120"/>
      <c r="E1148" s="45">
        <f t="shared" si="66"/>
        <v>1</v>
      </c>
      <c r="F1148" s="127">
        <f t="shared" si="67"/>
        <v>0</v>
      </c>
      <c r="G1148" s="151">
        <f>'Etude de cas n°1'!D1148</f>
        <v>1</v>
      </c>
      <c r="H1148" s="218"/>
      <c r="I1148" s="218"/>
      <c r="J1148" s="218"/>
      <c r="K1148" s="218"/>
      <c r="L1148" s="218"/>
      <c r="M1148" s="218"/>
      <c r="N1148" s="218"/>
    </row>
    <row r="1149" spans="1:14" s="97" customFormat="1" ht="13.2" x14ac:dyDescent="0.25">
      <c r="A1149" s="202" t="s">
        <v>598</v>
      </c>
      <c r="B1149" s="216" t="s">
        <v>2918</v>
      </c>
      <c r="C1149" s="217" t="s">
        <v>2879</v>
      </c>
      <c r="D1149" s="120"/>
      <c r="E1149" s="45">
        <f t="shared" si="66"/>
        <v>12</v>
      </c>
      <c r="F1149" s="127">
        <f t="shared" si="67"/>
        <v>0</v>
      </c>
      <c r="G1149" s="151">
        <f>'Etude de cas n°1'!D1149</f>
        <v>12</v>
      </c>
      <c r="H1149" s="218"/>
      <c r="I1149" s="218"/>
      <c r="J1149" s="218"/>
      <c r="K1149" s="218"/>
      <c r="L1149" s="218"/>
      <c r="M1149" s="218"/>
      <c r="N1149" s="218"/>
    </row>
    <row r="1150" spans="1:14" s="97" customFormat="1" ht="13.2" x14ac:dyDescent="0.25">
      <c r="A1150" s="27" t="s">
        <v>2919</v>
      </c>
      <c r="B1150" s="3" t="s">
        <v>2920</v>
      </c>
      <c r="C1150" s="217"/>
      <c r="D1150" s="120"/>
      <c r="E1150" s="45"/>
      <c r="F1150" s="127"/>
      <c r="G1150" s="151"/>
      <c r="H1150" s="218"/>
      <c r="I1150" s="218"/>
      <c r="J1150" s="218"/>
      <c r="K1150" s="218"/>
      <c r="L1150" s="218"/>
      <c r="M1150" s="218"/>
      <c r="N1150" s="218"/>
    </row>
    <row r="1151" spans="1:14" s="97" customFormat="1" ht="13.2" x14ac:dyDescent="0.25">
      <c r="A1151" s="202" t="s">
        <v>2921</v>
      </c>
      <c r="B1151" s="216" t="s">
        <v>2922</v>
      </c>
      <c r="C1151" s="217" t="s">
        <v>2923</v>
      </c>
      <c r="D1151" s="120"/>
      <c r="E1151" s="45">
        <f t="shared" si="66"/>
        <v>0</v>
      </c>
      <c r="F1151" s="127">
        <f t="shared" si="67"/>
        <v>0</v>
      </c>
      <c r="G1151" s="151">
        <f>'Etude de cas n°1'!D1151</f>
        <v>0</v>
      </c>
      <c r="H1151" s="218"/>
      <c r="I1151" s="218"/>
      <c r="J1151" s="218"/>
      <c r="K1151" s="218"/>
      <c r="L1151" s="218"/>
      <c r="M1151" s="218"/>
      <c r="N1151" s="218"/>
    </row>
    <row r="1152" spans="1:14" s="97" customFormat="1" ht="13.2" x14ac:dyDescent="0.25">
      <c r="A1152" s="202" t="s">
        <v>2924</v>
      </c>
      <c r="B1152" s="216" t="s">
        <v>2925</v>
      </c>
      <c r="C1152" s="217"/>
      <c r="D1152" s="120"/>
      <c r="E1152" s="45"/>
      <c r="F1152" s="127"/>
      <c r="G1152" s="151"/>
      <c r="H1152" s="218"/>
      <c r="I1152" s="218"/>
      <c r="J1152" s="218"/>
      <c r="K1152" s="218"/>
      <c r="L1152" s="218"/>
      <c r="M1152" s="218"/>
      <c r="N1152" s="218"/>
    </row>
    <row r="1153" spans="1:14" s="97" customFormat="1" ht="13.8" x14ac:dyDescent="0.25">
      <c r="A1153" s="202" t="s">
        <v>2926</v>
      </c>
      <c r="B1153" s="216" t="s">
        <v>2927</v>
      </c>
      <c r="C1153" s="217" t="s">
        <v>1011</v>
      </c>
      <c r="D1153" s="120"/>
      <c r="E1153" s="45">
        <f t="shared" si="66"/>
        <v>0</v>
      </c>
      <c r="F1153" s="127">
        <f t="shared" si="67"/>
        <v>0</v>
      </c>
      <c r="G1153" s="151">
        <f>'Etude de cas n°1'!D1153</f>
        <v>0</v>
      </c>
      <c r="H1153" s="218"/>
      <c r="I1153" s="218"/>
      <c r="J1153" s="218"/>
      <c r="K1153" s="218"/>
      <c r="L1153" s="218"/>
      <c r="M1153" s="218"/>
      <c r="N1153" s="218"/>
    </row>
    <row r="1154" spans="1:14" s="94" customFormat="1" ht="13.8" x14ac:dyDescent="0.25">
      <c r="A1154" s="202" t="s">
        <v>2928</v>
      </c>
      <c r="B1154" s="216" t="s">
        <v>2929</v>
      </c>
      <c r="C1154" s="217" t="s">
        <v>1011</v>
      </c>
      <c r="D1154" s="120"/>
      <c r="E1154" s="45">
        <f t="shared" si="66"/>
        <v>0</v>
      </c>
      <c r="F1154" s="127">
        <f t="shared" si="67"/>
        <v>0</v>
      </c>
      <c r="G1154" s="151">
        <f>'Etude de cas n°1'!D1154</f>
        <v>0</v>
      </c>
      <c r="H1154" s="19"/>
      <c r="I1154" s="19"/>
      <c r="J1154" s="19"/>
      <c r="K1154" s="19"/>
      <c r="L1154" s="19"/>
      <c r="M1154" s="19"/>
      <c r="N1154" s="19"/>
    </row>
    <row r="1155" spans="1:14" s="97" customFormat="1" ht="13.8" x14ac:dyDescent="0.25">
      <c r="A1155" s="202" t="s">
        <v>2930</v>
      </c>
      <c r="B1155" s="216" t="s">
        <v>2931</v>
      </c>
      <c r="C1155" s="217" t="s">
        <v>1011</v>
      </c>
      <c r="D1155" s="120"/>
      <c r="E1155" s="45">
        <f t="shared" si="66"/>
        <v>0</v>
      </c>
      <c r="F1155" s="127">
        <f t="shared" si="67"/>
        <v>0</v>
      </c>
      <c r="G1155" s="151">
        <f>'Etude de cas n°1'!D1155</f>
        <v>0</v>
      </c>
      <c r="H1155" s="218"/>
      <c r="I1155" s="218"/>
      <c r="J1155" s="218"/>
      <c r="K1155" s="218"/>
      <c r="L1155" s="218"/>
      <c r="M1155" s="218"/>
      <c r="N1155" s="218"/>
    </row>
    <row r="1156" spans="1:14" s="97" customFormat="1" ht="13.8" x14ac:dyDescent="0.25">
      <c r="A1156" s="202" t="s">
        <v>2932</v>
      </c>
      <c r="B1156" s="216" t="s">
        <v>2933</v>
      </c>
      <c r="C1156" s="217" t="s">
        <v>1011</v>
      </c>
      <c r="D1156" s="120"/>
      <c r="E1156" s="45">
        <f t="shared" si="66"/>
        <v>0</v>
      </c>
      <c r="F1156" s="127">
        <f t="shared" si="67"/>
        <v>0</v>
      </c>
      <c r="G1156" s="151">
        <f>'Etude de cas n°1'!D1156</f>
        <v>0</v>
      </c>
      <c r="H1156" s="218"/>
      <c r="I1156" s="218"/>
      <c r="J1156" s="218"/>
      <c r="K1156" s="218"/>
      <c r="L1156" s="218"/>
      <c r="M1156" s="218"/>
      <c r="N1156" s="218"/>
    </row>
    <row r="1157" spans="1:14" s="97" customFormat="1" ht="13.8" x14ac:dyDescent="0.25">
      <c r="A1157" s="202" t="s">
        <v>2934</v>
      </c>
      <c r="B1157" s="216" t="s">
        <v>2935</v>
      </c>
      <c r="C1157" s="217" t="s">
        <v>1011</v>
      </c>
      <c r="D1157" s="120"/>
      <c r="E1157" s="45">
        <f t="shared" si="66"/>
        <v>0</v>
      </c>
      <c r="F1157" s="127">
        <f t="shared" si="67"/>
        <v>0</v>
      </c>
      <c r="G1157" s="151">
        <f>'Etude de cas n°1'!D1157</f>
        <v>0</v>
      </c>
      <c r="H1157" s="218"/>
      <c r="I1157" s="218"/>
      <c r="J1157" s="218"/>
      <c r="K1157" s="218"/>
      <c r="L1157" s="218"/>
      <c r="M1157" s="218"/>
      <c r="N1157" s="218"/>
    </row>
    <row r="1158" spans="1:14" s="97" customFormat="1" ht="13.8" x14ac:dyDescent="0.25">
      <c r="A1158" s="202" t="s">
        <v>2936</v>
      </c>
      <c r="B1158" s="216" t="s">
        <v>2937</v>
      </c>
      <c r="C1158" s="217" t="s">
        <v>1011</v>
      </c>
      <c r="D1158" s="120"/>
      <c r="E1158" s="45">
        <f t="shared" si="66"/>
        <v>0</v>
      </c>
      <c r="F1158" s="127">
        <f t="shared" si="67"/>
        <v>0</v>
      </c>
      <c r="G1158" s="151">
        <f>'Etude de cas n°1'!D1158</f>
        <v>0</v>
      </c>
      <c r="H1158" s="218"/>
      <c r="I1158" s="218"/>
      <c r="J1158" s="218"/>
      <c r="K1158" s="218"/>
      <c r="L1158" s="218"/>
      <c r="M1158" s="218"/>
      <c r="N1158" s="218"/>
    </row>
    <row r="1159" spans="1:14" s="97" customFormat="1" ht="13.8" x14ac:dyDescent="0.25">
      <c r="A1159" s="202" t="s">
        <v>2938</v>
      </c>
      <c r="B1159" s="216" t="s">
        <v>2939</v>
      </c>
      <c r="C1159" s="217" t="s">
        <v>1011</v>
      </c>
      <c r="D1159" s="120"/>
      <c r="E1159" s="45">
        <f t="shared" si="66"/>
        <v>0</v>
      </c>
      <c r="F1159" s="127">
        <f t="shared" si="67"/>
        <v>0</v>
      </c>
      <c r="G1159" s="151">
        <f>'Etude de cas n°1'!D1159</f>
        <v>0</v>
      </c>
      <c r="H1159" s="218"/>
      <c r="I1159" s="218"/>
      <c r="J1159" s="218"/>
      <c r="K1159" s="218"/>
      <c r="L1159" s="218"/>
      <c r="M1159" s="218"/>
      <c r="N1159" s="218"/>
    </row>
    <row r="1160" spans="1:14" s="97" customFormat="1" ht="13.2" x14ac:dyDescent="0.25">
      <c r="A1160" s="27" t="s">
        <v>2940</v>
      </c>
      <c r="B1160" s="3" t="s">
        <v>2941</v>
      </c>
      <c r="C1160" s="217" t="s">
        <v>1883</v>
      </c>
      <c r="D1160" s="120"/>
      <c r="E1160" s="45"/>
      <c r="F1160" s="127"/>
      <c r="G1160" s="151"/>
      <c r="H1160" s="218"/>
      <c r="I1160" s="218"/>
      <c r="J1160" s="218"/>
      <c r="K1160" s="218"/>
      <c r="L1160" s="218"/>
      <c r="M1160" s="218"/>
      <c r="N1160" s="218"/>
    </row>
    <row r="1161" spans="1:14" s="94" customFormat="1" ht="13.2" x14ac:dyDescent="0.25">
      <c r="A1161" s="202" t="s">
        <v>2942</v>
      </c>
      <c r="B1161" s="216" t="s">
        <v>2943</v>
      </c>
      <c r="C1161" s="217" t="s">
        <v>984</v>
      </c>
      <c r="D1161" s="120"/>
      <c r="E1161" s="45">
        <f t="shared" si="66"/>
        <v>1</v>
      </c>
      <c r="F1161" s="127">
        <f t="shared" si="67"/>
        <v>0</v>
      </c>
      <c r="G1161" s="151">
        <f>'Etude de cas n°1'!D1161</f>
        <v>1</v>
      </c>
      <c r="H1161" s="19"/>
      <c r="I1161" s="19"/>
      <c r="J1161" s="19"/>
      <c r="K1161" s="19"/>
      <c r="L1161" s="19"/>
      <c r="M1161" s="19"/>
      <c r="N1161" s="19"/>
    </row>
    <row r="1162" spans="1:14" s="97" customFormat="1" ht="13.2" x14ac:dyDescent="0.25">
      <c r="A1162" s="202" t="s">
        <v>2944</v>
      </c>
      <c r="B1162" s="216" t="s">
        <v>2945</v>
      </c>
      <c r="C1162" s="217" t="s">
        <v>1883</v>
      </c>
      <c r="D1162" s="120"/>
      <c r="E1162" s="45"/>
      <c r="F1162" s="127"/>
      <c r="G1162" s="151"/>
      <c r="H1162" s="218"/>
      <c r="I1162" s="218"/>
      <c r="J1162" s="218"/>
      <c r="K1162" s="218"/>
      <c r="L1162" s="218"/>
      <c r="M1162" s="218"/>
      <c r="N1162" s="218"/>
    </row>
    <row r="1163" spans="1:14" s="97" customFormat="1" ht="13.2" x14ac:dyDescent="0.25">
      <c r="A1163" s="202" t="s">
        <v>2946</v>
      </c>
      <c r="B1163" s="216" t="s">
        <v>2947</v>
      </c>
      <c r="C1163" s="217" t="s">
        <v>1883</v>
      </c>
      <c r="D1163" s="120"/>
      <c r="E1163" s="45"/>
      <c r="F1163" s="127"/>
      <c r="G1163" s="151"/>
      <c r="H1163" s="218"/>
      <c r="I1163" s="218"/>
      <c r="J1163" s="218"/>
      <c r="K1163" s="218"/>
      <c r="L1163" s="218"/>
      <c r="M1163" s="218"/>
      <c r="N1163" s="218"/>
    </row>
    <row r="1164" spans="1:14" s="97" customFormat="1" ht="13.8" x14ac:dyDescent="0.25">
      <c r="A1164" s="202" t="s">
        <v>2948</v>
      </c>
      <c r="B1164" s="216" t="s">
        <v>2949</v>
      </c>
      <c r="C1164" s="217" t="s">
        <v>1034</v>
      </c>
      <c r="D1164" s="120"/>
      <c r="E1164" s="45">
        <f t="shared" si="66"/>
        <v>0</v>
      </c>
      <c r="F1164" s="127">
        <f t="shared" si="67"/>
        <v>0</v>
      </c>
      <c r="G1164" s="151">
        <f>'Etude de cas n°1'!D1164</f>
        <v>0</v>
      </c>
      <c r="H1164" s="218"/>
      <c r="I1164" s="218"/>
      <c r="J1164" s="218"/>
      <c r="K1164" s="218"/>
      <c r="L1164" s="218"/>
      <c r="M1164" s="218"/>
      <c r="N1164" s="218"/>
    </row>
    <row r="1165" spans="1:14" s="94" customFormat="1" ht="13.8" x14ac:dyDescent="0.25">
      <c r="A1165" s="202" t="s">
        <v>2950</v>
      </c>
      <c r="B1165" s="216" t="s">
        <v>2951</v>
      </c>
      <c r="C1165" s="217" t="s">
        <v>1034</v>
      </c>
      <c r="D1165" s="120"/>
      <c r="E1165" s="45">
        <f t="shared" si="66"/>
        <v>0</v>
      </c>
      <c r="F1165" s="127">
        <f t="shared" si="67"/>
        <v>0</v>
      </c>
      <c r="G1165" s="151">
        <f>'Etude de cas n°1'!D1165</f>
        <v>0</v>
      </c>
      <c r="H1165" s="19"/>
      <c r="I1165" s="19"/>
      <c r="J1165" s="19"/>
      <c r="K1165" s="19"/>
      <c r="L1165" s="19"/>
      <c r="M1165" s="19"/>
      <c r="N1165" s="19"/>
    </row>
    <row r="1166" spans="1:14" s="97" customFormat="1" ht="13.8" x14ac:dyDescent="0.25">
      <c r="A1166" s="202" t="s">
        <v>2952</v>
      </c>
      <c r="B1166" s="216" t="s">
        <v>2953</v>
      </c>
      <c r="C1166" s="217" t="s">
        <v>1034</v>
      </c>
      <c r="D1166" s="120"/>
      <c r="E1166" s="45">
        <f t="shared" si="66"/>
        <v>0</v>
      </c>
      <c r="F1166" s="127">
        <f t="shared" si="67"/>
        <v>0</v>
      </c>
      <c r="G1166" s="151">
        <f>'Etude de cas n°1'!D1166</f>
        <v>0</v>
      </c>
      <c r="H1166" s="218"/>
      <c r="I1166" s="218"/>
      <c r="J1166" s="218"/>
      <c r="K1166" s="218"/>
      <c r="L1166" s="218"/>
      <c r="M1166" s="218"/>
      <c r="N1166" s="218"/>
    </row>
    <row r="1167" spans="1:14" s="97" customFormat="1" ht="13.8" x14ac:dyDescent="0.25">
      <c r="A1167" s="202" t="s">
        <v>2954</v>
      </c>
      <c r="B1167" s="216" t="s">
        <v>2955</v>
      </c>
      <c r="C1167" s="217" t="s">
        <v>1034</v>
      </c>
      <c r="D1167" s="120"/>
      <c r="E1167" s="45">
        <f t="shared" si="66"/>
        <v>0</v>
      </c>
      <c r="F1167" s="127">
        <f t="shared" si="67"/>
        <v>0</v>
      </c>
      <c r="G1167" s="151">
        <f>'Etude de cas n°1'!D1167</f>
        <v>0</v>
      </c>
      <c r="H1167" s="218"/>
      <c r="I1167" s="218"/>
      <c r="J1167" s="218"/>
      <c r="K1167" s="218"/>
      <c r="L1167" s="218"/>
      <c r="M1167" s="218"/>
      <c r="N1167" s="218"/>
    </row>
    <row r="1168" spans="1:14" s="97" customFormat="1" ht="13.8" x14ac:dyDescent="0.25">
      <c r="A1168" s="202" t="s">
        <v>2956</v>
      </c>
      <c r="B1168" s="216" t="s">
        <v>2957</v>
      </c>
      <c r="C1168" s="217" t="s">
        <v>1034</v>
      </c>
      <c r="D1168" s="120"/>
      <c r="E1168" s="45">
        <f t="shared" si="66"/>
        <v>0</v>
      </c>
      <c r="F1168" s="127">
        <f t="shared" si="67"/>
        <v>0</v>
      </c>
      <c r="G1168" s="151">
        <f>'Etude de cas n°1'!D1168</f>
        <v>0</v>
      </c>
      <c r="H1168" s="218"/>
      <c r="I1168" s="218"/>
      <c r="J1168" s="218"/>
      <c r="K1168" s="218"/>
      <c r="L1168" s="218"/>
      <c r="M1168" s="218"/>
      <c r="N1168" s="218"/>
    </row>
    <row r="1169" spans="1:14" s="97" customFormat="1" ht="13.8" x14ac:dyDescent="0.25">
      <c r="A1169" s="202" t="s">
        <v>2958</v>
      </c>
      <c r="B1169" s="216" t="s">
        <v>2959</v>
      </c>
      <c r="C1169" s="217" t="s">
        <v>1034</v>
      </c>
      <c r="D1169" s="120"/>
      <c r="E1169" s="45">
        <f t="shared" si="66"/>
        <v>0</v>
      </c>
      <c r="F1169" s="127">
        <f t="shared" si="67"/>
        <v>0</v>
      </c>
      <c r="G1169" s="151">
        <f>'Etude de cas n°1'!D1169</f>
        <v>0</v>
      </c>
      <c r="H1169" s="218"/>
      <c r="I1169" s="218"/>
      <c r="J1169" s="218"/>
      <c r="K1169" s="218"/>
      <c r="L1169" s="218"/>
      <c r="M1169" s="218"/>
      <c r="N1169" s="218"/>
    </row>
    <row r="1170" spans="1:14" s="94" customFormat="1" ht="13.8" x14ac:dyDescent="0.25">
      <c r="A1170" s="202" t="s">
        <v>2960</v>
      </c>
      <c r="B1170" s="216" t="s">
        <v>2961</v>
      </c>
      <c r="C1170" s="217" t="s">
        <v>1034</v>
      </c>
      <c r="D1170" s="120"/>
      <c r="E1170" s="45">
        <f t="shared" si="66"/>
        <v>0</v>
      </c>
      <c r="F1170" s="127">
        <f t="shared" si="67"/>
        <v>0</v>
      </c>
      <c r="G1170" s="151">
        <f>'Etude de cas n°1'!D1170</f>
        <v>0</v>
      </c>
      <c r="H1170" s="19"/>
      <c r="I1170" s="19"/>
      <c r="J1170" s="19"/>
      <c r="K1170" s="19"/>
      <c r="L1170" s="19"/>
      <c r="M1170" s="19"/>
      <c r="N1170" s="19"/>
    </row>
    <row r="1171" spans="1:14" s="97" customFormat="1" ht="13.8" x14ac:dyDescent="0.25">
      <c r="A1171" s="202" t="s">
        <v>2962</v>
      </c>
      <c r="B1171" s="216" t="s">
        <v>2963</v>
      </c>
      <c r="C1171" s="217" t="s">
        <v>1034</v>
      </c>
      <c r="D1171" s="120"/>
      <c r="E1171" s="45">
        <f t="shared" si="66"/>
        <v>0</v>
      </c>
      <c r="F1171" s="127">
        <f t="shared" si="67"/>
        <v>0</v>
      </c>
      <c r="G1171" s="151">
        <f>'Etude de cas n°1'!D1171</f>
        <v>0</v>
      </c>
      <c r="H1171" s="218"/>
      <c r="I1171" s="218"/>
      <c r="J1171" s="218"/>
      <c r="K1171" s="218"/>
      <c r="L1171" s="218"/>
      <c r="M1171" s="218"/>
      <c r="N1171" s="218"/>
    </row>
    <row r="1172" spans="1:14" s="97" customFormat="1" ht="13.8" x14ac:dyDescent="0.25">
      <c r="A1172" s="202" t="s">
        <v>2964</v>
      </c>
      <c r="B1172" s="216" t="s">
        <v>2965</v>
      </c>
      <c r="C1172" s="217" t="s">
        <v>1034</v>
      </c>
      <c r="D1172" s="120"/>
      <c r="E1172" s="45">
        <f t="shared" si="66"/>
        <v>0</v>
      </c>
      <c r="F1172" s="127">
        <f t="shared" si="67"/>
        <v>0</v>
      </c>
      <c r="G1172" s="151">
        <f>'Etude de cas n°1'!D1172</f>
        <v>0</v>
      </c>
      <c r="H1172" s="218"/>
      <c r="I1172" s="218"/>
      <c r="J1172" s="218"/>
      <c r="K1172" s="218"/>
      <c r="L1172" s="218"/>
      <c r="M1172" s="218"/>
      <c r="N1172" s="218"/>
    </row>
    <row r="1173" spans="1:14" s="97" customFormat="1" ht="13.8" x14ac:dyDescent="0.25">
      <c r="A1173" s="202" t="s">
        <v>2966</v>
      </c>
      <c r="B1173" s="216" t="s">
        <v>2967</v>
      </c>
      <c r="C1173" s="217" t="s">
        <v>1034</v>
      </c>
      <c r="D1173" s="120"/>
      <c r="E1173" s="45">
        <f t="shared" si="66"/>
        <v>0</v>
      </c>
      <c r="F1173" s="127">
        <f t="shared" si="67"/>
        <v>0</v>
      </c>
      <c r="G1173" s="151">
        <f>'Etude de cas n°1'!D1173</f>
        <v>0</v>
      </c>
      <c r="H1173" s="218"/>
      <c r="I1173" s="218"/>
      <c r="J1173" s="218"/>
      <c r="K1173" s="218"/>
      <c r="L1173" s="218"/>
      <c r="M1173" s="218"/>
      <c r="N1173" s="218"/>
    </row>
    <row r="1174" spans="1:14" s="97" customFormat="1" ht="13.8" x14ac:dyDescent="0.25">
      <c r="A1174" s="202" t="s">
        <v>2968</v>
      </c>
      <c r="B1174" s="216" t="s">
        <v>2969</v>
      </c>
      <c r="C1174" s="217" t="s">
        <v>1034</v>
      </c>
      <c r="D1174" s="120"/>
      <c r="E1174" s="45">
        <f t="shared" si="66"/>
        <v>0</v>
      </c>
      <c r="F1174" s="127">
        <f t="shared" si="67"/>
        <v>0</v>
      </c>
      <c r="G1174" s="151">
        <f>'Etude de cas n°1'!D1174</f>
        <v>0</v>
      </c>
      <c r="H1174" s="218"/>
      <c r="I1174" s="218"/>
      <c r="J1174" s="218"/>
      <c r="K1174" s="218"/>
      <c r="L1174" s="218"/>
      <c r="M1174" s="218"/>
      <c r="N1174" s="218"/>
    </row>
    <row r="1175" spans="1:14" s="97" customFormat="1" ht="13.8" x14ac:dyDescent="0.25">
      <c r="A1175" s="202" t="s">
        <v>2970</v>
      </c>
      <c r="B1175" s="216" t="s">
        <v>2971</v>
      </c>
      <c r="C1175" s="217" t="s">
        <v>1034</v>
      </c>
      <c r="D1175" s="120"/>
      <c r="E1175" s="45">
        <f t="shared" ref="E1175:E1232" si="68">G1175</f>
        <v>0</v>
      </c>
      <c r="F1175" s="127">
        <f t="shared" si="67"/>
        <v>0</v>
      </c>
      <c r="G1175" s="151">
        <f>'Etude de cas n°1'!D1175</f>
        <v>0</v>
      </c>
      <c r="H1175" s="218"/>
      <c r="I1175" s="218"/>
      <c r="J1175" s="218"/>
      <c r="K1175" s="218"/>
      <c r="L1175" s="218"/>
      <c r="M1175" s="218"/>
      <c r="N1175" s="218"/>
    </row>
    <row r="1176" spans="1:14" s="97" customFormat="1" ht="13.2" x14ac:dyDescent="0.25">
      <c r="A1176" s="202" t="s">
        <v>2972</v>
      </c>
      <c r="B1176" s="216" t="s">
        <v>2973</v>
      </c>
      <c r="C1176" s="217" t="s">
        <v>1883</v>
      </c>
      <c r="D1176" s="120"/>
      <c r="E1176" s="45"/>
      <c r="F1176" s="127"/>
      <c r="G1176" s="151"/>
      <c r="H1176" s="218"/>
      <c r="I1176" s="218"/>
      <c r="J1176" s="218"/>
      <c r="K1176" s="218"/>
      <c r="L1176" s="218"/>
      <c r="M1176" s="218"/>
      <c r="N1176" s="218"/>
    </row>
    <row r="1177" spans="1:14" s="97" customFormat="1" ht="13.8" x14ac:dyDescent="0.25">
      <c r="A1177" s="202" t="s">
        <v>2974</v>
      </c>
      <c r="B1177" s="216" t="s">
        <v>2975</v>
      </c>
      <c r="C1177" s="217" t="s">
        <v>1034</v>
      </c>
      <c r="D1177" s="120"/>
      <c r="E1177" s="45">
        <f t="shared" si="68"/>
        <v>0</v>
      </c>
      <c r="F1177" s="127">
        <f t="shared" ref="F1177:F1232" si="69">D1177*E1177</f>
        <v>0</v>
      </c>
      <c r="G1177" s="151">
        <f>'Etude de cas n°1'!D1177</f>
        <v>0</v>
      </c>
      <c r="H1177" s="218"/>
      <c r="I1177" s="218"/>
      <c r="J1177" s="218"/>
      <c r="K1177" s="218"/>
      <c r="L1177" s="218"/>
      <c r="M1177" s="218"/>
      <c r="N1177" s="218"/>
    </row>
    <row r="1178" spans="1:14" s="94" customFormat="1" ht="13.8" x14ac:dyDescent="0.25">
      <c r="A1178" s="202" t="s">
        <v>2976</v>
      </c>
      <c r="B1178" s="216" t="s">
        <v>2977</v>
      </c>
      <c r="C1178" s="217" t="s">
        <v>1034</v>
      </c>
      <c r="D1178" s="120"/>
      <c r="E1178" s="45">
        <f t="shared" si="68"/>
        <v>0</v>
      </c>
      <c r="F1178" s="127">
        <f t="shared" si="69"/>
        <v>0</v>
      </c>
      <c r="G1178" s="151">
        <f>'Etude de cas n°1'!D1178</f>
        <v>0</v>
      </c>
      <c r="H1178" s="19"/>
      <c r="I1178" s="19"/>
      <c r="J1178" s="19"/>
      <c r="K1178" s="19"/>
      <c r="L1178" s="19"/>
      <c r="M1178" s="19"/>
      <c r="N1178" s="19"/>
    </row>
    <row r="1179" spans="1:14" s="97" customFormat="1" ht="13.8" x14ac:dyDescent="0.25">
      <c r="A1179" s="202" t="s">
        <v>2978</v>
      </c>
      <c r="B1179" s="216" t="s">
        <v>2979</v>
      </c>
      <c r="C1179" s="217" t="s">
        <v>1034</v>
      </c>
      <c r="D1179" s="120"/>
      <c r="E1179" s="45">
        <f t="shared" si="68"/>
        <v>0</v>
      </c>
      <c r="F1179" s="127">
        <f t="shared" si="69"/>
        <v>0</v>
      </c>
      <c r="G1179" s="151">
        <f>'Etude de cas n°1'!D1179</f>
        <v>0</v>
      </c>
      <c r="H1179" s="218"/>
      <c r="I1179" s="218"/>
      <c r="J1179" s="218"/>
      <c r="K1179" s="218"/>
      <c r="L1179" s="218"/>
      <c r="M1179" s="218"/>
      <c r="N1179" s="218"/>
    </row>
    <row r="1180" spans="1:14" s="97" customFormat="1" ht="13.8" x14ac:dyDescent="0.25">
      <c r="A1180" s="202" t="s">
        <v>2980</v>
      </c>
      <c r="B1180" s="216" t="s">
        <v>2981</v>
      </c>
      <c r="C1180" s="217" t="s">
        <v>1034</v>
      </c>
      <c r="D1180" s="120"/>
      <c r="E1180" s="45">
        <f t="shared" si="68"/>
        <v>0</v>
      </c>
      <c r="F1180" s="127">
        <f t="shared" si="69"/>
        <v>0</v>
      </c>
      <c r="G1180" s="151">
        <f>'Etude de cas n°1'!D1180</f>
        <v>0</v>
      </c>
      <c r="H1180" s="218"/>
      <c r="I1180" s="218"/>
      <c r="J1180" s="218"/>
      <c r="K1180" s="218"/>
      <c r="L1180" s="218"/>
      <c r="M1180" s="218"/>
      <c r="N1180" s="218"/>
    </row>
    <row r="1181" spans="1:14" s="97" customFormat="1" ht="13.8" x14ac:dyDescent="0.25">
      <c r="A1181" s="202" t="s">
        <v>2982</v>
      </c>
      <c r="B1181" s="216" t="s">
        <v>2983</v>
      </c>
      <c r="C1181" s="217" t="s">
        <v>1034</v>
      </c>
      <c r="D1181" s="120"/>
      <c r="E1181" s="45">
        <f t="shared" si="68"/>
        <v>0</v>
      </c>
      <c r="F1181" s="127">
        <f t="shared" si="69"/>
        <v>0</v>
      </c>
      <c r="G1181" s="151">
        <f>'Etude de cas n°1'!D1181</f>
        <v>0</v>
      </c>
      <c r="H1181" s="218"/>
      <c r="I1181" s="218"/>
      <c r="J1181" s="218"/>
      <c r="K1181" s="218"/>
      <c r="L1181" s="218"/>
      <c r="M1181" s="218"/>
      <c r="N1181" s="218"/>
    </row>
    <row r="1182" spans="1:14" s="97" customFormat="1" ht="13.5" customHeight="1" x14ac:dyDescent="0.25">
      <c r="A1182" s="202" t="s">
        <v>2984</v>
      </c>
      <c r="B1182" s="216" t="s">
        <v>2985</v>
      </c>
      <c r="C1182" s="217" t="s">
        <v>1034</v>
      </c>
      <c r="D1182" s="120"/>
      <c r="E1182" s="45">
        <f t="shared" si="68"/>
        <v>0</v>
      </c>
      <c r="F1182" s="127">
        <f t="shared" si="69"/>
        <v>0</v>
      </c>
      <c r="G1182" s="151">
        <f>'Etude de cas n°1'!D1182</f>
        <v>0</v>
      </c>
      <c r="H1182" s="218"/>
      <c r="I1182" s="218"/>
      <c r="J1182" s="218"/>
      <c r="K1182" s="218"/>
      <c r="L1182" s="218"/>
      <c r="M1182" s="218"/>
      <c r="N1182" s="218"/>
    </row>
    <row r="1183" spans="1:14" s="94" customFormat="1" ht="13.8" x14ac:dyDescent="0.25">
      <c r="A1183" s="202" t="s">
        <v>2986</v>
      </c>
      <c r="B1183" s="216" t="s">
        <v>2987</v>
      </c>
      <c r="C1183" s="217" t="s">
        <v>1034</v>
      </c>
      <c r="D1183" s="120"/>
      <c r="E1183" s="45">
        <f t="shared" si="68"/>
        <v>0</v>
      </c>
      <c r="F1183" s="127">
        <f t="shared" si="69"/>
        <v>0</v>
      </c>
      <c r="G1183" s="151">
        <f>'Etude de cas n°1'!D1183</f>
        <v>0</v>
      </c>
      <c r="H1183" s="19"/>
      <c r="I1183" s="19"/>
      <c r="J1183" s="19"/>
      <c r="K1183" s="19"/>
      <c r="L1183" s="19"/>
      <c r="M1183" s="19"/>
      <c r="N1183" s="19"/>
    </row>
    <row r="1184" spans="1:14" s="97" customFormat="1" ht="13.8" x14ac:dyDescent="0.25">
      <c r="A1184" s="202" t="s">
        <v>2988</v>
      </c>
      <c r="B1184" s="216" t="s">
        <v>2989</v>
      </c>
      <c r="C1184" s="217" t="s">
        <v>1034</v>
      </c>
      <c r="D1184" s="120"/>
      <c r="E1184" s="45">
        <f t="shared" si="68"/>
        <v>0</v>
      </c>
      <c r="F1184" s="127">
        <f t="shared" si="69"/>
        <v>0</v>
      </c>
      <c r="G1184" s="151">
        <f>'Etude de cas n°1'!D1184</f>
        <v>0</v>
      </c>
      <c r="H1184" s="218"/>
      <c r="I1184" s="218"/>
      <c r="J1184" s="218"/>
      <c r="K1184" s="218"/>
      <c r="L1184" s="218"/>
      <c r="M1184" s="218"/>
      <c r="N1184" s="218"/>
    </row>
    <row r="1185" spans="1:14" s="97" customFormat="1" ht="13.8" x14ac:dyDescent="0.25">
      <c r="A1185" s="202" t="s">
        <v>2990</v>
      </c>
      <c r="B1185" s="216" t="s">
        <v>2991</v>
      </c>
      <c r="C1185" s="217" t="s">
        <v>1034</v>
      </c>
      <c r="D1185" s="120"/>
      <c r="E1185" s="45">
        <f t="shared" si="68"/>
        <v>0</v>
      </c>
      <c r="F1185" s="127">
        <f t="shared" si="69"/>
        <v>0</v>
      </c>
      <c r="G1185" s="151">
        <f>'Etude de cas n°1'!D1185</f>
        <v>0</v>
      </c>
      <c r="H1185" s="218"/>
      <c r="I1185" s="218"/>
      <c r="J1185" s="218"/>
      <c r="K1185" s="218"/>
      <c r="L1185" s="218"/>
      <c r="M1185" s="218"/>
      <c r="N1185" s="218"/>
    </row>
    <row r="1186" spans="1:14" s="97" customFormat="1" ht="13.8" x14ac:dyDescent="0.25">
      <c r="A1186" s="202" t="s">
        <v>2992</v>
      </c>
      <c r="B1186" s="216" t="s">
        <v>2993</v>
      </c>
      <c r="C1186" s="217" t="s">
        <v>1034</v>
      </c>
      <c r="D1186" s="120"/>
      <c r="E1186" s="45">
        <f t="shared" si="68"/>
        <v>0</v>
      </c>
      <c r="F1186" s="127">
        <f t="shared" si="69"/>
        <v>0</v>
      </c>
      <c r="G1186" s="151">
        <f>'Etude de cas n°1'!D1186</f>
        <v>0</v>
      </c>
      <c r="H1186" s="218"/>
      <c r="I1186" s="218"/>
      <c r="J1186" s="218"/>
      <c r="K1186" s="218"/>
      <c r="L1186" s="218"/>
      <c r="M1186" s="218"/>
      <c r="N1186" s="218"/>
    </row>
    <row r="1187" spans="1:14" s="97" customFormat="1" ht="13.8" x14ac:dyDescent="0.25">
      <c r="A1187" s="202" t="s">
        <v>2994</v>
      </c>
      <c r="B1187" s="216" t="s">
        <v>2995</v>
      </c>
      <c r="C1187" s="217" t="s">
        <v>1034</v>
      </c>
      <c r="D1187" s="120"/>
      <c r="E1187" s="45">
        <f t="shared" si="68"/>
        <v>0</v>
      </c>
      <c r="F1187" s="127">
        <f t="shared" si="69"/>
        <v>0</v>
      </c>
      <c r="G1187" s="151">
        <f>'Etude de cas n°1'!D1187</f>
        <v>0</v>
      </c>
      <c r="H1187" s="218"/>
      <c r="I1187" s="218"/>
      <c r="J1187" s="218"/>
      <c r="K1187" s="218"/>
      <c r="L1187" s="218"/>
      <c r="M1187" s="218"/>
      <c r="N1187" s="218"/>
    </row>
    <row r="1188" spans="1:14" s="97" customFormat="1" ht="13.8" x14ac:dyDescent="0.25">
      <c r="A1188" s="202" t="s">
        <v>2996</v>
      </c>
      <c r="B1188" s="216" t="s">
        <v>2997</v>
      </c>
      <c r="C1188" s="217" t="s">
        <v>1034</v>
      </c>
      <c r="D1188" s="120"/>
      <c r="E1188" s="45">
        <f t="shared" si="68"/>
        <v>0</v>
      </c>
      <c r="F1188" s="127">
        <f t="shared" si="69"/>
        <v>0</v>
      </c>
      <c r="G1188" s="151">
        <f>'Etude de cas n°1'!D1188</f>
        <v>0</v>
      </c>
      <c r="H1188" s="218"/>
      <c r="I1188" s="218"/>
      <c r="J1188" s="218"/>
      <c r="K1188" s="218"/>
      <c r="L1188" s="218"/>
      <c r="M1188" s="218"/>
      <c r="N1188" s="218"/>
    </row>
    <row r="1189" spans="1:14" s="97" customFormat="1" ht="13.2" x14ac:dyDescent="0.25">
      <c r="A1189" s="202" t="s">
        <v>2998</v>
      </c>
      <c r="B1189" s="216" t="s">
        <v>2999</v>
      </c>
      <c r="C1189" s="217" t="s">
        <v>1883</v>
      </c>
      <c r="D1189" s="120"/>
      <c r="E1189" s="45"/>
      <c r="F1189" s="127"/>
      <c r="G1189" s="151"/>
      <c r="H1189" s="218"/>
      <c r="I1189" s="218"/>
      <c r="J1189" s="218"/>
      <c r="K1189" s="218"/>
      <c r="L1189" s="218"/>
      <c r="M1189" s="218"/>
      <c r="N1189" s="218"/>
    </row>
    <row r="1190" spans="1:14" s="97" customFormat="1" ht="13.8" x14ac:dyDescent="0.25">
      <c r="A1190" s="202" t="s">
        <v>3000</v>
      </c>
      <c r="B1190" s="216" t="s">
        <v>3001</v>
      </c>
      <c r="C1190" s="217" t="s">
        <v>1034</v>
      </c>
      <c r="D1190" s="120"/>
      <c r="E1190" s="45">
        <f t="shared" si="68"/>
        <v>0</v>
      </c>
      <c r="F1190" s="127">
        <f t="shared" si="69"/>
        <v>0</v>
      </c>
      <c r="G1190" s="151">
        <f>'Etude de cas n°1'!D1190</f>
        <v>0</v>
      </c>
      <c r="H1190" s="218"/>
      <c r="I1190" s="218"/>
      <c r="J1190" s="218"/>
      <c r="K1190" s="218"/>
      <c r="L1190" s="218"/>
      <c r="M1190" s="218"/>
      <c r="N1190" s="218"/>
    </row>
    <row r="1191" spans="1:14" s="97" customFormat="1" ht="13.8" x14ac:dyDescent="0.25">
      <c r="A1191" s="202" t="s">
        <v>3002</v>
      </c>
      <c r="B1191" s="216" t="s">
        <v>3003</v>
      </c>
      <c r="C1191" s="217" t="s">
        <v>1034</v>
      </c>
      <c r="D1191" s="120"/>
      <c r="E1191" s="45">
        <f t="shared" si="68"/>
        <v>0</v>
      </c>
      <c r="F1191" s="127">
        <f t="shared" si="69"/>
        <v>0</v>
      </c>
      <c r="G1191" s="151">
        <f>'Etude de cas n°1'!D1191</f>
        <v>0</v>
      </c>
      <c r="H1191" s="218"/>
      <c r="I1191" s="218"/>
      <c r="J1191" s="218"/>
      <c r="K1191" s="218"/>
      <c r="L1191" s="218"/>
      <c r="M1191" s="218"/>
      <c r="N1191" s="218"/>
    </row>
    <row r="1192" spans="1:14" s="97" customFormat="1" ht="13.8" x14ac:dyDescent="0.25">
      <c r="A1192" s="202" t="s">
        <v>3004</v>
      </c>
      <c r="B1192" s="216" t="s">
        <v>3005</v>
      </c>
      <c r="C1192" s="217" t="s">
        <v>1034</v>
      </c>
      <c r="D1192" s="120"/>
      <c r="E1192" s="45">
        <f t="shared" si="68"/>
        <v>0</v>
      </c>
      <c r="F1192" s="127">
        <f t="shared" si="69"/>
        <v>0</v>
      </c>
      <c r="G1192" s="151">
        <f>'Etude de cas n°1'!D1192</f>
        <v>0</v>
      </c>
      <c r="H1192" s="218"/>
      <c r="I1192" s="218"/>
      <c r="J1192" s="218"/>
      <c r="K1192" s="218"/>
      <c r="L1192" s="218"/>
      <c r="M1192" s="218"/>
      <c r="N1192" s="218"/>
    </row>
    <row r="1193" spans="1:14" s="97" customFormat="1" ht="13.8" x14ac:dyDescent="0.25">
      <c r="A1193" s="202" t="s">
        <v>3006</v>
      </c>
      <c r="B1193" s="216" t="s">
        <v>3007</v>
      </c>
      <c r="C1193" s="217" t="s">
        <v>1034</v>
      </c>
      <c r="D1193" s="120"/>
      <c r="E1193" s="45">
        <f t="shared" si="68"/>
        <v>104</v>
      </c>
      <c r="F1193" s="127">
        <f t="shared" si="69"/>
        <v>0</v>
      </c>
      <c r="G1193" s="151">
        <f>'Etude de cas n°1'!D1193</f>
        <v>104</v>
      </c>
      <c r="H1193" s="218"/>
      <c r="I1193" s="218"/>
      <c r="J1193" s="218"/>
      <c r="K1193" s="218"/>
      <c r="L1193" s="218"/>
      <c r="M1193" s="218"/>
      <c r="N1193" s="218"/>
    </row>
    <row r="1194" spans="1:14" s="97" customFormat="1" ht="13.8" x14ac:dyDescent="0.25">
      <c r="A1194" s="202" t="s">
        <v>3008</v>
      </c>
      <c r="B1194" s="216" t="s">
        <v>3009</v>
      </c>
      <c r="C1194" s="217" t="s">
        <v>1034</v>
      </c>
      <c r="D1194" s="120"/>
      <c r="E1194" s="45">
        <f t="shared" si="68"/>
        <v>0</v>
      </c>
      <c r="F1194" s="127">
        <f t="shared" si="69"/>
        <v>0</v>
      </c>
      <c r="G1194" s="151">
        <f>'Etude de cas n°1'!D1194</f>
        <v>0</v>
      </c>
      <c r="H1194" s="218"/>
      <c r="I1194" s="218"/>
      <c r="J1194" s="218"/>
      <c r="K1194" s="218"/>
      <c r="L1194" s="218"/>
      <c r="M1194" s="218"/>
      <c r="N1194" s="218"/>
    </row>
    <row r="1195" spans="1:14" s="97" customFormat="1" ht="13.8" x14ac:dyDescent="0.25">
      <c r="A1195" s="202" t="s">
        <v>3010</v>
      </c>
      <c r="B1195" s="216" t="s">
        <v>3011</v>
      </c>
      <c r="C1195" s="217" t="s">
        <v>1034</v>
      </c>
      <c r="D1195" s="120"/>
      <c r="E1195" s="45">
        <f t="shared" si="68"/>
        <v>0</v>
      </c>
      <c r="F1195" s="127">
        <f t="shared" si="69"/>
        <v>0</v>
      </c>
      <c r="G1195" s="151">
        <f>'Etude de cas n°1'!D1195</f>
        <v>0</v>
      </c>
      <c r="H1195" s="218"/>
      <c r="I1195" s="218"/>
      <c r="J1195" s="218"/>
      <c r="K1195" s="218"/>
      <c r="L1195" s="218"/>
      <c r="M1195" s="218"/>
      <c r="N1195" s="218"/>
    </row>
    <row r="1196" spans="1:14" s="97" customFormat="1" ht="13.8" x14ac:dyDescent="0.25">
      <c r="A1196" s="202" t="s">
        <v>3012</v>
      </c>
      <c r="B1196" s="216" t="s">
        <v>3013</v>
      </c>
      <c r="C1196" s="217" t="s">
        <v>1034</v>
      </c>
      <c r="D1196" s="120"/>
      <c r="E1196" s="45">
        <f t="shared" si="68"/>
        <v>0</v>
      </c>
      <c r="F1196" s="127">
        <f t="shared" si="69"/>
        <v>0</v>
      </c>
      <c r="G1196" s="151">
        <f>'Etude de cas n°1'!D1196</f>
        <v>0</v>
      </c>
      <c r="H1196" s="218"/>
      <c r="I1196" s="218"/>
      <c r="J1196" s="218"/>
      <c r="K1196" s="218"/>
      <c r="L1196" s="218"/>
      <c r="M1196" s="218"/>
      <c r="N1196" s="218"/>
    </row>
    <row r="1197" spans="1:14" s="97" customFormat="1" ht="13.8" x14ac:dyDescent="0.25">
      <c r="A1197" s="202" t="s">
        <v>3014</v>
      </c>
      <c r="B1197" s="216" t="s">
        <v>3015</v>
      </c>
      <c r="C1197" s="217" t="s">
        <v>1034</v>
      </c>
      <c r="D1197" s="120"/>
      <c r="E1197" s="45">
        <f t="shared" si="68"/>
        <v>0</v>
      </c>
      <c r="F1197" s="127">
        <f t="shared" si="69"/>
        <v>0</v>
      </c>
      <c r="G1197" s="151">
        <f>'Etude de cas n°1'!D1197</f>
        <v>0</v>
      </c>
      <c r="H1197" s="218"/>
      <c r="I1197" s="218"/>
      <c r="J1197" s="218"/>
      <c r="K1197" s="218"/>
      <c r="L1197" s="218"/>
      <c r="M1197" s="218"/>
      <c r="N1197" s="218"/>
    </row>
    <row r="1198" spans="1:14" s="97" customFormat="1" ht="13.8" x14ac:dyDescent="0.25">
      <c r="A1198" s="202" t="s">
        <v>3016</v>
      </c>
      <c r="B1198" s="216" t="s">
        <v>3017</v>
      </c>
      <c r="C1198" s="217" t="s">
        <v>1034</v>
      </c>
      <c r="D1198" s="120"/>
      <c r="E1198" s="45">
        <f t="shared" si="68"/>
        <v>0</v>
      </c>
      <c r="F1198" s="127">
        <f t="shared" si="69"/>
        <v>0</v>
      </c>
      <c r="G1198" s="151">
        <f>'Etude de cas n°1'!D1198</f>
        <v>0</v>
      </c>
      <c r="H1198" s="218"/>
      <c r="I1198" s="218"/>
      <c r="J1198" s="218"/>
      <c r="K1198" s="218"/>
      <c r="L1198" s="218"/>
      <c r="M1198" s="218"/>
      <c r="N1198" s="218"/>
    </row>
    <row r="1199" spans="1:14" s="94" customFormat="1" ht="13.8" x14ac:dyDescent="0.25">
      <c r="A1199" s="202" t="s">
        <v>3018</v>
      </c>
      <c r="B1199" s="216" t="s">
        <v>3019</v>
      </c>
      <c r="C1199" s="217" t="s">
        <v>1034</v>
      </c>
      <c r="D1199" s="120"/>
      <c r="E1199" s="45">
        <f t="shared" si="68"/>
        <v>0</v>
      </c>
      <c r="F1199" s="127">
        <f t="shared" si="69"/>
        <v>0</v>
      </c>
      <c r="G1199" s="151">
        <f>'Etude de cas n°1'!D1199</f>
        <v>0</v>
      </c>
      <c r="H1199" s="19"/>
      <c r="I1199" s="19"/>
      <c r="J1199" s="19"/>
      <c r="K1199" s="19"/>
      <c r="L1199" s="19"/>
      <c r="M1199" s="19"/>
      <c r="N1199" s="19"/>
    </row>
    <row r="1200" spans="1:14" s="97" customFormat="1" ht="13.8" x14ac:dyDescent="0.25">
      <c r="A1200" s="202" t="s">
        <v>3020</v>
      </c>
      <c r="B1200" s="216" t="s">
        <v>3021</v>
      </c>
      <c r="C1200" s="217" t="s">
        <v>1034</v>
      </c>
      <c r="D1200" s="120"/>
      <c r="E1200" s="45">
        <f t="shared" si="68"/>
        <v>0</v>
      </c>
      <c r="F1200" s="127">
        <f t="shared" si="69"/>
        <v>0</v>
      </c>
      <c r="G1200" s="151">
        <f>'Etude de cas n°1'!D1200</f>
        <v>0</v>
      </c>
      <c r="H1200" s="218"/>
      <c r="I1200" s="218"/>
      <c r="J1200" s="218"/>
      <c r="K1200" s="218"/>
      <c r="L1200" s="218"/>
      <c r="M1200" s="218"/>
      <c r="N1200" s="218"/>
    </row>
    <row r="1201" spans="1:14" s="97" customFormat="1" ht="13.8" x14ac:dyDescent="0.25">
      <c r="A1201" s="202" t="s">
        <v>3022</v>
      </c>
      <c r="B1201" s="216" t="s">
        <v>3023</v>
      </c>
      <c r="C1201" s="217" t="s">
        <v>1034</v>
      </c>
      <c r="D1201" s="120"/>
      <c r="E1201" s="45">
        <f t="shared" si="68"/>
        <v>0</v>
      </c>
      <c r="F1201" s="127">
        <f t="shared" si="69"/>
        <v>0</v>
      </c>
      <c r="G1201" s="151">
        <f>'Etude de cas n°1'!D1201</f>
        <v>0</v>
      </c>
      <c r="H1201" s="218"/>
      <c r="I1201" s="218"/>
      <c r="J1201" s="218"/>
      <c r="K1201" s="218"/>
      <c r="L1201" s="218"/>
      <c r="M1201" s="218"/>
      <c r="N1201" s="218"/>
    </row>
    <row r="1202" spans="1:14" s="97" customFormat="1" ht="13.2" x14ac:dyDescent="0.25">
      <c r="A1202" s="27" t="s">
        <v>3024</v>
      </c>
      <c r="B1202" s="3" t="s">
        <v>3025</v>
      </c>
      <c r="C1202" s="217"/>
      <c r="D1202" s="120"/>
      <c r="E1202" s="45"/>
      <c r="F1202" s="127"/>
      <c r="G1202" s="151"/>
      <c r="H1202" s="218"/>
      <c r="I1202" s="218"/>
      <c r="J1202" s="218"/>
      <c r="K1202" s="218"/>
      <c r="L1202" s="218"/>
      <c r="M1202" s="218"/>
      <c r="N1202" s="218"/>
    </row>
    <row r="1203" spans="1:14" s="97" customFormat="1" ht="13.2" x14ac:dyDescent="0.25">
      <c r="A1203" s="202" t="s">
        <v>3026</v>
      </c>
      <c r="B1203" s="216" t="s">
        <v>3027</v>
      </c>
      <c r="C1203" s="217" t="s">
        <v>984</v>
      </c>
      <c r="D1203" s="120"/>
      <c r="E1203" s="45">
        <f t="shared" si="68"/>
        <v>0</v>
      </c>
      <c r="F1203" s="127">
        <f t="shared" si="69"/>
        <v>0</v>
      </c>
      <c r="G1203" s="151">
        <f>'Etude de cas n°1'!D1203</f>
        <v>0</v>
      </c>
      <c r="H1203" s="218"/>
      <c r="I1203" s="218"/>
      <c r="J1203" s="218"/>
      <c r="K1203" s="218"/>
      <c r="L1203" s="218"/>
      <c r="M1203" s="218"/>
      <c r="N1203" s="218"/>
    </row>
    <row r="1204" spans="1:14" s="97" customFormat="1" ht="13.2" x14ac:dyDescent="0.25">
      <c r="A1204" s="202" t="s">
        <v>3028</v>
      </c>
      <c r="B1204" s="216" t="s">
        <v>3029</v>
      </c>
      <c r="C1204" s="217"/>
      <c r="D1204" s="120"/>
      <c r="E1204" s="45"/>
      <c r="F1204" s="127"/>
      <c r="G1204" s="151"/>
      <c r="H1204" s="218"/>
      <c r="I1204" s="218"/>
      <c r="J1204" s="218"/>
      <c r="K1204" s="218"/>
      <c r="L1204" s="218"/>
      <c r="M1204" s="218"/>
      <c r="N1204" s="218"/>
    </row>
    <row r="1205" spans="1:14" s="97" customFormat="1" ht="13.2" x14ac:dyDescent="0.25">
      <c r="A1205" s="202" t="s">
        <v>3030</v>
      </c>
      <c r="B1205" s="216" t="s">
        <v>3031</v>
      </c>
      <c r="C1205" s="217" t="s">
        <v>1034</v>
      </c>
      <c r="D1205" s="120"/>
      <c r="E1205" s="45">
        <f t="shared" si="68"/>
        <v>0</v>
      </c>
      <c r="F1205" s="127">
        <f t="shared" si="69"/>
        <v>0</v>
      </c>
      <c r="G1205" s="151">
        <f>'Etude de cas n°1'!D1205</f>
        <v>0</v>
      </c>
      <c r="H1205" s="218"/>
      <c r="I1205" s="218"/>
      <c r="J1205" s="218"/>
      <c r="K1205" s="218"/>
      <c r="L1205" s="218"/>
      <c r="M1205" s="218"/>
      <c r="N1205" s="218"/>
    </row>
    <row r="1206" spans="1:14" s="94" customFormat="1" ht="13.2" x14ac:dyDescent="0.25">
      <c r="A1206" s="202" t="s">
        <v>3032</v>
      </c>
      <c r="B1206" s="216" t="s">
        <v>3033</v>
      </c>
      <c r="C1206" s="217" t="s">
        <v>1034</v>
      </c>
      <c r="D1206" s="120"/>
      <c r="E1206" s="45">
        <f t="shared" si="68"/>
        <v>0</v>
      </c>
      <c r="F1206" s="127">
        <f t="shared" si="69"/>
        <v>0</v>
      </c>
      <c r="G1206" s="151">
        <f>'Etude de cas n°1'!D1206</f>
        <v>0</v>
      </c>
      <c r="H1206" s="19"/>
      <c r="I1206" s="19"/>
      <c r="J1206" s="19"/>
      <c r="K1206" s="19"/>
      <c r="L1206" s="19"/>
      <c r="M1206" s="19"/>
      <c r="N1206" s="19"/>
    </row>
    <row r="1207" spans="1:14" s="97" customFormat="1" ht="13.2" x14ac:dyDescent="0.25">
      <c r="A1207" s="202" t="s">
        <v>3034</v>
      </c>
      <c r="B1207" s="216" t="s">
        <v>3035</v>
      </c>
      <c r="C1207" s="217" t="s">
        <v>1034</v>
      </c>
      <c r="D1207" s="120"/>
      <c r="E1207" s="45">
        <f t="shared" si="68"/>
        <v>0</v>
      </c>
      <c r="F1207" s="127">
        <f t="shared" si="69"/>
        <v>0</v>
      </c>
      <c r="G1207" s="151">
        <f>'Etude de cas n°1'!D1207</f>
        <v>0</v>
      </c>
      <c r="H1207" s="218"/>
      <c r="I1207" s="218"/>
      <c r="J1207" s="218"/>
      <c r="K1207" s="218"/>
      <c r="L1207" s="218"/>
      <c r="M1207" s="218"/>
      <c r="N1207" s="218"/>
    </row>
    <row r="1208" spans="1:14" s="94" customFormat="1" ht="13.2" x14ac:dyDescent="0.25">
      <c r="A1208" s="202" t="s">
        <v>3036</v>
      </c>
      <c r="B1208" s="216" t="s">
        <v>3037</v>
      </c>
      <c r="C1208" s="217" t="s">
        <v>1034</v>
      </c>
      <c r="D1208" s="120"/>
      <c r="E1208" s="45">
        <f t="shared" si="68"/>
        <v>0</v>
      </c>
      <c r="F1208" s="127">
        <f t="shared" si="69"/>
        <v>0</v>
      </c>
      <c r="G1208" s="151">
        <f>'Etude de cas n°1'!D1208</f>
        <v>0</v>
      </c>
      <c r="H1208" s="19"/>
      <c r="I1208" s="19"/>
      <c r="J1208" s="19"/>
      <c r="K1208" s="19"/>
      <c r="L1208" s="19"/>
      <c r="M1208" s="19"/>
      <c r="N1208" s="19"/>
    </row>
    <row r="1209" spans="1:14" s="94" customFormat="1" ht="13.2" x14ac:dyDescent="0.25">
      <c r="A1209" s="202" t="s">
        <v>3038</v>
      </c>
      <c r="B1209" s="216" t="s">
        <v>3039</v>
      </c>
      <c r="C1209" s="217" t="s">
        <v>1034</v>
      </c>
      <c r="D1209" s="120"/>
      <c r="E1209" s="45">
        <f t="shared" si="68"/>
        <v>0</v>
      </c>
      <c r="F1209" s="127">
        <f t="shared" si="69"/>
        <v>0</v>
      </c>
      <c r="G1209" s="151">
        <f>'Etude de cas n°1'!D1209</f>
        <v>0</v>
      </c>
      <c r="H1209" s="19"/>
      <c r="I1209" s="19"/>
      <c r="J1209" s="19"/>
      <c r="K1209" s="19"/>
      <c r="L1209" s="19"/>
      <c r="M1209" s="19"/>
      <c r="N1209" s="19"/>
    </row>
    <row r="1210" spans="1:14" s="94" customFormat="1" ht="13.2" x14ac:dyDescent="0.25">
      <c r="A1210" s="202" t="s">
        <v>3040</v>
      </c>
      <c r="B1210" s="216" t="s">
        <v>3041</v>
      </c>
      <c r="C1210" s="217" t="s">
        <v>1034</v>
      </c>
      <c r="D1210" s="120"/>
      <c r="E1210" s="45">
        <f t="shared" si="68"/>
        <v>0</v>
      </c>
      <c r="F1210" s="127">
        <f t="shared" si="69"/>
        <v>0</v>
      </c>
      <c r="G1210" s="151">
        <f>'Etude de cas n°1'!D1210</f>
        <v>0</v>
      </c>
      <c r="H1210" s="19"/>
      <c r="I1210" s="19"/>
      <c r="J1210" s="19"/>
      <c r="K1210" s="19"/>
      <c r="L1210" s="19"/>
      <c r="M1210" s="19"/>
      <c r="N1210" s="19"/>
    </row>
    <row r="1211" spans="1:14" s="94" customFormat="1" ht="13.2" x14ac:dyDescent="0.25">
      <c r="A1211" s="202" t="s">
        <v>3042</v>
      </c>
      <c r="B1211" s="216" t="s">
        <v>3043</v>
      </c>
      <c r="C1211" s="217" t="s">
        <v>1034</v>
      </c>
      <c r="D1211" s="120"/>
      <c r="E1211" s="45">
        <f t="shared" si="68"/>
        <v>0</v>
      </c>
      <c r="F1211" s="127">
        <f t="shared" si="69"/>
        <v>0</v>
      </c>
      <c r="G1211" s="151">
        <f>'Etude de cas n°1'!D1211</f>
        <v>0</v>
      </c>
      <c r="H1211" s="19"/>
      <c r="I1211" s="19"/>
      <c r="J1211" s="19"/>
      <c r="K1211" s="19"/>
      <c r="L1211" s="19"/>
      <c r="M1211" s="19"/>
      <c r="N1211" s="19"/>
    </row>
    <row r="1212" spans="1:14" s="94" customFormat="1" ht="13.2" x14ac:dyDescent="0.25">
      <c r="A1212" s="27" t="s">
        <v>3044</v>
      </c>
      <c r="B1212" s="3" t="s">
        <v>3045</v>
      </c>
      <c r="C1212" s="217"/>
      <c r="D1212" s="120"/>
      <c r="E1212" s="45"/>
      <c r="F1212" s="127"/>
      <c r="G1212" s="151"/>
      <c r="H1212" s="19"/>
      <c r="I1212" s="19"/>
      <c r="J1212" s="19"/>
      <c r="K1212" s="19"/>
      <c r="L1212" s="19"/>
      <c r="M1212" s="19"/>
      <c r="N1212" s="19"/>
    </row>
    <row r="1213" spans="1:14" s="94" customFormat="1" ht="13.2" x14ac:dyDescent="0.25">
      <c r="A1213" s="202" t="s">
        <v>3046</v>
      </c>
      <c r="B1213" s="216" t="s">
        <v>3047</v>
      </c>
      <c r="C1213" s="217" t="s">
        <v>984</v>
      </c>
      <c r="D1213" s="120"/>
      <c r="E1213" s="45">
        <f t="shared" si="68"/>
        <v>0</v>
      </c>
      <c r="F1213" s="127">
        <f t="shared" si="69"/>
        <v>0</v>
      </c>
      <c r="G1213" s="151">
        <f>'Etude de cas n°1'!D1213</f>
        <v>0</v>
      </c>
      <c r="H1213" s="19"/>
      <c r="I1213" s="19"/>
      <c r="J1213" s="19"/>
      <c r="K1213" s="19"/>
      <c r="L1213" s="19"/>
      <c r="M1213" s="19"/>
      <c r="N1213" s="19"/>
    </row>
    <row r="1214" spans="1:14" s="94" customFormat="1" ht="13.2" x14ac:dyDescent="0.25">
      <c r="A1214" s="202" t="s">
        <v>3048</v>
      </c>
      <c r="B1214" s="216" t="s">
        <v>3049</v>
      </c>
      <c r="C1214" s="217"/>
      <c r="D1214" s="120"/>
      <c r="E1214" s="45"/>
      <c r="F1214" s="127"/>
      <c r="G1214" s="151"/>
      <c r="H1214" s="19"/>
      <c r="I1214" s="19"/>
      <c r="J1214" s="19"/>
      <c r="K1214" s="19"/>
      <c r="L1214" s="19"/>
      <c r="M1214" s="19"/>
      <c r="N1214" s="19"/>
    </row>
    <row r="1215" spans="1:14" s="94" customFormat="1" ht="13.2" x14ac:dyDescent="0.25">
      <c r="A1215" s="202" t="s">
        <v>3050</v>
      </c>
      <c r="B1215" s="216" t="s">
        <v>3031</v>
      </c>
      <c r="C1215" s="217" t="s">
        <v>1034</v>
      </c>
      <c r="D1215" s="120"/>
      <c r="E1215" s="45">
        <f t="shared" si="68"/>
        <v>0</v>
      </c>
      <c r="F1215" s="127">
        <f t="shared" si="69"/>
        <v>0</v>
      </c>
      <c r="G1215" s="151">
        <f>'Etude de cas n°1'!D1215</f>
        <v>0</v>
      </c>
      <c r="H1215" s="19"/>
      <c r="I1215" s="19"/>
      <c r="J1215" s="19"/>
      <c r="K1215" s="19"/>
      <c r="L1215" s="19"/>
      <c r="M1215" s="19"/>
      <c r="N1215" s="19"/>
    </row>
    <row r="1216" spans="1:14" s="94" customFormat="1" ht="13.2" x14ac:dyDescent="0.25">
      <c r="A1216" s="202" t="s">
        <v>3051</v>
      </c>
      <c r="B1216" s="216" t="s">
        <v>3033</v>
      </c>
      <c r="C1216" s="217" t="s">
        <v>1034</v>
      </c>
      <c r="D1216" s="120"/>
      <c r="E1216" s="45">
        <f t="shared" si="68"/>
        <v>0</v>
      </c>
      <c r="F1216" s="127">
        <f t="shared" si="69"/>
        <v>0</v>
      </c>
      <c r="G1216" s="151">
        <f>'Etude de cas n°1'!D1216</f>
        <v>0</v>
      </c>
      <c r="H1216" s="19"/>
      <c r="I1216" s="19"/>
      <c r="J1216" s="19"/>
      <c r="K1216" s="19"/>
      <c r="L1216" s="19"/>
      <c r="M1216" s="19"/>
      <c r="N1216" s="19"/>
    </row>
    <row r="1217" spans="1:14" s="97" customFormat="1" ht="13.2" x14ac:dyDescent="0.25">
      <c r="A1217" s="202" t="s">
        <v>3052</v>
      </c>
      <c r="B1217" s="216" t="s">
        <v>3035</v>
      </c>
      <c r="C1217" s="217" t="s">
        <v>1034</v>
      </c>
      <c r="D1217" s="120"/>
      <c r="E1217" s="45">
        <f t="shared" si="68"/>
        <v>0</v>
      </c>
      <c r="F1217" s="127">
        <f t="shared" si="69"/>
        <v>0</v>
      </c>
      <c r="G1217" s="151">
        <f>'Etude de cas n°1'!D1217</f>
        <v>0</v>
      </c>
      <c r="H1217" s="218"/>
      <c r="I1217" s="218"/>
      <c r="J1217" s="218"/>
      <c r="K1217" s="218"/>
      <c r="L1217" s="218"/>
      <c r="M1217" s="218"/>
      <c r="N1217" s="218"/>
    </row>
    <row r="1218" spans="1:14" s="97" customFormat="1" ht="13.2" x14ac:dyDescent="0.25">
      <c r="A1218" s="202" t="s">
        <v>3053</v>
      </c>
      <c r="B1218" s="216" t="s">
        <v>3037</v>
      </c>
      <c r="C1218" s="217" t="s">
        <v>1034</v>
      </c>
      <c r="D1218" s="120"/>
      <c r="E1218" s="45">
        <f t="shared" si="68"/>
        <v>0</v>
      </c>
      <c r="F1218" s="127">
        <f t="shared" si="69"/>
        <v>0</v>
      </c>
      <c r="G1218" s="151">
        <f>'Etude de cas n°1'!D1218</f>
        <v>0</v>
      </c>
      <c r="H1218" s="218"/>
      <c r="I1218" s="218"/>
      <c r="J1218" s="218"/>
      <c r="K1218" s="218"/>
      <c r="L1218" s="218"/>
      <c r="M1218" s="218"/>
      <c r="N1218" s="218"/>
    </row>
    <row r="1219" spans="1:14" s="97" customFormat="1" ht="13.2" x14ac:dyDescent="0.25">
      <c r="A1219" s="202" t="s">
        <v>3054</v>
      </c>
      <c r="B1219" s="216" t="s">
        <v>3039</v>
      </c>
      <c r="C1219" s="217" t="s">
        <v>1034</v>
      </c>
      <c r="D1219" s="120"/>
      <c r="E1219" s="45">
        <f t="shared" si="68"/>
        <v>0</v>
      </c>
      <c r="F1219" s="127">
        <f t="shared" si="69"/>
        <v>0</v>
      </c>
      <c r="G1219" s="151">
        <f>'Etude de cas n°1'!D1219</f>
        <v>0</v>
      </c>
      <c r="H1219" s="218"/>
      <c r="I1219" s="218"/>
      <c r="J1219" s="218"/>
      <c r="K1219" s="218"/>
      <c r="L1219" s="218"/>
      <c r="M1219" s="218"/>
      <c r="N1219" s="218"/>
    </row>
    <row r="1220" spans="1:14" s="97" customFormat="1" ht="13.2" x14ac:dyDescent="0.25">
      <c r="A1220" s="202" t="s">
        <v>3055</v>
      </c>
      <c r="B1220" s="216" t="s">
        <v>3041</v>
      </c>
      <c r="C1220" s="217" t="s">
        <v>1034</v>
      </c>
      <c r="D1220" s="120"/>
      <c r="E1220" s="45">
        <f t="shared" si="68"/>
        <v>0</v>
      </c>
      <c r="F1220" s="127">
        <f t="shared" si="69"/>
        <v>0</v>
      </c>
      <c r="G1220" s="151">
        <f>'Etude de cas n°1'!D1220</f>
        <v>0</v>
      </c>
      <c r="H1220" s="218"/>
      <c r="I1220" s="218"/>
      <c r="J1220" s="218"/>
      <c r="K1220" s="218"/>
      <c r="L1220" s="218"/>
      <c r="M1220" s="218"/>
      <c r="N1220" s="218"/>
    </row>
    <row r="1221" spans="1:14" s="97" customFormat="1" ht="13.2" x14ac:dyDescent="0.25">
      <c r="A1221" s="202" t="s">
        <v>3056</v>
      </c>
      <c r="B1221" s="216" t="s">
        <v>3057</v>
      </c>
      <c r="C1221" s="217" t="s">
        <v>1034</v>
      </c>
      <c r="D1221" s="120"/>
      <c r="E1221" s="45">
        <f t="shared" si="68"/>
        <v>0</v>
      </c>
      <c r="F1221" s="127">
        <f t="shared" si="69"/>
        <v>0</v>
      </c>
      <c r="G1221" s="151">
        <f>'Etude de cas n°1'!D1221</f>
        <v>0</v>
      </c>
      <c r="H1221" s="218"/>
      <c r="I1221" s="218"/>
      <c r="J1221" s="218"/>
      <c r="K1221" s="218"/>
      <c r="L1221" s="218"/>
      <c r="M1221" s="218"/>
      <c r="N1221" s="218"/>
    </row>
    <row r="1222" spans="1:14" s="97" customFormat="1" ht="13.2" x14ac:dyDescent="0.25">
      <c r="A1222" s="27" t="s">
        <v>3058</v>
      </c>
      <c r="B1222" s="3" t="s">
        <v>3059</v>
      </c>
      <c r="C1222" s="217" t="s">
        <v>1883</v>
      </c>
      <c r="D1222" s="120"/>
      <c r="E1222" s="45"/>
      <c r="F1222" s="127"/>
      <c r="G1222" s="151"/>
      <c r="H1222" s="218"/>
      <c r="I1222" s="218"/>
      <c r="J1222" s="218"/>
      <c r="K1222" s="218"/>
      <c r="L1222" s="218"/>
      <c r="M1222" s="218"/>
      <c r="N1222" s="218"/>
    </row>
    <row r="1223" spans="1:14" s="97" customFormat="1" ht="13.2" x14ac:dyDescent="0.25">
      <c r="A1223" s="202" t="s">
        <v>3060</v>
      </c>
      <c r="B1223" s="216" t="s">
        <v>3061</v>
      </c>
      <c r="C1223" s="217" t="s">
        <v>984</v>
      </c>
      <c r="D1223" s="120"/>
      <c r="E1223" s="45">
        <f t="shared" si="68"/>
        <v>0</v>
      </c>
      <c r="F1223" s="127">
        <f t="shared" si="69"/>
        <v>0</v>
      </c>
      <c r="G1223" s="151">
        <f>'Etude de cas n°1'!D1223</f>
        <v>0</v>
      </c>
      <c r="H1223" s="218"/>
      <c r="I1223" s="218"/>
      <c r="J1223" s="218"/>
      <c r="K1223" s="218"/>
      <c r="L1223" s="218"/>
      <c r="M1223" s="218"/>
      <c r="N1223" s="218"/>
    </row>
    <row r="1224" spans="1:14" s="97" customFormat="1" ht="13.2" x14ac:dyDescent="0.25">
      <c r="A1224" s="202" t="s">
        <v>3062</v>
      </c>
      <c r="B1224" s="216" t="s">
        <v>3063</v>
      </c>
      <c r="C1224" s="217" t="s">
        <v>1011</v>
      </c>
      <c r="D1224" s="120"/>
      <c r="E1224" s="45">
        <f t="shared" si="68"/>
        <v>0</v>
      </c>
      <c r="F1224" s="127">
        <f t="shared" si="69"/>
        <v>0</v>
      </c>
      <c r="G1224" s="151">
        <f>'Etude de cas n°1'!D1224</f>
        <v>0</v>
      </c>
      <c r="H1224" s="218"/>
      <c r="I1224" s="218"/>
      <c r="J1224" s="218"/>
      <c r="K1224" s="218"/>
      <c r="L1224" s="218"/>
      <c r="M1224" s="218"/>
      <c r="N1224" s="218"/>
    </row>
    <row r="1225" spans="1:14" s="97" customFormat="1" ht="13.2" x14ac:dyDescent="0.25">
      <c r="A1225" s="202" t="s">
        <v>3064</v>
      </c>
      <c r="B1225" s="216" t="s">
        <v>3065</v>
      </c>
      <c r="C1225" s="217" t="s">
        <v>1011</v>
      </c>
      <c r="D1225" s="120"/>
      <c r="E1225" s="45">
        <f t="shared" si="68"/>
        <v>0</v>
      </c>
      <c r="F1225" s="127">
        <f t="shared" si="69"/>
        <v>0</v>
      </c>
      <c r="G1225" s="151">
        <f>'Etude de cas n°1'!D1225</f>
        <v>0</v>
      </c>
      <c r="H1225" s="218"/>
      <c r="I1225" s="218"/>
      <c r="J1225" s="218"/>
      <c r="K1225" s="218"/>
      <c r="L1225" s="218"/>
      <c r="M1225" s="218"/>
      <c r="N1225" s="218"/>
    </row>
    <row r="1226" spans="1:14" s="97" customFormat="1" ht="13.2" x14ac:dyDescent="0.25">
      <c r="A1226" s="27" t="s">
        <v>3066</v>
      </c>
      <c r="B1226" s="3" t="s">
        <v>3067</v>
      </c>
      <c r="C1226" s="217" t="s">
        <v>1883</v>
      </c>
      <c r="D1226" s="120"/>
      <c r="E1226" s="45"/>
      <c r="F1226" s="127"/>
      <c r="G1226" s="151"/>
      <c r="H1226" s="218"/>
      <c r="I1226" s="218"/>
      <c r="J1226" s="218"/>
      <c r="K1226" s="218"/>
      <c r="L1226" s="218"/>
      <c r="M1226" s="218"/>
      <c r="N1226" s="218"/>
    </row>
    <row r="1227" spans="1:14" s="97" customFormat="1" ht="13.2" x14ac:dyDescent="0.25">
      <c r="A1227" s="201" t="s">
        <v>3068</v>
      </c>
      <c r="B1227" s="216" t="s">
        <v>3069</v>
      </c>
      <c r="C1227" s="217" t="s">
        <v>1026</v>
      </c>
      <c r="D1227" s="120"/>
      <c r="E1227" s="45">
        <f t="shared" si="68"/>
        <v>2</v>
      </c>
      <c r="F1227" s="127">
        <f t="shared" si="69"/>
        <v>0</v>
      </c>
      <c r="G1227" s="151">
        <f>'Etude de cas n°1'!D1227</f>
        <v>2</v>
      </c>
      <c r="H1227" s="218"/>
      <c r="I1227" s="218"/>
      <c r="J1227" s="218"/>
      <c r="K1227" s="218"/>
      <c r="L1227" s="218"/>
      <c r="M1227" s="218"/>
      <c r="N1227" s="218"/>
    </row>
    <row r="1228" spans="1:14" s="97" customFormat="1" ht="13.2" x14ac:dyDescent="0.25">
      <c r="A1228" s="201" t="s">
        <v>3070</v>
      </c>
      <c r="B1228" s="216" t="s">
        <v>3071</v>
      </c>
      <c r="C1228" s="217" t="s">
        <v>2879</v>
      </c>
      <c r="D1228" s="120"/>
      <c r="E1228" s="45">
        <f t="shared" si="68"/>
        <v>5</v>
      </c>
      <c r="F1228" s="127">
        <f t="shared" si="69"/>
        <v>0</v>
      </c>
      <c r="G1228" s="151">
        <f>'Etude de cas n°1'!D1228</f>
        <v>5</v>
      </c>
      <c r="H1228" s="218"/>
      <c r="I1228" s="218"/>
      <c r="J1228" s="218"/>
      <c r="K1228" s="218"/>
      <c r="L1228" s="218"/>
      <c r="M1228" s="218"/>
      <c r="N1228" s="218"/>
    </row>
    <row r="1229" spans="1:14" s="97" customFormat="1" ht="13.2" x14ac:dyDescent="0.25">
      <c r="A1229" s="201" t="s">
        <v>3072</v>
      </c>
      <c r="B1229" s="216" t="s">
        <v>3073</v>
      </c>
      <c r="C1229" s="217" t="s">
        <v>3074</v>
      </c>
      <c r="D1229" s="120"/>
      <c r="E1229" s="45">
        <f t="shared" si="68"/>
        <v>0</v>
      </c>
      <c r="F1229" s="127">
        <f t="shared" si="69"/>
        <v>0</v>
      </c>
      <c r="G1229" s="151">
        <f>'Etude de cas n°1'!D1229</f>
        <v>0</v>
      </c>
      <c r="H1229" s="218"/>
      <c r="I1229" s="218"/>
      <c r="J1229" s="218"/>
      <c r="K1229" s="218"/>
      <c r="L1229" s="218"/>
      <c r="M1229" s="218"/>
      <c r="N1229" s="218"/>
    </row>
    <row r="1230" spans="1:14" s="97" customFormat="1" ht="13.2" x14ac:dyDescent="0.25">
      <c r="A1230" s="201" t="s">
        <v>3075</v>
      </c>
      <c r="B1230" s="216" t="s">
        <v>3076</v>
      </c>
      <c r="C1230" s="217"/>
      <c r="D1230" s="120"/>
      <c r="E1230" s="45"/>
      <c r="F1230" s="127"/>
      <c r="G1230" s="151"/>
      <c r="H1230" s="218"/>
      <c r="I1230" s="218"/>
      <c r="J1230" s="218"/>
      <c r="K1230" s="218"/>
      <c r="L1230" s="218"/>
      <c r="M1230" s="218"/>
      <c r="N1230" s="218"/>
    </row>
    <row r="1231" spans="1:14" s="97" customFormat="1" ht="13.2" x14ac:dyDescent="0.25">
      <c r="A1231" s="201" t="s">
        <v>3077</v>
      </c>
      <c r="B1231" s="216" t="s">
        <v>3078</v>
      </c>
      <c r="C1231" s="217" t="s">
        <v>1011</v>
      </c>
      <c r="D1231" s="120"/>
      <c r="E1231" s="45">
        <f t="shared" si="68"/>
        <v>0</v>
      </c>
      <c r="F1231" s="127">
        <f t="shared" si="69"/>
        <v>0</v>
      </c>
      <c r="G1231" s="151">
        <f>'Etude de cas n°1'!D1231</f>
        <v>0</v>
      </c>
      <c r="H1231" s="218"/>
      <c r="I1231" s="218"/>
      <c r="J1231" s="218"/>
      <c r="K1231" s="218"/>
      <c r="L1231" s="218"/>
      <c r="M1231" s="218"/>
      <c r="N1231" s="218"/>
    </row>
    <row r="1232" spans="1:14" s="97" customFormat="1" ht="13.2" x14ac:dyDescent="0.25">
      <c r="A1232" s="201" t="s">
        <v>3079</v>
      </c>
      <c r="B1232" s="216" t="s">
        <v>3080</v>
      </c>
      <c r="C1232" s="217" t="s">
        <v>1011</v>
      </c>
      <c r="D1232" s="120"/>
      <c r="E1232" s="45">
        <f t="shared" si="68"/>
        <v>0</v>
      </c>
      <c r="F1232" s="127">
        <f t="shared" si="69"/>
        <v>0</v>
      </c>
      <c r="G1232" s="151">
        <f>'Etude de cas n°1'!D1232</f>
        <v>0</v>
      </c>
      <c r="H1232" s="218"/>
      <c r="I1232" s="218"/>
      <c r="J1232" s="218"/>
      <c r="K1232" s="218"/>
      <c r="L1232" s="218"/>
      <c r="M1232" s="218"/>
      <c r="N1232" s="218"/>
    </row>
    <row r="1233" spans="1:14" s="97" customFormat="1" ht="13.2" x14ac:dyDescent="0.25">
      <c r="A1233" s="202"/>
      <c r="B1233" s="216"/>
      <c r="C1233" s="217"/>
      <c r="D1233" s="136"/>
      <c r="E1233" s="217"/>
      <c r="F1233" s="217"/>
      <c r="G1233" s="151"/>
      <c r="H1233" s="218"/>
      <c r="I1233" s="218"/>
      <c r="J1233" s="218"/>
      <c r="K1233" s="218"/>
      <c r="L1233" s="218"/>
      <c r="M1233" s="218"/>
      <c r="N1233" s="218"/>
    </row>
    <row r="1234" spans="1:14" s="97" customFormat="1" ht="26.4" x14ac:dyDescent="0.25">
      <c r="A1234" s="202"/>
      <c r="B1234" s="122" t="s">
        <v>3081</v>
      </c>
      <c r="C1234" s="217"/>
      <c r="D1234" s="136"/>
      <c r="E1234" s="217"/>
      <c r="F1234" s="158">
        <f>SUM(F1109:F1233)</f>
        <v>0</v>
      </c>
      <c r="G1234" s="151"/>
      <c r="H1234" s="218"/>
      <c r="I1234" s="218"/>
      <c r="J1234" s="218"/>
      <c r="K1234" s="218"/>
      <c r="L1234" s="218"/>
      <c r="M1234" s="218"/>
      <c r="N1234" s="218"/>
    </row>
    <row r="1235" spans="1:14" s="97" customFormat="1" ht="13.2" x14ac:dyDescent="0.25">
      <c r="A1235" s="202"/>
      <c r="B1235" s="216"/>
      <c r="C1235" s="217"/>
      <c r="D1235" s="136"/>
      <c r="E1235" s="217"/>
      <c r="F1235" s="217"/>
      <c r="G1235" s="151"/>
      <c r="H1235" s="218"/>
      <c r="I1235" s="218"/>
      <c r="J1235" s="218"/>
      <c r="K1235" s="218"/>
      <c r="L1235" s="218"/>
      <c r="M1235" s="218"/>
      <c r="N1235" s="218"/>
    </row>
    <row r="1236" spans="1:14" s="97" customFormat="1" ht="26.4" x14ac:dyDescent="0.25">
      <c r="A1236" s="29" t="s">
        <v>3082</v>
      </c>
      <c r="B1236" s="32" t="s">
        <v>3083</v>
      </c>
      <c r="C1236" s="224" t="s">
        <v>1883</v>
      </c>
      <c r="D1236" s="123"/>
      <c r="E1236" s="224" t="s">
        <v>1883</v>
      </c>
      <c r="F1236" s="224" t="s">
        <v>1883</v>
      </c>
      <c r="G1236" s="224" t="s">
        <v>1883</v>
      </c>
      <c r="H1236" s="218"/>
      <c r="I1236" s="218"/>
      <c r="J1236" s="218"/>
      <c r="K1236" s="218"/>
      <c r="L1236" s="218"/>
      <c r="M1236" s="218"/>
      <c r="N1236" s="218"/>
    </row>
    <row r="1237" spans="1:14" s="97" customFormat="1" ht="13.2" x14ac:dyDescent="0.25">
      <c r="A1237" s="27" t="s">
        <v>3084</v>
      </c>
      <c r="B1237" s="3" t="s">
        <v>3085</v>
      </c>
      <c r="C1237" s="217"/>
      <c r="D1237" s="136"/>
      <c r="E1237" s="217"/>
      <c r="F1237" s="217"/>
      <c r="G1237" s="151"/>
      <c r="H1237" s="218"/>
      <c r="I1237" s="218"/>
      <c r="J1237" s="218"/>
      <c r="K1237" s="218"/>
      <c r="L1237" s="218"/>
      <c r="M1237" s="218"/>
      <c r="N1237" s="218"/>
    </row>
    <row r="1238" spans="1:14" s="97" customFormat="1" ht="13.2" x14ac:dyDescent="0.25">
      <c r="A1238" s="201" t="s">
        <v>3086</v>
      </c>
      <c r="B1238" s="216" t="s">
        <v>3087</v>
      </c>
      <c r="C1238" s="217" t="s">
        <v>1232</v>
      </c>
      <c r="D1238" s="120"/>
      <c r="E1238" s="45">
        <f t="shared" ref="E1238:E1244" si="70">G1238</f>
        <v>3</v>
      </c>
      <c r="F1238" s="127">
        <f>D1238*E1238</f>
        <v>0</v>
      </c>
      <c r="G1238" s="151">
        <f>'Etude de cas n°1'!D1238</f>
        <v>3</v>
      </c>
      <c r="H1238" s="218"/>
      <c r="I1238" s="218"/>
      <c r="J1238" s="218"/>
      <c r="K1238" s="218"/>
      <c r="L1238" s="218"/>
      <c r="M1238" s="218"/>
      <c r="N1238" s="218"/>
    </row>
    <row r="1239" spans="1:14" s="97" customFormat="1" ht="13.2" x14ac:dyDescent="0.25">
      <c r="A1239" s="201" t="s">
        <v>3088</v>
      </c>
      <c r="B1239" s="216" t="s">
        <v>3089</v>
      </c>
      <c r="C1239" s="217" t="s">
        <v>1232</v>
      </c>
      <c r="D1239" s="120"/>
      <c r="E1239" s="45">
        <f t="shared" si="70"/>
        <v>0</v>
      </c>
      <c r="F1239" s="127">
        <f t="shared" ref="F1239:F1302" si="71">D1239*E1239</f>
        <v>0</v>
      </c>
      <c r="G1239" s="151">
        <f>'Etude de cas n°1'!D1239</f>
        <v>0</v>
      </c>
      <c r="H1239" s="218"/>
      <c r="I1239" s="218"/>
      <c r="J1239" s="218"/>
      <c r="K1239" s="218"/>
      <c r="L1239" s="218"/>
      <c r="M1239" s="218"/>
      <c r="N1239" s="218"/>
    </row>
    <row r="1240" spans="1:14" s="97" customFormat="1" ht="13.2" x14ac:dyDescent="0.25">
      <c r="A1240" s="201" t="s">
        <v>3090</v>
      </c>
      <c r="B1240" s="216" t="s">
        <v>3091</v>
      </c>
      <c r="C1240" s="217" t="s">
        <v>1232</v>
      </c>
      <c r="D1240" s="120"/>
      <c r="E1240" s="45">
        <f t="shared" si="70"/>
        <v>0</v>
      </c>
      <c r="F1240" s="127">
        <f t="shared" si="71"/>
        <v>0</v>
      </c>
      <c r="G1240" s="151">
        <f>'Etude de cas n°1'!D1240</f>
        <v>0</v>
      </c>
      <c r="H1240" s="218"/>
      <c r="I1240" s="218"/>
      <c r="J1240" s="218"/>
      <c r="K1240" s="218"/>
      <c r="L1240" s="218"/>
      <c r="M1240" s="218"/>
      <c r="N1240" s="218"/>
    </row>
    <row r="1241" spans="1:14" s="97" customFormat="1" ht="13.2" x14ac:dyDescent="0.25">
      <c r="A1241" s="201" t="s">
        <v>3092</v>
      </c>
      <c r="B1241" s="216" t="s">
        <v>3093</v>
      </c>
      <c r="C1241" s="217" t="s">
        <v>1232</v>
      </c>
      <c r="D1241" s="120"/>
      <c r="E1241" s="45">
        <f t="shared" si="70"/>
        <v>0</v>
      </c>
      <c r="F1241" s="127">
        <f t="shared" si="71"/>
        <v>0</v>
      </c>
      <c r="G1241" s="151">
        <f>'Etude de cas n°1'!D1241</f>
        <v>0</v>
      </c>
      <c r="H1241" s="218"/>
      <c r="I1241" s="218"/>
      <c r="J1241" s="218"/>
      <c r="K1241" s="218"/>
      <c r="L1241" s="218"/>
      <c r="M1241" s="218"/>
      <c r="N1241" s="218"/>
    </row>
    <row r="1242" spans="1:14" s="97" customFormat="1" ht="13.2" x14ac:dyDescent="0.25">
      <c r="A1242" s="201" t="s">
        <v>3094</v>
      </c>
      <c r="B1242" s="216" t="s">
        <v>3095</v>
      </c>
      <c r="C1242" s="217" t="s">
        <v>1141</v>
      </c>
      <c r="D1242" s="120"/>
      <c r="E1242" s="45">
        <f t="shared" si="70"/>
        <v>310</v>
      </c>
      <c r="F1242" s="127">
        <f t="shared" si="71"/>
        <v>0</v>
      </c>
      <c r="G1242" s="151">
        <f>'Etude de cas n°1'!D1242</f>
        <v>310</v>
      </c>
      <c r="H1242" s="218"/>
      <c r="I1242" s="218"/>
      <c r="J1242" s="218"/>
      <c r="K1242" s="218"/>
      <c r="L1242" s="218"/>
      <c r="M1242" s="218"/>
      <c r="N1242" s="218"/>
    </row>
    <row r="1243" spans="1:14" s="97" customFormat="1" ht="13.2" x14ac:dyDescent="0.25">
      <c r="A1243" s="201" t="s">
        <v>3096</v>
      </c>
      <c r="B1243" s="216" t="s">
        <v>3097</v>
      </c>
      <c r="C1243" s="217" t="s">
        <v>1141</v>
      </c>
      <c r="D1243" s="120"/>
      <c r="E1243" s="45">
        <f t="shared" si="70"/>
        <v>292</v>
      </c>
      <c r="F1243" s="127">
        <f t="shared" si="71"/>
        <v>0</v>
      </c>
      <c r="G1243" s="151">
        <f>'Etude de cas n°1'!D1243</f>
        <v>292</v>
      </c>
      <c r="H1243" s="218"/>
      <c r="I1243" s="218"/>
      <c r="J1243" s="218"/>
      <c r="K1243" s="218"/>
      <c r="L1243" s="218"/>
      <c r="M1243" s="218"/>
      <c r="N1243" s="218"/>
    </row>
    <row r="1244" spans="1:14" s="97" customFormat="1" ht="13.2" x14ac:dyDescent="0.25">
      <c r="A1244" s="201" t="s">
        <v>3098</v>
      </c>
      <c r="B1244" s="216" t="s">
        <v>3099</v>
      </c>
      <c r="C1244" s="217" t="s">
        <v>1034</v>
      </c>
      <c r="D1244" s="120"/>
      <c r="E1244" s="45">
        <f t="shared" si="70"/>
        <v>60</v>
      </c>
      <c r="F1244" s="127">
        <f t="shared" si="71"/>
        <v>0</v>
      </c>
      <c r="G1244" s="151">
        <f>'Etude de cas n°1'!D1244</f>
        <v>60</v>
      </c>
      <c r="H1244" s="218"/>
      <c r="I1244" s="218"/>
      <c r="J1244" s="218"/>
      <c r="K1244" s="218"/>
      <c r="L1244" s="218"/>
      <c r="M1244" s="218"/>
      <c r="N1244" s="218"/>
    </row>
    <row r="1245" spans="1:14" s="97" customFormat="1" ht="26.4" x14ac:dyDescent="0.25">
      <c r="A1245" s="27" t="s">
        <v>3100</v>
      </c>
      <c r="B1245" s="3" t="s">
        <v>3101</v>
      </c>
      <c r="C1245" s="217"/>
      <c r="D1245" s="120"/>
      <c r="E1245" s="45"/>
      <c r="F1245" s="127"/>
      <c r="G1245" s="151"/>
      <c r="H1245" s="218"/>
      <c r="I1245" s="218"/>
      <c r="J1245" s="218"/>
      <c r="K1245" s="218"/>
      <c r="L1245" s="218"/>
      <c r="M1245" s="218"/>
      <c r="N1245" s="218"/>
    </row>
    <row r="1246" spans="1:14" s="96" customFormat="1" ht="13.2" x14ac:dyDescent="0.25">
      <c r="A1246" s="201" t="s">
        <v>624</v>
      </c>
      <c r="B1246" s="216" t="s">
        <v>3102</v>
      </c>
      <c r="C1246" s="217"/>
      <c r="D1246" s="120"/>
      <c r="E1246" s="45"/>
      <c r="F1246" s="127"/>
      <c r="G1246" s="151"/>
      <c r="H1246" s="17"/>
      <c r="I1246" s="17"/>
      <c r="J1246" s="17"/>
      <c r="K1246" s="17"/>
      <c r="L1246" s="17"/>
      <c r="M1246" s="17"/>
      <c r="N1246" s="17"/>
    </row>
    <row r="1247" spans="1:14" s="96" customFormat="1" ht="13.8" x14ac:dyDescent="0.25">
      <c r="A1247" s="201" t="s">
        <v>3103</v>
      </c>
      <c r="B1247" s="216" t="s">
        <v>3104</v>
      </c>
      <c r="C1247" s="217" t="s">
        <v>1034</v>
      </c>
      <c r="D1247" s="120"/>
      <c r="E1247" s="45">
        <f t="shared" ref="E1247:E1307" si="72">G1247</f>
        <v>0</v>
      </c>
      <c r="F1247" s="127">
        <f t="shared" si="71"/>
        <v>0</v>
      </c>
      <c r="G1247" s="151">
        <f>'Etude de cas n°1'!D1247</f>
        <v>0</v>
      </c>
      <c r="H1247" s="17"/>
      <c r="I1247" s="17"/>
      <c r="J1247" s="17"/>
      <c r="K1247" s="17"/>
      <c r="L1247" s="17"/>
      <c r="M1247" s="17"/>
      <c r="N1247" s="17"/>
    </row>
    <row r="1248" spans="1:14" s="96" customFormat="1" ht="13.8" x14ac:dyDescent="0.25">
      <c r="A1248" s="201" t="s">
        <v>3105</v>
      </c>
      <c r="B1248" s="216" t="s">
        <v>3106</v>
      </c>
      <c r="C1248" s="217" t="s">
        <v>1034</v>
      </c>
      <c r="D1248" s="120"/>
      <c r="E1248" s="45">
        <f t="shared" si="72"/>
        <v>0</v>
      </c>
      <c r="F1248" s="127">
        <f t="shared" si="71"/>
        <v>0</v>
      </c>
      <c r="G1248" s="151">
        <f>'Etude de cas n°1'!D1248</f>
        <v>0</v>
      </c>
      <c r="H1248" s="17"/>
      <c r="I1248" s="17"/>
      <c r="J1248" s="17"/>
      <c r="K1248" s="17"/>
      <c r="L1248" s="17"/>
      <c r="M1248" s="17"/>
      <c r="N1248" s="17"/>
    </row>
    <row r="1249" spans="1:14" s="96" customFormat="1" ht="13.2" x14ac:dyDescent="0.25">
      <c r="A1249" s="201" t="s">
        <v>625</v>
      </c>
      <c r="B1249" s="216" t="s">
        <v>3107</v>
      </c>
      <c r="C1249" s="217"/>
      <c r="D1249" s="120"/>
      <c r="E1249" s="45"/>
      <c r="F1249" s="127"/>
      <c r="G1249" s="151"/>
      <c r="H1249" s="17"/>
      <c r="I1249" s="17"/>
      <c r="J1249" s="17"/>
      <c r="K1249" s="17"/>
      <c r="L1249" s="17"/>
      <c r="M1249" s="17"/>
      <c r="N1249" s="17"/>
    </row>
    <row r="1250" spans="1:14" s="96" customFormat="1" ht="15.6" x14ac:dyDescent="0.25">
      <c r="A1250" s="201" t="s">
        <v>3108</v>
      </c>
      <c r="B1250" s="216" t="s">
        <v>3109</v>
      </c>
      <c r="C1250" s="217" t="s">
        <v>1011</v>
      </c>
      <c r="D1250" s="120"/>
      <c r="E1250" s="45">
        <f t="shared" si="72"/>
        <v>0</v>
      </c>
      <c r="F1250" s="127">
        <f t="shared" si="71"/>
        <v>0</v>
      </c>
      <c r="G1250" s="151">
        <f>'Etude de cas n°1'!D1250</f>
        <v>0</v>
      </c>
      <c r="H1250" s="17"/>
      <c r="I1250" s="17"/>
      <c r="J1250" s="17"/>
      <c r="K1250" s="17"/>
      <c r="L1250" s="17"/>
      <c r="M1250" s="17"/>
      <c r="N1250" s="17"/>
    </row>
    <row r="1251" spans="1:14" s="96" customFormat="1" ht="15.75" customHeight="1" x14ac:dyDescent="0.25">
      <c r="A1251" s="201" t="s">
        <v>3110</v>
      </c>
      <c r="B1251" s="216" t="s">
        <v>3111</v>
      </c>
      <c r="C1251" s="217" t="s">
        <v>1011</v>
      </c>
      <c r="D1251" s="120"/>
      <c r="E1251" s="45">
        <f t="shared" si="72"/>
        <v>0</v>
      </c>
      <c r="F1251" s="127">
        <f t="shared" si="71"/>
        <v>0</v>
      </c>
      <c r="G1251" s="151">
        <f>'Etude de cas n°1'!D1251</f>
        <v>0</v>
      </c>
      <c r="H1251" s="17"/>
      <c r="I1251" s="17"/>
      <c r="J1251" s="17"/>
      <c r="K1251" s="17"/>
      <c r="L1251" s="17"/>
      <c r="M1251" s="17"/>
      <c r="N1251" s="17"/>
    </row>
    <row r="1252" spans="1:14" s="96" customFormat="1" ht="15.6" x14ac:dyDescent="0.25">
      <c r="A1252" s="201" t="s">
        <v>3112</v>
      </c>
      <c r="B1252" s="216" t="s">
        <v>3113</v>
      </c>
      <c r="C1252" s="217" t="s">
        <v>1011</v>
      </c>
      <c r="D1252" s="120"/>
      <c r="E1252" s="45">
        <f t="shared" si="72"/>
        <v>0</v>
      </c>
      <c r="F1252" s="127">
        <f t="shared" si="71"/>
        <v>0</v>
      </c>
      <c r="G1252" s="151">
        <f>'Etude de cas n°1'!D1252</f>
        <v>0</v>
      </c>
      <c r="H1252" s="17"/>
      <c r="I1252" s="17"/>
      <c r="J1252" s="17"/>
      <c r="K1252" s="17"/>
      <c r="L1252" s="17"/>
      <c r="M1252" s="17"/>
      <c r="N1252" s="17"/>
    </row>
    <row r="1253" spans="1:14" s="96" customFormat="1" ht="13.2" x14ac:dyDescent="0.25">
      <c r="A1253" s="201" t="s">
        <v>626</v>
      </c>
      <c r="B1253" s="216" t="s">
        <v>3114</v>
      </c>
      <c r="C1253" s="217"/>
      <c r="D1253" s="120"/>
      <c r="E1253" s="45"/>
      <c r="F1253" s="127"/>
      <c r="G1253" s="151"/>
      <c r="H1253" s="17"/>
      <c r="I1253" s="17"/>
      <c r="J1253" s="17"/>
      <c r="K1253" s="17"/>
      <c r="L1253" s="17"/>
      <c r="M1253" s="17"/>
      <c r="N1253" s="17"/>
    </row>
    <row r="1254" spans="1:14" s="96" customFormat="1" ht="13.2" x14ac:dyDescent="0.25">
      <c r="A1254" s="201" t="s">
        <v>3115</v>
      </c>
      <c r="B1254" s="216" t="s">
        <v>3116</v>
      </c>
      <c r="C1254" s="217" t="s">
        <v>1034</v>
      </c>
      <c r="D1254" s="120"/>
      <c r="E1254" s="45">
        <f t="shared" si="72"/>
        <v>0</v>
      </c>
      <c r="F1254" s="127">
        <f t="shared" si="71"/>
        <v>0</v>
      </c>
      <c r="G1254" s="151">
        <f>'Etude de cas n°1'!D1254</f>
        <v>0</v>
      </c>
      <c r="H1254" s="17"/>
      <c r="I1254" s="17"/>
      <c r="J1254" s="17"/>
      <c r="K1254" s="17"/>
      <c r="L1254" s="17"/>
      <c r="M1254" s="17"/>
      <c r="N1254" s="17"/>
    </row>
    <row r="1255" spans="1:14" s="97" customFormat="1" ht="13.2" x14ac:dyDescent="0.25">
      <c r="A1255" s="201" t="s">
        <v>3117</v>
      </c>
      <c r="B1255" s="216" t="s">
        <v>3118</v>
      </c>
      <c r="C1255" s="217" t="s">
        <v>1034</v>
      </c>
      <c r="D1255" s="120"/>
      <c r="E1255" s="45">
        <f t="shared" si="72"/>
        <v>0</v>
      </c>
      <c r="F1255" s="127">
        <f t="shared" si="71"/>
        <v>0</v>
      </c>
      <c r="G1255" s="151">
        <f>'Etude de cas n°1'!D1255</f>
        <v>0</v>
      </c>
      <c r="H1255" s="218"/>
      <c r="I1255" s="218"/>
      <c r="J1255" s="218"/>
      <c r="K1255" s="218"/>
      <c r="L1255" s="218"/>
      <c r="M1255" s="218"/>
      <c r="N1255" s="218"/>
    </row>
    <row r="1256" spans="1:14" s="97" customFormat="1" ht="13.2" x14ac:dyDescent="0.25">
      <c r="A1256" s="201" t="s">
        <v>627</v>
      </c>
      <c r="B1256" s="216" t="s">
        <v>3119</v>
      </c>
      <c r="C1256" s="217" t="s">
        <v>1034</v>
      </c>
      <c r="D1256" s="120"/>
      <c r="E1256" s="45">
        <f t="shared" si="72"/>
        <v>0</v>
      </c>
      <c r="F1256" s="127">
        <f t="shared" si="71"/>
        <v>0</v>
      </c>
      <c r="G1256" s="151">
        <f>'Etude de cas n°1'!D1256</f>
        <v>0</v>
      </c>
      <c r="H1256" s="218"/>
      <c r="I1256" s="218"/>
      <c r="J1256" s="218"/>
      <c r="K1256" s="218"/>
      <c r="L1256" s="218"/>
      <c r="M1256" s="218"/>
      <c r="N1256" s="218"/>
    </row>
    <row r="1257" spans="1:14" s="97" customFormat="1" ht="13.2" x14ac:dyDescent="0.25">
      <c r="A1257" s="27" t="s">
        <v>3120</v>
      </c>
      <c r="B1257" s="3" t="s">
        <v>3121</v>
      </c>
      <c r="C1257" s="217"/>
      <c r="D1257" s="120"/>
      <c r="E1257" s="45"/>
      <c r="F1257" s="127"/>
      <c r="G1257" s="151"/>
      <c r="H1257" s="218"/>
      <c r="I1257" s="218"/>
      <c r="J1257" s="218"/>
      <c r="K1257" s="218"/>
      <c r="L1257" s="218"/>
      <c r="M1257" s="218"/>
      <c r="N1257" s="218"/>
    </row>
    <row r="1258" spans="1:14" s="94" customFormat="1" ht="13.2" x14ac:dyDescent="0.25">
      <c r="A1258" s="201" t="s">
        <v>629</v>
      </c>
      <c r="B1258" s="192" t="s">
        <v>3122</v>
      </c>
      <c r="C1258" s="217" t="s">
        <v>1120</v>
      </c>
      <c r="D1258" s="120"/>
      <c r="E1258" s="45">
        <f t="shared" si="72"/>
        <v>0</v>
      </c>
      <c r="F1258" s="127">
        <f t="shared" si="71"/>
        <v>0</v>
      </c>
      <c r="G1258" s="151">
        <f>'Etude de cas n°1'!D1258</f>
        <v>0</v>
      </c>
      <c r="H1258" s="19"/>
      <c r="I1258" s="19"/>
      <c r="J1258" s="19"/>
      <c r="K1258" s="19"/>
      <c r="L1258" s="19"/>
      <c r="M1258" s="19"/>
      <c r="N1258" s="19"/>
    </row>
    <row r="1259" spans="1:14" s="94" customFormat="1" ht="13.2" x14ac:dyDescent="0.25">
      <c r="A1259" s="201" t="s">
        <v>630</v>
      </c>
      <c r="B1259" s="192" t="s">
        <v>3123</v>
      </c>
      <c r="C1259" s="217" t="s">
        <v>1120</v>
      </c>
      <c r="D1259" s="120"/>
      <c r="E1259" s="45">
        <f t="shared" si="72"/>
        <v>0</v>
      </c>
      <c r="F1259" s="127">
        <f t="shared" si="71"/>
        <v>0</v>
      </c>
      <c r="G1259" s="151">
        <f>'Etude de cas n°1'!D1259</f>
        <v>0</v>
      </c>
      <c r="H1259" s="19"/>
      <c r="I1259" s="19"/>
      <c r="J1259" s="19"/>
      <c r="K1259" s="19"/>
      <c r="L1259" s="19"/>
      <c r="M1259" s="19"/>
      <c r="N1259" s="19"/>
    </row>
    <row r="1260" spans="1:14" s="100" customFormat="1" ht="13.2" x14ac:dyDescent="0.25">
      <c r="A1260" s="201" t="s">
        <v>631</v>
      </c>
      <c r="B1260" s="192" t="s">
        <v>3124</v>
      </c>
      <c r="C1260" s="217" t="s">
        <v>3125</v>
      </c>
      <c r="D1260" s="120"/>
      <c r="E1260" s="45">
        <f t="shared" si="72"/>
        <v>0</v>
      </c>
      <c r="F1260" s="127">
        <f t="shared" si="71"/>
        <v>0</v>
      </c>
      <c r="G1260" s="151">
        <f>'Etude de cas n°1'!D1260</f>
        <v>0</v>
      </c>
      <c r="H1260" s="176"/>
      <c r="I1260" s="176"/>
      <c r="J1260" s="176"/>
      <c r="K1260" s="176"/>
      <c r="L1260" s="176"/>
      <c r="M1260" s="176"/>
      <c r="N1260" s="176"/>
    </row>
    <row r="1261" spans="1:14" s="100" customFormat="1" ht="13.2" x14ac:dyDescent="0.25">
      <c r="A1261" s="27" t="s">
        <v>3126</v>
      </c>
      <c r="B1261" s="3" t="s">
        <v>3127</v>
      </c>
      <c r="C1261" s="217"/>
      <c r="D1261" s="120"/>
      <c r="E1261" s="45"/>
      <c r="F1261" s="127"/>
      <c r="G1261" s="151"/>
      <c r="H1261" s="176"/>
      <c r="I1261" s="176"/>
      <c r="J1261" s="176"/>
      <c r="K1261" s="176"/>
      <c r="L1261" s="176"/>
      <c r="M1261" s="176"/>
      <c r="N1261" s="176"/>
    </row>
    <row r="1262" spans="1:14" s="100" customFormat="1" ht="13.2" x14ac:dyDescent="0.25">
      <c r="A1262" s="201" t="s">
        <v>635</v>
      </c>
      <c r="B1262" s="192" t="s">
        <v>3128</v>
      </c>
      <c r="C1262" s="217"/>
      <c r="D1262" s="120"/>
      <c r="E1262" s="45"/>
      <c r="F1262" s="127"/>
      <c r="G1262" s="151"/>
      <c r="H1262" s="176"/>
      <c r="I1262" s="176"/>
      <c r="J1262" s="176"/>
      <c r="K1262" s="176"/>
      <c r="L1262" s="176"/>
      <c r="M1262" s="176"/>
      <c r="N1262" s="176"/>
    </row>
    <row r="1263" spans="1:14" s="100" customFormat="1" ht="13.2" x14ac:dyDescent="0.25">
      <c r="A1263" s="201" t="s">
        <v>3129</v>
      </c>
      <c r="B1263" s="192" t="s">
        <v>3130</v>
      </c>
      <c r="C1263" s="217"/>
      <c r="D1263" s="120"/>
      <c r="E1263" s="45"/>
      <c r="F1263" s="127"/>
      <c r="G1263" s="151"/>
      <c r="H1263" s="176"/>
      <c r="I1263" s="176"/>
      <c r="J1263" s="176"/>
      <c r="K1263" s="176"/>
      <c r="L1263" s="176"/>
      <c r="M1263" s="176"/>
      <c r="N1263" s="176"/>
    </row>
    <row r="1264" spans="1:14" s="97" customFormat="1" ht="13.2" x14ac:dyDescent="0.25">
      <c r="A1264" s="201" t="s">
        <v>3131</v>
      </c>
      <c r="B1264" s="192" t="s">
        <v>3132</v>
      </c>
      <c r="C1264" s="217" t="s">
        <v>984</v>
      </c>
      <c r="D1264" s="120"/>
      <c r="E1264" s="45">
        <f t="shared" si="72"/>
        <v>0</v>
      </c>
      <c r="F1264" s="127">
        <f t="shared" si="71"/>
        <v>0</v>
      </c>
      <c r="G1264" s="151">
        <f>'Etude de cas n°1'!D1264</f>
        <v>0</v>
      </c>
      <c r="H1264" s="218"/>
      <c r="I1264" s="218"/>
      <c r="J1264" s="218"/>
      <c r="K1264" s="218"/>
      <c r="L1264" s="218"/>
      <c r="M1264" s="218"/>
      <c r="N1264" s="218"/>
    </row>
    <row r="1265" spans="1:14" s="97" customFormat="1" ht="13.2" x14ac:dyDescent="0.25">
      <c r="A1265" s="201" t="s">
        <v>3133</v>
      </c>
      <c r="B1265" s="192" t="s">
        <v>3134</v>
      </c>
      <c r="C1265" s="217" t="s">
        <v>984</v>
      </c>
      <c r="D1265" s="120"/>
      <c r="E1265" s="45">
        <f t="shared" si="72"/>
        <v>0</v>
      </c>
      <c r="F1265" s="127">
        <f t="shared" si="71"/>
        <v>0</v>
      </c>
      <c r="G1265" s="151">
        <f>'Etude de cas n°1'!D1265</f>
        <v>0</v>
      </c>
      <c r="H1265" s="218"/>
      <c r="I1265" s="218"/>
      <c r="J1265" s="218"/>
      <c r="K1265" s="218"/>
      <c r="L1265" s="218"/>
      <c r="M1265" s="218"/>
      <c r="N1265" s="218"/>
    </row>
    <row r="1266" spans="1:14" s="97" customFormat="1" ht="13.2" x14ac:dyDescent="0.25">
      <c r="A1266" s="201" t="s">
        <v>3135</v>
      </c>
      <c r="B1266" s="192" t="s">
        <v>3136</v>
      </c>
      <c r="C1266" s="217"/>
      <c r="D1266" s="120"/>
      <c r="E1266" s="45"/>
      <c r="F1266" s="127"/>
      <c r="G1266" s="151"/>
      <c r="H1266" s="218"/>
      <c r="I1266" s="218"/>
      <c r="J1266" s="218"/>
      <c r="K1266" s="218"/>
      <c r="L1266" s="218"/>
      <c r="M1266" s="218"/>
      <c r="N1266" s="218"/>
    </row>
    <row r="1267" spans="1:14" s="97" customFormat="1" ht="13.2" x14ac:dyDescent="0.25">
      <c r="A1267" s="201" t="s">
        <v>3137</v>
      </c>
      <c r="B1267" s="192" t="s">
        <v>3138</v>
      </c>
      <c r="C1267" s="217" t="s">
        <v>1034</v>
      </c>
      <c r="D1267" s="120"/>
      <c r="E1267" s="45">
        <f t="shared" si="72"/>
        <v>0</v>
      </c>
      <c r="F1267" s="127">
        <f t="shared" si="71"/>
        <v>0</v>
      </c>
      <c r="G1267" s="151">
        <f>'Etude de cas n°1'!D1267</f>
        <v>0</v>
      </c>
      <c r="H1267" s="218"/>
      <c r="I1267" s="218"/>
      <c r="J1267" s="218"/>
      <c r="K1267" s="218"/>
      <c r="L1267" s="218"/>
      <c r="M1267" s="218"/>
      <c r="N1267" s="218"/>
    </row>
    <row r="1268" spans="1:14" s="94" customFormat="1" ht="13.2" x14ac:dyDescent="0.25">
      <c r="A1268" s="201" t="s">
        <v>3139</v>
      </c>
      <c r="B1268" s="192" t="s">
        <v>3140</v>
      </c>
      <c r="C1268" s="217" t="s">
        <v>1034</v>
      </c>
      <c r="D1268" s="120"/>
      <c r="E1268" s="45">
        <f t="shared" si="72"/>
        <v>0</v>
      </c>
      <c r="F1268" s="127">
        <f t="shared" si="71"/>
        <v>0</v>
      </c>
      <c r="G1268" s="151">
        <f>'Etude de cas n°1'!D1268</f>
        <v>0</v>
      </c>
      <c r="H1268" s="19"/>
      <c r="I1268" s="19"/>
      <c r="J1268" s="19"/>
      <c r="K1268" s="19"/>
      <c r="L1268" s="19"/>
      <c r="M1268" s="19"/>
      <c r="N1268" s="19"/>
    </row>
    <row r="1269" spans="1:14" s="94" customFormat="1" ht="13.2" x14ac:dyDescent="0.25">
      <c r="A1269" s="201" t="s">
        <v>3141</v>
      </c>
      <c r="B1269" s="192" t="s">
        <v>3142</v>
      </c>
      <c r="C1269" s="217" t="s">
        <v>1034</v>
      </c>
      <c r="D1269" s="120"/>
      <c r="E1269" s="45">
        <f t="shared" si="72"/>
        <v>0</v>
      </c>
      <c r="F1269" s="127">
        <f t="shared" si="71"/>
        <v>0</v>
      </c>
      <c r="G1269" s="151">
        <f>'Etude de cas n°1'!D1269</f>
        <v>0</v>
      </c>
      <c r="H1269" s="19"/>
      <c r="I1269" s="19"/>
      <c r="J1269" s="19"/>
      <c r="K1269" s="19"/>
      <c r="L1269" s="19"/>
      <c r="M1269" s="19"/>
      <c r="N1269" s="19"/>
    </row>
    <row r="1270" spans="1:14" s="104" customFormat="1" ht="26.4" x14ac:dyDescent="0.25">
      <c r="A1270" s="201" t="s">
        <v>3143</v>
      </c>
      <c r="B1270" s="192" t="s">
        <v>3144</v>
      </c>
      <c r="C1270" s="217"/>
      <c r="D1270" s="120"/>
      <c r="E1270" s="45"/>
      <c r="F1270" s="127"/>
      <c r="G1270" s="151"/>
      <c r="H1270" s="181"/>
      <c r="I1270" s="181"/>
      <c r="J1270" s="181"/>
      <c r="K1270" s="181"/>
      <c r="L1270" s="181"/>
      <c r="M1270" s="181"/>
      <c r="N1270" s="181"/>
    </row>
    <row r="1271" spans="1:14" s="104" customFormat="1" ht="13.2" x14ac:dyDescent="0.25">
      <c r="A1271" s="201" t="s">
        <v>3145</v>
      </c>
      <c r="B1271" s="192" t="s">
        <v>3146</v>
      </c>
      <c r="C1271" s="217" t="s">
        <v>1011</v>
      </c>
      <c r="D1271" s="120"/>
      <c r="E1271" s="45">
        <f t="shared" si="72"/>
        <v>200</v>
      </c>
      <c r="F1271" s="127">
        <f t="shared" si="71"/>
        <v>0</v>
      </c>
      <c r="G1271" s="151">
        <f>'Etude de cas n°1'!D1271</f>
        <v>200</v>
      </c>
      <c r="H1271" s="181"/>
      <c r="I1271" s="181"/>
      <c r="J1271" s="181"/>
      <c r="K1271" s="181"/>
      <c r="L1271" s="181"/>
      <c r="M1271" s="181"/>
      <c r="N1271" s="181"/>
    </row>
    <row r="1272" spans="1:14" s="104" customFormat="1" ht="13.2" x14ac:dyDescent="0.25">
      <c r="A1272" s="201" t="s">
        <v>3147</v>
      </c>
      <c r="B1272" s="192" t="s">
        <v>3148</v>
      </c>
      <c r="C1272" s="217" t="s">
        <v>1011</v>
      </c>
      <c r="D1272" s="120"/>
      <c r="E1272" s="45">
        <f t="shared" si="72"/>
        <v>0</v>
      </c>
      <c r="F1272" s="127">
        <f t="shared" si="71"/>
        <v>0</v>
      </c>
      <c r="G1272" s="151">
        <f>'Etude de cas n°1'!D1272</f>
        <v>0</v>
      </c>
      <c r="H1272" s="181"/>
      <c r="I1272" s="181"/>
      <c r="J1272" s="181"/>
      <c r="K1272" s="181"/>
      <c r="L1272" s="181"/>
      <c r="M1272" s="181"/>
      <c r="N1272" s="181"/>
    </row>
    <row r="1273" spans="1:14" s="97" customFormat="1" ht="13.2" x14ac:dyDescent="0.25">
      <c r="A1273" s="201" t="s">
        <v>3149</v>
      </c>
      <c r="B1273" s="192" t="s">
        <v>3150</v>
      </c>
      <c r="C1273" s="217"/>
      <c r="D1273" s="120"/>
      <c r="E1273" s="45"/>
      <c r="F1273" s="127"/>
      <c r="G1273" s="151"/>
      <c r="H1273" s="218"/>
      <c r="I1273" s="218"/>
      <c r="J1273" s="218"/>
      <c r="K1273" s="218"/>
      <c r="L1273" s="218"/>
      <c r="M1273" s="218"/>
      <c r="N1273" s="218"/>
    </row>
    <row r="1274" spans="1:14" s="97" customFormat="1" ht="13.2" x14ac:dyDescent="0.25">
      <c r="A1274" s="201" t="s">
        <v>3151</v>
      </c>
      <c r="B1274" s="192" t="s">
        <v>3152</v>
      </c>
      <c r="C1274" s="217" t="s">
        <v>1011</v>
      </c>
      <c r="D1274" s="120"/>
      <c r="E1274" s="45">
        <f t="shared" si="72"/>
        <v>0</v>
      </c>
      <c r="F1274" s="127">
        <f t="shared" si="71"/>
        <v>0</v>
      </c>
      <c r="G1274" s="151">
        <f>'Etude de cas n°1'!D1274</f>
        <v>0</v>
      </c>
      <c r="H1274" s="218"/>
      <c r="I1274" s="218"/>
      <c r="J1274" s="218"/>
      <c r="K1274" s="218"/>
      <c r="L1274" s="218"/>
      <c r="M1274" s="218"/>
      <c r="N1274" s="218"/>
    </row>
    <row r="1275" spans="1:14" s="97" customFormat="1" ht="13.2" x14ac:dyDescent="0.25">
      <c r="A1275" s="201" t="s">
        <v>3153</v>
      </c>
      <c r="B1275" s="192" t="s">
        <v>3154</v>
      </c>
      <c r="C1275" s="217" t="s">
        <v>1011</v>
      </c>
      <c r="D1275" s="120"/>
      <c r="E1275" s="45">
        <f t="shared" si="72"/>
        <v>0</v>
      </c>
      <c r="F1275" s="127">
        <f t="shared" si="71"/>
        <v>0</v>
      </c>
      <c r="G1275" s="151">
        <f>'Etude de cas n°1'!D1275</f>
        <v>0</v>
      </c>
      <c r="H1275" s="218"/>
      <c r="I1275" s="218"/>
      <c r="J1275" s="218"/>
      <c r="K1275" s="218"/>
      <c r="L1275" s="218"/>
      <c r="M1275" s="218"/>
      <c r="N1275" s="218"/>
    </row>
    <row r="1276" spans="1:14" s="94" customFormat="1" ht="13.2" x14ac:dyDescent="0.25">
      <c r="A1276" s="201" t="s">
        <v>3155</v>
      </c>
      <c r="B1276" s="192" t="s">
        <v>3156</v>
      </c>
      <c r="C1276" s="217" t="s">
        <v>1011</v>
      </c>
      <c r="D1276" s="120"/>
      <c r="E1276" s="45">
        <f t="shared" si="72"/>
        <v>0</v>
      </c>
      <c r="F1276" s="127">
        <f t="shared" si="71"/>
        <v>0</v>
      </c>
      <c r="G1276" s="151">
        <f>'Etude de cas n°1'!D1276</f>
        <v>0</v>
      </c>
      <c r="H1276" s="19"/>
      <c r="I1276" s="19"/>
      <c r="J1276" s="19"/>
      <c r="K1276" s="19"/>
      <c r="L1276" s="19"/>
      <c r="M1276" s="19"/>
      <c r="N1276" s="19"/>
    </row>
    <row r="1277" spans="1:14" s="94" customFormat="1" ht="13.2" x14ac:dyDescent="0.25">
      <c r="A1277" s="201" t="s">
        <v>3157</v>
      </c>
      <c r="B1277" s="192" t="s">
        <v>3158</v>
      </c>
      <c r="C1277" s="217" t="s">
        <v>1011</v>
      </c>
      <c r="D1277" s="120"/>
      <c r="E1277" s="45">
        <f t="shared" si="72"/>
        <v>24</v>
      </c>
      <c r="F1277" s="127">
        <f t="shared" si="71"/>
        <v>0</v>
      </c>
      <c r="G1277" s="151">
        <f>'Etude de cas n°1'!D1277</f>
        <v>24</v>
      </c>
      <c r="H1277" s="19"/>
      <c r="I1277" s="19"/>
      <c r="J1277" s="19"/>
      <c r="K1277" s="19"/>
      <c r="L1277" s="19"/>
      <c r="M1277" s="19"/>
      <c r="N1277" s="19"/>
    </row>
    <row r="1278" spans="1:14" s="94" customFormat="1" ht="13.2" x14ac:dyDescent="0.25">
      <c r="A1278" s="201" t="s">
        <v>3159</v>
      </c>
      <c r="B1278" s="192" t="s">
        <v>3160</v>
      </c>
      <c r="C1278" s="217" t="s">
        <v>1011</v>
      </c>
      <c r="D1278" s="120"/>
      <c r="E1278" s="45">
        <f t="shared" si="72"/>
        <v>120</v>
      </c>
      <c r="F1278" s="127">
        <f t="shared" si="71"/>
        <v>0</v>
      </c>
      <c r="G1278" s="151">
        <f>'Etude de cas n°1'!D1278</f>
        <v>120</v>
      </c>
      <c r="H1278" s="19"/>
      <c r="I1278" s="19"/>
      <c r="J1278" s="19"/>
      <c r="K1278" s="19"/>
      <c r="L1278" s="19"/>
      <c r="M1278" s="19"/>
      <c r="N1278" s="19"/>
    </row>
    <row r="1279" spans="1:14" s="94" customFormat="1" ht="13.2" x14ac:dyDescent="0.25">
      <c r="A1279" s="201" t="s">
        <v>3161</v>
      </c>
      <c r="B1279" s="192" t="s">
        <v>3162</v>
      </c>
      <c r="C1279" s="217" t="s">
        <v>1011</v>
      </c>
      <c r="D1279" s="120"/>
      <c r="E1279" s="45">
        <f t="shared" si="72"/>
        <v>0</v>
      </c>
      <c r="F1279" s="127">
        <f t="shared" si="71"/>
        <v>0</v>
      </c>
      <c r="G1279" s="151">
        <f>'Etude de cas n°1'!D1279</f>
        <v>0</v>
      </c>
      <c r="H1279" s="19"/>
      <c r="I1279" s="19"/>
      <c r="J1279" s="19"/>
      <c r="K1279" s="19"/>
      <c r="L1279" s="19"/>
      <c r="M1279" s="19"/>
      <c r="N1279" s="19"/>
    </row>
    <row r="1280" spans="1:14" s="104" customFormat="1" ht="13.2" x14ac:dyDescent="0.25">
      <c r="A1280" s="201" t="s">
        <v>3163</v>
      </c>
      <c r="B1280" s="192" t="s">
        <v>3164</v>
      </c>
      <c r="C1280" s="217"/>
      <c r="D1280" s="120"/>
      <c r="E1280" s="45"/>
      <c r="F1280" s="127"/>
      <c r="G1280" s="151"/>
      <c r="H1280" s="181"/>
      <c r="I1280" s="181"/>
      <c r="J1280" s="181"/>
      <c r="K1280" s="181"/>
      <c r="L1280" s="181"/>
      <c r="M1280" s="181"/>
      <c r="N1280" s="181"/>
    </row>
    <row r="1281" spans="1:14" s="104" customFormat="1" ht="13.2" x14ac:dyDescent="0.25">
      <c r="A1281" s="201" t="s">
        <v>636</v>
      </c>
      <c r="B1281" s="192" t="s">
        <v>3165</v>
      </c>
      <c r="C1281" s="217" t="s">
        <v>984</v>
      </c>
      <c r="D1281" s="120"/>
      <c r="E1281" s="45">
        <f t="shared" si="72"/>
        <v>1</v>
      </c>
      <c r="F1281" s="127">
        <f t="shared" si="71"/>
        <v>0</v>
      </c>
      <c r="G1281" s="151">
        <f>'Etude de cas n°1'!D1281</f>
        <v>1</v>
      </c>
      <c r="H1281" s="181"/>
      <c r="I1281" s="181"/>
      <c r="J1281" s="181"/>
      <c r="K1281" s="181"/>
      <c r="L1281" s="181"/>
      <c r="M1281" s="181"/>
      <c r="N1281" s="181"/>
    </row>
    <row r="1282" spans="1:14" s="104" customFormat="1" ht="13.2" x14ac:dyDescent="0.25">
      <c r="A1282" s="201" t="s">
        <v>637</v>
      </c>
      <c r="B1282" s="192" t="s">
        <v>3166</v>
      </c>
      <c r="C1282" s="217" t="s">
        <v>1011</v>
      </c>
      <c r="D1282" s="120"/>
      <c r="E1282" s="45">
        <f t="shared" si="72"/>
        <v>0</v>
      </c>
      <c r="F1282" s="127">
        <f t="shared" si="71"/>
        <v>0</v>
      </c>
      <c r="G1282" s="151">
        <f>'Etude de cas n°1'!D1282</f>
        <v>0</v>
      </c>
      <c r="H1282" s="181"/>
      <c r="I1282" s="181"/>
      <c r="J1282" s="181"/>
      <c r="K1282" s="181"/>
      <c r="L1282" s="181"/>
      <c r="M1282" s="181"/>
      <c r="N1282" s="181"/>
    </row>
    <row r="1283" spans="1:14" s="104" customFormat="1" ht="13.2" x14ac:dyDescent="0.25">
      <c r="A1283" s="201" t="s">
        <v>638</v>
      </c>
      <c r="B1283" s="192" t="s">
        <v>3167</v>
      </c>
      <c r="C1283" s="217" t="s">
        <v>3168</v>
      </c>
      <c r="D1283" s="120"/>
      <c r="E1283" s="45">
        <f t="shared" si="72"/>
        <v>1</v>
      </c>
      <c r="F1283" s="127">
        <f t="shared" si="71"/>
        <v>0</v>
      </c>
      <c r="G1283" s="151">
        <f>'Etude de cas n°1'!D1283</f>
        <v>1</v>
      </c>
      <c r="H1283" s="181"/>
      <c r="I1283" s="181"/>
      <c r="J1283" s="181"/>
      <c r="K1283" s="181"/>
      <c r="L1283" s="181"/>
      <c r="M1283" s="181"/>
      <c r="N1283" s="181"/>
    </row>
    <row r="1284" spans="1:14" s="94" customFormat="1" ht="13.2" x14ac:dyDescent="0.25">
      <c r="A1284" s="201" t="s">
        <v>639</v>
      </c>
      <c r="B1284" s="192" t="s">
        <v>3169</v>
      </c>
      <c r="C1284" s="217" t="s">
        <v>3168</v>
      </c>
      <c r="D1284" s="120"/>
      <c r="E1284" s="45">
        <f t="shared" si="72"/>
        <v>0</v>
      </c>
      <c r="F1284" s="127">
        <f t="shared" si="71"/>
        <v>0</v>
      </c>
      <c r="G1284" s="151">
        <f>'Etude de cas n°1'!D1284</f>
        <v>0</v>
      </c>
      <c r="H1284" s="19"/>
      <c r="I1284" s="19"/>
      <c r="J1284" s="19"/>
      <c r="K1284" s="19"/>
      <c r="L1284" s="19"/>
      <c r="M1284" s="19"/>
      <c r="N1284" s="19"/>
    </row>
    <row r="1285" spans="1:14" s="94" customFormat="1" ht="13.2" x14ac:dyDescent="0.25">
      <c r="A1285" s="201" t="s">
        <v>640</v>
      </c>
      <c r="B1285" s="192" t="s">
        <v>3170</v>
      </c>
      <c r="C1285" s="217" t="s">
        <v>1034</v>
      </c>
      <c r="D1285" s="120"/>
      <c r="E1285" s="45">
        <f t="shared" si="72"/>
        <v>240</v>
      </c>
      <c r="F1285" s="127">
        <f t="shared" si="71"/>
        <v>0</v>
      </c>
      <c r="G1285" s="151">
        <f>'Etude de cas n°1'!D1285</f>
        <v>240</v>
      </c>
      <c r="H1285" s="19"/>
      <c r="I1285" s="19"/>
      <c r="J1285" s="19"/>
      <c r="K1285" s="19"/>
      <c r="L1285" s="19"/>
      <c r="M1285" s="19"/>
      <c r="N1285" s="19"/>
    </row>
    <row r="1286" spans="1:14" s="97" customFormat="1" ht="13.2" x14ac:dyDescent="0.25">
      <c r="A1286" s="201" t="s">
        <v>3171</v>
      </c>
      <c r="B1286" s="192" t="s">
        <v>3172</v>
      </c>
      <c r="C1286" s="217" t="s">
        <v>1011</v>
      </c>
      <c r="D1286" s="120"/>
      <c r="E1286" s="45">
        <f t="shared" si="72"/>
        <v>120</v>
      </c>
      <c r="F1286" s="127">
        <f t="shared" si="71"/>
        <v>0</v>
      </c>
      <c r="G1286" s="151">
        <f>'Etude de cas n°1'!D1286</f>
        <v>120</v>
      </c>
      <c r="H1286" s="218"/>
      <c r="I1286" s="218"/>
      <c r="J1286" s="218"/>
      <c r="K1286" s="218"/>
      <c r="L1286" s="218"/>
      <c r="M1286" s="218"/>
      <c r="N1286" s="218"/>
    </row>
    <row r="1287" spans="1:14" s="97" customFormat="1" ht="13.2" x14ac:dyDescent="0.25">
      <c r="A1287" s="201" t="s">
        <v>3173</v>
      </c>
      <c r="B1287" s="192" t="s">
        <v>3174</v>
      </c>
      <c r="C1287" s="217"/>
      <c r="D1287" s="120"/>
      <c r="E1287" s="45"/>
      <c r="F1287" s="127"/>
      <c r="G1287" s="151"/>
      <c r="H1287" s="218"/>
      <c r="I1287" s="218"/>
      <c r="J1287" s="218"/>
      <c r="K1287" s="218"/>
      <c r="L1287" s="218"/>
      <c r="M1287" s="218"/>
      <c r="N1287" s="218"/>
    </row>
    <row r="1288" spans="1:14" s="97" customFormat="1" ht="13.2" x14ac:dyDescent="0.25">
      <c r="A1288" s="201" t="s">
        <v>3175</v>
      </c>
      <c r="B1288" s="192" t="s">
        <v>3176</v>
      </c>
      <c r="C1288" s="217" t="s">
        <v>1232</v>
      </c>
      <c r="D1288" s="120"/>
      <c r="E1288" s="45">
        <f t="shared" si="72"/>
        <v>0</v>
      </c>
      <c r="F1288" s="127">
        <f t="shared" si="71"/>
        <v>0</v>
      </c>
      <c r="G1288" s="151">
        <f>'Etude de cas n°1'!D1288</f>
        <v>0</v>
      </c>
      <c r="H1288" s="218"/>
      <c r="I1288" s="218"/>
      <c r="J1288" s="218"/>
      <c r="K1288" s="218"/>
      <c r="L1288" s="218"/>
      <c r="M1288" s="218"/>
      <c r="N1288" s="218"/>
    </row>
    <row r="1289" spans="1:14" s="94" customFormat="1" ht="13.2" x14ac:dyDescent="0.25">
      <c r="A1289" s="201" t="s">
        <v>3177</v>
      </c>
      <c r="B1289" s="192" t="s">
        <v>3178</v>
      </c>
      <c r="C1289" s="217" t="s">
        <v>1232</v>
      </c>
      <c r="D1289" s="120"/>
      <c r="E1289" s="45">
        <f t="shared" si="72"/>
        <v>24</v>
      </c>
      <c r="F1289" s="127">
        <f t="shared" si="71"/>
        <v>0</v>
      </c>
      <c r="G1289" s="151">
        <f>'Etude de cas n°1'!D1289</f>
        <v>24</v>
      </c>
      <c r="H1289" s="19"/>
      <c r="I1289" s="19"/>
      <c r="J1289" s="19"/>
      <c r="K1289" s="19"/>
      <c r="L1289" s="19"/>
      <c r="M1289" s="19"/>
      <c r="N1289" s="19"/>
    </row>
    <row r="1290" spans="1:14" s="94" customFormat="1" ht="13.2" x14ac:dyDescent="0.25">
      <c r="A1290" s="201" t="s">
        <v>3179</v>
      </c>
      <c r="B1290" s="192" t="s">
        <v>3180</v>
      </c>
      <c r="C1290" s="217" t="s">
        <v>1232</v>
      </c>
      <c r="D1290" s="120"/>
      <c r="E1290" s="45">
        <f t="shared" si="72"/>
        <v>0</v>
      </c>
      <c r="F1290" s="127">
        <f t="shared" si="71"/>
        <v>0</v>
      </c>
      <c r="G1290" s="151">
        <f>'Etude de cas n°1'!D1290</f>
        <v>0</v>
      </c>
      <c r="H1290" s="19"/>
      <c r="I1290" s="19"/>
      <c r="J1290" s="19"/>
      <c r="K1290" s="19"/>
      <c r="L1290" s="19"/>
      <c r="M1290" s="19"/>
      <c r="N1290" s="19"/>
    </row>
    <row r="1291" spans="1:14" s="94" customFormat="1" ht="13.2" x14ac:dyDescent="0.25">
      <c r="A1291" s="201" t="s">
        <v>3181</v>
      </c>
      <c r="B1291" s="192" t="s">
        <v>3182</v>
      </c>
      <c r="C1291" s="217" t="s">
        <v>1232</v>
      </c>
      <c r="D1291" s="120"/>
      <c r="E1291" s="45">
        <f t="shared" si="72"/>
        <v>0</v>
      </c>
      <c r="F1291" s="127">
        <f t="shared" si="71"/>
        <v>0</v>
      </c>
      <c r="G1291" s="151">
        <f>'Etude de cas n°1'!D1291</f>
        <v>0</v>
      </c>
      <c r="H1291" s="19"/>
      <c r="I1291" s="19"/>
      <c r="J1291" s="19"/>
      <c r="K1291" s="19"/>
      <c r="L1291" s="19"/>
      <c r="M1291" s="19"/>
      <c r="N1291" s="19"/>
    </row>
    <row r="1292" spans="1:14" s="94" customFormat="1" ht="13.2" x14ac:dyDescent="0.25">
      <c r="A1292" s="201" t="s">
        <v>3183</v>
      </c>
      <c r="B1292" s="192" t="s">
        <v>3184</v>
      </c>
      <c r="C1292" s="217" t="s">
        <v>1232</v>
      </c>
      <c r="D1292" s="120"/>
      <c r="E1292" s="45">
        <f t="shared" si="72"/>
        <v>0</v>
      </c>
      <c r="F1292" s="127">
        <f t="shared" si="71"/>
        <v>0</v>
      </c>
      <c r="G1292" s="151">
        <f>'Etude de cas n°1'!D1292</f>
        <v>0</v>
      </c>
      <c r="H1292" s="19"/>
      <c r="I1292" s="19"/>
      <c r="J1292" s="19"/>
      <c r="K1292" s="19"/>
      <c r="L1292" s="19"/>
      <c r="M1292" s="19"/>
      <c r="N1292" s="19"/>
    </row>
    <row r="1293" spans="1:14" s="94" customFormat="1" ht="13.2" x14ac:dyDescent="0.25">
      <c r="A1293" s="201" t="s">
        <v>3185</v>
      </c>
      <c r="B1293" s="192" t="s">
        <v>3186</v>
      </c>
      <c r="C1293" s="217" t="s">
        <v>1232</v>
      </c>
      <c r="D1293" s="120"/>
      <c r="E1293" s="45">
        <f t="shared" si="72"/>
        <v>0</v>
      </c>
      <c r="F1293" s="127">
        <f t="shared" si="71"/>
        <v>0</v>
      </c>
      <c r="G1293" s="151">
        <f>'Etude de cas n°1'!D1293</f>
        <v>0</v>
      </c>
      <c r="H1293" s="19"/>
      <c r="I1293" s="19"/>
      <c r="J1293" s="19"/>
      <c r="K1293" s="19"/>
      <c r="L1293" s="19"/>
      <c r="M1293" s="19"/>
      <c r="N1293" s="19"/>
    </row>
    <row r="1294" spans="1:14" s="97" customFormat="1" ht="13.2" x14ac:dyDescent="0.25">
      <c r="A1294" s="201" t="s">
        <v>3187</v>
      </c>
      <c r="B1294" s="192" t="s">
        <v>3188</v>
      </c>
      <c r="C1294" s="217"/>
      <c r="D1294" s="120"/>
      <c r="E1294" s="45"/>
      <c r="F1294" s="127"/>
      <c r="G1294" s="151"/>
      <c r="H1294" s="218"/>
      <c r="I1294" s="218"/>
      <c r="J1294" s="218"/>
      <c r="K1294" s="218"/>
      <c r="L1294" s="218"/>
      <c r="M1294" s="218"/>
      <c r="N1294" s="218"/>
    </row>
    <row r="1295" spans="1:14" s="97" customFormat="1" ht="13.2" x14ac:dyDescent="0.25">
      <c r="A1295" s="201" t="s">
        <v>3189</v>
      </c>
      <c r="B1295" s="192" t="s">
        <v>3190</v>
      </c>
      <c r="C1295" s="217" t="s">
        <v>3191</v>
      </c>
      <c r="D1295" s="120"/>
      <c r="E1295" s="45">
        <f t="shared" si="72"/>
        <v>0</v>
      </c>
      <c r="F1295" s="127">
        <f t="shared" si="71"/>
        <v>0</v>
      </c>
      <c r="G1295" s="151">
        <f>'Etude de cas n°1'!D1295</f>
        <v>0</v>
      </c>
      <c r="H1295" s="218"/>
      <c r="I1295" s="218"/>
      <c r="J1295" s="218"/>
      <c r="K1295" s="218"/>
      <c r="L1295" s="218"/>
      <c r="M1295" s="218"/>
      <c r="N1295" s="218"/>
    </row>
    <row r="1296" spans="1:14" s="97" customFormat="1" ht="13.2" x14ac:dyDescent="0.25">
      <c r="A1296" s="201" t="s">
        <v>3192</v>
      </c>
      <c r="B1296" s="192" t="s">
        <v>3193</v>
      </c>
      <c r="C1296" s="217" t="s">
        <v>3191</v>
      </c>
      <c r="D1296" s="120"/>
      <c r="E1296" s="45">
        <f t="shared" si="72"/>
        <v>0</v>
      </c>
      <c r="F1296" s="127">
        <f t="shared" si="71"/>
        <v>0</v>
      </c>
      <c r="G1296" s="151">
        <f>'Etude de cas n°1'!D1296</f>
        <v>0</v>
      </c>
      <c r="H1296" s="218"/>
      <c r="I1296" s="218"/>
      <c r="J1296" s="218"/>
      <c r="K1296" s="218"/>
      <c r="L1296" s="218"/>
      <c r="M1296" s="218"/>
      <c r="N1296" s="218"/>
    </row>
    <row r="1297" spans="1:14" s="94" customFormat="1" ht="13.2" x14ac:dyDescent="0.25">
      <c r="A1297" s="201" t="s">
        <v>3194</v>
      </c>
      <c r="B1297" s="192" t="s">
        <v>3195</v>
      </c>
      <c r="C1297" s="217"/>
      <c r="D1297" s="120"/>
      <c r="E1297" s="45"/>
      <c r="F1297" s="127"/>
      <c r="G1297" s="151"/>
      <c r="H1297" s="19"/>
      <c r="I1297" s="19"/>
      <c r="J1297" s="19"/>
      <c r="K1297" s="19"/>
      <c r="L1297" s="19"/>
      <c r="M1297" s="19"/>
      <c r="N1297" s="19"/>
    </row>
    <row r="1298" spans="1:14" s="97" customFormat="1" ht="13.2" x14ac:dyDescent="0.25">
      <c r="A1298" s="201" t="s">
        <v>3196</v>
      </c>
      <c r="B1298" s="192" t="s">
        <v>3197</v>
      </c>
      <c r="C1298" s="217" t="s">
        <v>1804</v>
      </c>
      <c r="D1298" s="120"/>
      <c r="E1298" s="45">
        <f t="shared" si="72"/>
        <v>0</v>
      </c>
      <c r="F1298" s="127">
        <f t="shared" si="71"/>
        <v>0</v>
      </c>
      <c r="G1298" s="151">
        <f>'Etude de cas n°1'!D1298</f>
        <v>0</v>
      </c>
      <c r="H1298" s="218"/>
      <c r="I1298" s="218"/>
      <c r="J1298" s="218"/>
      <c r="K1298" s="218"/>
      <c r="L1298" s="218"/>
      <c r="M1298" s="218"/>
      <c r="N1298" s="218"/>
    </row>
    <row r="1299" spans="1:14" s="97" customFormat="1" ht="13.2" x14ac:dyDescent="0.25">
      <c r="A1299" s="201" t="s">
        <v>3198</v>
      </c>
      <c r="B1299" s="192" t="s">
        <v>3199</v>
      </c>
      <c r="C1299" s="217" t="s">
        <v>1804</v>
      </c>
      <c r="D1299" s="120"/>
      <c r="E1299" s="45">
        <f t="shared" si="72"/>
        <v>0</v>
      </c>
      <c r="F1299" s="127">
        <f t="shared" si="71"/>
        <v>0</v>
      </c>
      <c r="G1299" s="151">
        <f>'Etude de cas n°1'!D1299</f>
        <v>0</v>
      </c>
      <c r="H1299" s="218"/>
      <c r="I1299" s="218"/>
      <c r="J1299" s="218"/>
      <c r="K1299" s="218"/>
      <c r="L1299" s="218"/>
      <c r="M1299" s="218"/>
      <c r="N1299" s="218"/>
    </row>
    <row r="1300" spans="1:14" s="97" customFormat="1" ht="13.2" x14ac:dyDescent="0.25">
      <c r="A1300" s="201" t="s">
        <v>3200</v>
      </c>
      <c r="B1300" s="192" t="s">
        <v>3201</v>
      </c>
      <c r="C1300" s="217" t="s">
        <v>1804</v>
      </c>
      <c r="D1300" s="120"/>
      <c r="E1300" s="45">
        <f t="shared" si="72"/>
        <v>13.2</v>
      </c>
      <c r="F1300" s="127">
        <f t="shared" si="71"/>
        <v>0</v>
      </c>
      <c r="G1300" s="151">
        <f>'Etude de cas n°1'!D1300</f>
        <v>13.2</v>
      </c>
      <c r="H1300" s="218"/>
      <c r="I1300" s="218"/>
      <c r="J1300" s="218"/>
      <c r="K1300" s="218"/>
      <c r="L1300" s="218"/>
      <c r="M1300" s="218"/>
      <c r="N1300" s="218"/>
    </row>
    <row r="1301" spans="1:14" s="97" customFormat="1" ht="13.2" x14ac:dyDescent="0.25">
      <c r="A1301" s="201" t="s">
        <v>3202</v>
      </c>
      <c r="B1301" s="192" t="s">
        <v>3203</v>
      </c>
      <c r="C1301" s="217" t="s">
        <v>1804</v>
      </c>
      <c r="D1301" s="120"/>
      <c r="E1301" s="45">
        <f t="shared" si="72"/>
        <v>0.28999999999999998</v>
      </c>
      <c r="F1301" s="127">
        <f t="shared" si="71"/>
        <v>0</v>
      </c>
      <c r="G1301" s="151">
        <f>'Etude de cas n°1'!D1301</f>
        <v>0.28999999999999998</v>
      </c>
      <c r="H1301" s="218"/>
      <c r="I1301" s="218"/>
      <c r="J1301" s="218"/>
      <c r="K1301" s="218"/>
      <c r="L1301" s="218"/>
      <c r="M1301" s="218"/>
      <c r="N1301" s="218"/>
    </row>
    <row r="1302" spans="1:14" s="97" customFormat="1" ht="13.2" x14ac:dyDescent="0.25">
      <c r="A1302" s="201" t="s">
        <v>3204</v>
      </c>
      <c r="B1302" s="192" t="s">
        <v>3205</v>
      </c>
      <c r="C1302" s="217" t="s">
        <v>1804</v>
      </c>
      <c r="D1302" s="120"/>
      <c r="E1302" s="45">
        <f t="shared" si="72"/>
        <v>0</v>
      </c>
      <c r="F1302" s="127">
        <f t="shared" si="71"/>
        <v>0</v>
      </c>
      <c r="G1302" s="151">
        <f>'Etude de cas n°1'!D1302</f>
        <v>0</v>
      </c>
      <c r="H1302" s="218"/>
      <c r="I1302" s="218"/>
      <c r="J1302" s="218"/>
      <c r="K1302" s="218"/>
      <c r="L1302" s="218"/>
      <c r="M1302" s="218"/>
      <c r="N1302" s="218"/>
    </row>
    <row r="1303" spans="1:14" s="97" customFormat="1" ht="13.2" x14ac:dyDescent="0.25">
      <c r="A1303" s="201" t="s">
        <v>3206</v>
      </c>
      <c r="B1303" s="192" t="s">
        <v>3207</v>
      </c>
      <c r="C1303" s="217" t="s">
        <v>1804</v>
      </c>
      <c r="D1303" s="120"/>
      <c r="E1303" s="45">
        <f t="shared" si="72"/>
        <v>0</v>
      </c>
      <c r="F1303" s="127">
        <f t="shared" ref="F1303:F1366" si="73">D1303*E1303</f>
        <v>0</v>
      </c>
      <c r="G1303" s="151">
        <f>'Etude de cas n°1'!D1303</f>
        <v>0</v>
      </c>
      <c r="H1303" s="218"/>
      <c r="I1303" s="218"/>
      <c r="J1303" s="218"/>
      <c r="K1303" s="218"/>
      <c r="L1303" s="218"/>
      <c r="M1303" s="218"/>
      <c r="N1303" s="218"/>
    </row>
    <row r="1304" spans="1:14" s="97" customFormat="1" ht="13.2" x14ac:dyDescent="0.25">
      <c r="A1304" s="201" t="s">
        <v>3208</v>
      </c>
      <c r="B1304" s="192" t="s">
        <v>3209</v>
      </c>
      <c r="C1304" s="217" t="s">
        <v>2109</v>
      </c>
      <c r="D1304" s="120"/>
      <c r="E1304" s="45">
        <f t="shared" si="72"/>
        <v>264</v>
      </c>
      <c r="F1304" s="127">
        <f t="shared" si="73"/>
        <v>0</v>
      </c>
      <c r="G1304" s="151">
        <f>'Etude de cas n°1'!D1304</f>
        <v>264</v>
      </c>
      <c r="H1304" s="218"/>
      <c r="I1304" s="218"/>
      <c r="J1304" s="218"/>
      <c r="K1304" s="218"/>
      <c r="L1304" s="218"/>
      <c r="M1304" s="218"/>
      <c r="N1304" s="218"/>
    </row>
    <row r="1305" spans="1:14" s="97" customFormat="1" ht="13.2" x14ac:dyDescent="0.25">
      <c r="A1305" s="201" t="s">
        <v>3210</v>
      </c>
      <c r="B1305" s="192" t="s">
        <v>3211</v>
      </c>
      <c r="C1305" s="217" t="s">
        <v>1011</v>
      </c>
      <c r="D1305" s="120"/>
      <c r="E1305" s="45">
        <f t="shared" si="72"/>
        <v>1</v>
      </c>
      <c r="F1305" s="127">
        <f t="shared" si="73"/>
        <v>0</v>
      </c>
      <c r="G1305" s="151">
        <f>'Etude de cas n°1'!D1305</f>
        <v>1</v>
      </c>
      <c r="H1305" s="218"/>
      <c r="I1305" s="218"/>
      <c r="J1305" s="218"/>
      <c r="K1305" s="218"/>
      <c r="L1305" s="218"/>
      <c r="M1305" s="218"/>
      <c r="N1305" s="218"/>
    </row>
    <row r="1306" spans="1:14" s="97" customFormat="1" ht="13.2" x14ac:dyDescent="0.25">
      <c r="A1306" s="201" t="s">
        <v>3212</v>
      </c>
      <c r="B1306" s="192" t="s">
        <v>3213</v>
      </c>
      <c r="C1306" s="217" t="s">
        <v>3168</v>
      </c>
      <c r="D1306" s="120"/>
      <c r="E1306" s="45">
        <f t="shared" si="72"/>
        <v>1</v>
      </c>
      <c r="F1306" s="127">
        <f t="shared" si="73"/>
        <v>0</v>
      </c>
      <c r="G1306" s="151">
        <f>'Etude de cas n°1'!D1306</f>
        <v>1</v>
      </c>
      <c r="H1306" s="218"/>
      <c r="I1306" s="218"/>
      <c r="J1306" s="218"/>
      <c r="K1306" s="218"/>
      <c r="L1306" s="218"/>
      <c r="M1306" s="218"/>
      <c r="N1306" s="218"/>
    </row>
    <row r="1307" spans="1:14" s="97" customFormat="1" ht="13.2" x14ac:dyDescent="0.25">
      <c r="A1307" s="201" t="s">
        <v>3214</v>
      </c>
      <c r="B1307" s="192" t="s">
        <v>3215</v>
      </c>
      <c r="C1307" s="217" t="s">
        <v>3168</v>
      </c>
      <c r="D1307" s="120"/>
      <c r="E1307" s="45">
        <f t="shared" si="72"/>
        <v>0</v>
      </c>
      <c r="F1307" s="127">
        <f t="shared" si="73"/>
        <v>0</v>
      </c>
      <c r="G1307" s="151">
        <f>'Etude de cas n°1'!D1307</f>
        <v>0</v>
      </c>
      <c r="H1307" s="218"/>
      <c r="I1307" s="218"/>
      <c r="J1307" s="218"/>
      <c r="K1307" s="218"/>
      <c r="L1307" s="218"/>
      <c r="M1307" s="218"/>
      <c r="N1307" s="218"/>
    </row>
    <row r="1308" spans="1:14" s="97" customFormat="1" ht="13.2" x14ac:dyDescent="0.25">
      <c r="A1308" s="27" t="s">
        <v>3216</v>
      </c>
      <c r="B1308" s="3" t="s">
        <v>3217</v>
      </c>
      <c r="C1308" s="217"/>
      <c r="D1308" s="120"/>
      <c r="E1308" s="45"/>
      <c r="F1308" s="127"/>
      <c r="G1308" s="151"/>
      <c r="H1308" s="218"/>
      <c r="I1308" s="218"/>
      <c r="J1308" s="218"/>
      <c r="K1308" s="218"/>
      <c r="L1308" s="218"/>
      <c r="M1308" s="218"/>
      <c r="N1308" s="218"/>
    </row>
    <row r="1309" spans="1:14" s="97" customFormat="1" ht="13.2" x14ac:dyDescent="0.25">
      <c r="A1309" s="201" t="s">
        <v>651</v>
      </c>
      <c r="B1309" s="192" t="s">
        <v>3218</v>
      </c>
      <c r="C1309" s="217"/>
      <c r="D1309" s="120"/>
      <c r="E1309" s="45"/>
      <c r="F1309" s="127"/>
      <c r="G1309" s="151"/>
      <c r="H1309" s="218"/>
      <c r="I1309" s="218"/>
      <c r="J1309" s="218"/>
      <c r="K1309" s="218"/>
      <c r="L1309" s="218"/>
      <c r="M1309" s="218"/>
      <c r="N1309" s="218"/>
    </row>
    <row r="1310" spans="1:14" s="97" customFormat="1" ht="13.2" x14ac:dyDescent="0.25">
      <c r="A1310" s="201" t="s">
        <v>3219</v>
      </c>
      <c r="B1310" s="192" t="s">
        <v>3220</v>
      </c>
      <c r="C1310" s="217"/>
      <c r="D1310" s="120"/>
      <c r="E1310" s="45"/>
      <c r="F1310" s="127"/>
      <c r="G1310" s="151"/>
      <c r="H1310" s="218"/>
      <c r="I1310" s="218"/>
      <c r="J1310" s="218"/>
      <c r="K1310" s="218"/>
      <c r="L1310" s="218"/>
      <c r="M1310" s="218"/>
      <c r="N1310" s="218"/>
    </row>
    <row r="1311" spans="1:14" s="97" customFormat="1" ht="13.2" x14ac:dyDescent="0.25">
      <c r="A1311" s="201" t="s">
        <v>3221</v>
      </c>
      <c r="B1311" s="192" t="s">
        <v>3222</v>
      </c>
      <c r="C1311" s="217" t="s">
        <v>1034</v>
      </c>
      <c r="D1311" s="120"/>
      <c r="E1311" s="45">
        <f t="shared" ref="E1311:E1374" si="74">G1311</f>
        <v>20</v>
      </c>
      <c r="F1311" s="127">
        <f t="shared" si="73"/>
        <v>0</v>
      </c>
      <c r="G1311" s="151">
        <f>'Etude de cas n°1'!D1311</f>
        <v>20</v>
      </c>
      <c r="H1311" s="218"/>
      <c r="I1311" s="218"/>
      <c r="J1311" s="218"/>
      <c r="K1311" s="218"/>
      <c r="L1311" s="218"/>
      <c r="M1311" s="218"/>
      <c r="N1311" s="218"/>
    </row>
    <row r="1312" spans="1:14" s="97" customFormat="1" ht="13.2" x14ac:dyDescent="0.25">
      <c r="A1312" s="201" t="s">
        <v>3223</v>
      </c>
      <c r="B1312" s="192" t="s">
        <v>3224</v>
      </c>
      <c r="C1312" s="217" t="s">
        <v>1034</v>
      </c>
      <c r="D1312" s="120"/>
      <c r="E1312" s="45">
        <f t="shared" si="74"/>
        <v>20</v>
      </c>
      <c r="F1312" s="127">
        <f t="shared" si="73"/>
        <v>0</v>
      </c>
      <c r="G1312" s="151">
        <f>'Etude de cas n°1'!D1312</f>
        <v>20</v>
      </c>
      <c r="H1312" s="218"/>
      <c r="I1312" s="218"/>
      <c r="J1312" s="218"/>
      <c r="K1312" s="218"/>
      <c r="L1312" s="218"/>
      <c r="M1312" s="218"/>
      <c r="N1312" s="218"/>
    </row>
    <row r="1313" spans="1:14" s="97" customFormat="1" ht="13.2" x14ac:dyDescent="0.25">
      <c r="A1313" s="201" t="s">
        <v>3225</v>
      </c>
      <c r="B1313" s="192" t="s">
        <v>3226</v>
      </c>
      <c r="C1313" s="217" t="s">
        <v>1034</v>
      </c>
      <c r="D1313" s="120"/>
      <c r="E1313" s="45">
        <f t="shared" si="74"/>
        <v>0</v>
      </c>
      <c r="F1313" s="127">
        <f t="shared" si="73"/>
        <v>0</v>
      </c>
      <c r="G1313" s="151">
        <f>'Etude de cas n°1'!D1313</f>
        <v>0</v>
      </c>
      <c r="H1313" s="218"/>
      <c r="I1313" s="218"/>
      <c r="J1313" s="218"/>
      <c r="K1313" s="218"/>
      <c r="L1313" s="218"/>
      <c r="M1313" s="218"/>
      <c r="N1313" s="218"/>
    </row>
    <row r="1314" spans="1:14" s="94" customFormat="1" ht="13.2" x14ac:dyDescent="0.25">
      <c r="A1314" s="201" t="s">
        <v>3227</v>
      </c>
      <c r="B1314" s="192" t="s">
        <v>3228</v>
      </c>
      <c r="C1314" s="217"/>
      <c r="D1314" s="120"/>
      <c r="E1314" s="45"/>
      <c r="F1314" s="127"/>
      <c r="G1314" s="151"/>
      <c r="H1314" s="19"/>
      <c r="I1314" s="19"/>
      <c r="J1314" s="19"/>
      <c r="K1314" s="19"/>
      <c r="L1314" s="19"/>
      <c r="M1314" s="19"/>
      <c r="N1314" s="19"/>
    </row>
    <row r="1315" spans="1:14" s="97" customFormat="1" ht="13.2" x14ac:dyDescent="0.25">
      <c r="A1315" s="201" t="s">
        <v>3229</v>
      </c>
      <c r="B1315" s="192" t="s">
        <v>3230</v>
      </c>
      <c r="C1315" s="217" t="s">
        <v>1141</v>
      </c>
      <c r="D1315" s="120"/>
      <c r="E1315" s="45">
        <f t="shared" si="74"/>
        <v>33</v>
      </c>
      <c r="F1315" s="127">
        <f t="shared" si="73"/>
        <v>0</v>
      </c>
      <c r="G1315" s="151">
        <f>'Etude de cas n°1'!D1315</f>
        <v>33</v>
      </c>
      <c r="H1315" s="218"/>
      <c r="I1315" s="218"/>
      <c r="J1315" s="218"/>
      <c r="K1315" s="218"/>
      <c r="L1315" s="218"/>
      <c r="M1315" s="218"/>
      <c r="N1315" s="218"/>
    </row>
    <row r="1316" spans="1:14" s="97" customFormat="1" ht="13.2" x14ac:dyDescent="0.25">
      <c r="A1316" s="201" t="s">
        <v>3231</v>
      </c>
      <c r="B1316" s="192" t="s">
        <v>3232</v>
      </c>
      <c r="C1316" s="217" t="s">
        <v>3233</v>
      </c>
      <c r="D1316" s="120"/>
      <c r="E1316" s="45">
        <f t="shared" si="74"/>
        <v>15</v>
      </c>
      <c r="F1316" s="127">
        <f t="shared" si="73"/>
        <v>0</v>
      </c>
      <c r="G1316" s="151">
        <f>'Etude de cas n°1'!D1316</f>
        <v>15</v>
      </c>
      <c r="H1316" s="218"/>
      <c r="I1316" s="218"/>
      <c r="J1316" s="218"/>
      <c r="K1316" s="218"/>
      <c r="L1316" s="218"/>
      <c r="M1316" s="218"/>
      <c r="N1316" s="218"/>
    </row>
    <row r="1317" spans="1:14" s="97" customFormat="1" ht="13.2" x14ac:dyDescent="0.25">
      <c r="A1317" s="201" t="s">
        <v>3234</v>
      </c>
      <c r="B1317" s="192" t="s">
        <v>3235</v>
      </c>
      <c r="C1317" s="217" t="s">
        <v>1141</v>
      </c>
      <c r="D1317" s="120"/>
      <c r="E1317" s="45">
        <f t="shared" si="74"/>
        <v>18</v>
      </c>
      <c r="F1317" s="127">
        <f t="shared" si="73"/>
        <v>0</v>
      </c>
      <c r="G1317" s="151">
        <f>'Etude de cas n°1'!D1317</f>
        <v>18</v>
      </c>
      <c r="H1317" s="218"/>
      <c r="I1317" s="218"/>
      <c r="J1317" s="218"/>
      <c r="K1317" s="218"/>
      <c r="L1317" s="218"/>
      <c r="M1317" s="218"/>
      <c r="N1317" s="218"/>
    </row>
    <row r="1318" spans="1:14" s="97" customFormat="1" ht="13.2" x14ac:dyDescent="0.25">
      <c r="A1318" s="201" t="s">
        <v>3236</v>
      </c>
      <c r="B1318" s="192" t="s">
        <v>3237</v>
      </c>
      <c r="C1318" s="217" t="s">
        <v>3233</v>
      </c>
      <c r="D1318" s="120"/>
      <c r="E1318" s="45">
        <f t="shared" si="74"/>
        <v>0</v>
      </c>
      <c r="F1318" s="127">
        <f t="shared" si="73"/>
        <v>0</v>
      </c>
      <c r="G1318" s="151">
        <f>'Etude de cas n°1'!D1318</f>
        <v>0</v>
      </c>
      <c r="H1318" s="218"/>
      <c r="I1318" s="218"/>
      <c r="J1318" s="218"/>
      <c r="K1318" s="218"/>
      <c r="L1318" s="218"/>
      <c r="M1318" s="218"/>
      <c r="N1318" s="218"/>
    </row>
    <row r="1319" spans="1:14" s="97" customFormat="1" ht="13.2" x14ac:dyDescent="0.25">
      <c r="A1319" s="201" t="s">
        <v>3238</v>
      </c>
      <c r="B1319" s="192" t="s">
        <v>3239</v>
      </c>
      <c r="C1319" s="217"/>
      <c r="D1319" s="120"/>
      <c r="E1319" s="45"/>
      <c r="F1319" s="127"/>
      <c r="G1319" s="151"/>
      <c r="H1319" s="218"/>
      <c r="I1319" s="218"/>
      <c r="J1319" s="218"/>
      <c r="K1319" s="218"/>
      <c r="L1319" s="218"/>
      <c r="M1319" s="218"/>
      <c r="N1319" s="218"/>
    </row>
    <row r="1320" spans="1:14" s="97" customFormat="1" ht="13.2" x14ac:dyDescent="0.25">
      <c r="A1320" s="201" t="s">
        <v>3240</v>
      </c>
      <c r="B1320" s="192" t="s">
        <v>3241</v>
      </c>
      <c r="C1320" s="217" t="s">
        <v>1011</v>
      </c>
      <c r="D1320" s="120"/>
      <c r="E1320" s="45">
        <f t="shared" si="74"/>
        <v>0</v>
      </c>
      <c r="F1320" s="127">
        <f t="shared" si="73"/>
        <v>0</v>
      </c>
      <c r="G1320" s="151">
        <f>'Etude de cas n°1'!D1320</f>
        <v>0</v>
      </c>
      <c r="H1320" s="218"/>
      <c r="I1320" s="218"/>
      <c r="J1320" s="218"/>
      <c r="K1320" s="218"/>
      <c r="L1320" s="218"/>
      <c r="M1320" s="218"/>
      <c r="N1320" s="218"/>
    </row>
    <row r="1321" spans="1:14" s="94" customFormat="1" ht="13.2" x14ac:dyDescent="0.25">
      <c r="A1321" s="201" t="s">
        <v>3242</v>
      </c>
      <c r="B1321" s="192" t="s">
        <v>3243</v>
      </c>
      <c r="C1321" s="217" t="s">
        <v>1011</v>
      </c>
      <c r="D1321" s="120"/>
      <c r="E1321" s="45">
        <f t="shared" si="74"/>
        <v>0</v>
      </c>
      <c r="F1321" s="127">
        <f t="shared" si="73"/>
        <v>0</v>
      </c>
      <c r="G1321" s="151">
        <f>'Etude de cas n°1'!D1321</f>
        <v>0</v>
      </c>
      <c r="H1321" s="19"/>
      <c r="I1321" s="19"/>
      <c r="J1321" s="19"/>
      <c r="K1321" s="19"/>
      <c r="L1321" s="19"/>
      <c r="M1321" s="19"/>
      <c r="N1321" s="19"/>
    </row>
    <row r="1322" spans="1:14" s="97" customFormat="1" ht="13.2" x14ac:dyDescent="0.25">
      <c r="A1322" s="201" t="s">
        <v>3244</v>
      </c>
      <c r="B1322" s="192" t="s">
        <v>3245</v>
      </c>
      <c r="C1322" s="217" t="s">
        <v>1232</v>
      </c>
      <c r="D1322" s="120"/>
      <c r="E1322" s="45">
        <f t="shared" si="74"/>
        <v>0</v>
      </c>
      <c r="F1322" s="127">
        <f t="shared" si="73"/>
        <v>0</v>
      </c>
      <c r="G1322" s="151">
        <f>'Etude de cas n°1'!D1322</f>
        <v>0</v>
      </c>
      <c r="H1322" s="218"/>
      <c r="I1322" s="218"/>
      <c r="J1322" s="218"/>
      <c r="K1322" s="218"/>
      <c r="L1322" s="218"/>
      <c r="M1322" s="218"/>
      <c r="N1322" s="218"/>
    </row>
    <row r="1323" spans="1:14" s="97" customFormat="1" ht="13.2" x14ac:dyDescent="0.25">
      <c r="A1323" s="201" t="s">
        <v>652</v>
      </c>
      <c r="B1323" s="192" t="s">
        <v>3246</v>
      </c>
      <c r="C1323" s="217"/>
      <c r="D1323" s="120"/>
      <c r="E1323" s="45"/>
      <c r="F1323" s="127"/>
      <c r="G1323" s="151"/>
      <c r="H1323" s="218"/>
      <c r="I1323" s="218"/>
      <c r="J1323" s="218"/>
      <c r="K1323" s="218"/>
      <c r="L1323" s="218"/>
      <c r="M1323" s="218"/>
      <c r="N1323" s="218"/>
    </row>
    <row r="1324" spans="1:14" s="97" customFormat="1" ht="13.2" x14ac:dyDescent="0.25">
      <c r="A1324" s="201" t="s">
        <v>3247</v>
      </c>
      <c r="B1324" s="192" t="s">
        <v>3248</v>
      </c>
      <c r="C1324" s="217" t="s">
        <v>1034</v>
      </c>
      <c r="D1324" s="120"/>
      <c r="E1324" s="45">
        <f t="shared" si="74"/>
        <v>68</v>
      </c>
      <c r="F1324" s="127">
        <f t="shared" si="73"/>
        <v>0</v>
      </c>
      <c r="G1324" s="151">
        <f>'Etude de cas n°1'!D1324</f>
        <v>68</v>
      </c>
      <c r="H1324" s="218"/>
      <c r="I1324" s="218"/>
      <c r="J1324" s="218"/>
      <c r="K1324" s="218"/>
      <c r="L1324" s="218"/>
      <c r="M1324" s="218"/>
      <c r="N1324" s="218"/>
    </row>
    <row r="1325" spans="1:14" s="97" customFormat="1" ht="13.2" x14ac:dyDescent="0.25">
      <c r="A1325" s="201" t="s">
        <v>3249</v>
      </c>
      <c r="B1325" s="192" t="s">
        <v>3250</v>
      </c>
      <c r="C1325" s="217" t="s">
        <v>1034</v>
      </c>
      <c r="D1325" s="120"/>
      <c r="E1325" s="45">
        <f t="shared" si="74"/>
        <v>0</v>
      </c>
      <c r="F1325" s="127">
        <f t="shared" si="73"/>
        <v>0</v>
      </c>
      <c r="G1325" s="151">
        <f>'Etude de cas n°1'!D1325</f>
        <v>0</v>
      </c>
      <c r="H1325" s="218"/>
      <c r="I1325" s="218"/>
      <c r="J1325" s="218"/>
      <c r="K1325" s="218"/>
      <c r="L1325" s="218"/>
      <c r="M1325" s="218"/>
      <c r="N1325" s="218"/>
    </row>
    <row r="1326" spans="1:14" s="97" customFormat="1" ht="13.2" x14ac:dyDescent="0.25">
      <c r="A1326" s="201" t="s">
        <v>3251</v>
      </c>
      <c r="B1326" s="192" t="s">
        <v>3252</v>
      </c>
      <c r="C1326" s="217" t="s">
        <v>1141</v>
      </c>
      <c r="D1326" s="120"/>
      <c r="E1326" s="45">
        <f t="shared" si="74"/>
        <v>292</v>
      </c>
      <c r="F1326" s="127">
        <f t="shared" si="73"/>
        <v>0</v>
      </c>
      <c r="G1326" s="151">
        <f>'Etude de cas n°1'!D1326</f>
        <v>292</v>
      </c>
      <c r="H1326" s="218"/>
      <c r="I1326" s="218"/>
      <c r="J1326" s="218"/>
      <c r="K1326" s="218"/>
      <c r="L1326" s="218"/>
      <c r="M1326" s="218"/>
      <c r="N1326" s="218"/>
    </row>
    <row r="1327" spans="1:14" s="97" customFormat="1" ht="13.2" x14ac:dyDescent="0.25">
      <c r="A1327" s="201" t="s">
        <v>3253</v>
      </c>
      <c r="B1327" s="192" t="s">
        <v>3254</v>
      </c>
      <c r="C1327" s="217" t="s">
        <v>3233</v>
      </c>
      <c r="D1327" s="120"/>
      <c r="E1327" s="45">
        <f t="shared" si="74"/>
        <v>670</v>
      </c>
      <c r="F1327" s="127">
        <f t="shared" si="73"/>
        <v>0</v>
      </c>
      <c r="G1327" s="151">
        <f>'Etude de cas n°1'!D1327</f>
        <v>670</v>
      </c>
      <c r="H1327" s="218"/>
      <c r="I1327" s="218"/>
      <c r="J1327" s="218"/>
      <c r="K1327" s="218"/>
      <c r="L1327" s="218"/>
      <c r="M1327" s="218"/>
      <c r="N1327" s="218"/>
    </row>
    <row r="1328" spans="1:14" s="97" customFormat="1" ht="13.2" x14ac:dyDescent="0.25">
      <c r="A1328" s="201" t="s">
        <v>3255</v>
      </c>
      <c r="B1328" s="192" t="s">
        <v>3256</v>
      </c>
      <c r="C1328" s="217" t="s">
        <v>984</v>
      </c>
      <c r="D1328" s="120"/>
      <c r="E1328" s="45">
        <f t="shared" si="74"/>
        <v>1</v>
      </c>
      <c r="F1328" s="127">
        <f t="shared" si="73"/>
        <v>0</v>
      </c>
      <c r="G1328" s="151">
        <f>'Etude de cas n°1'!D1328</f>
        <v>1</v>
      </c>
      <c r="H1328" s="218"/>
      <c r="I1328" s="218"/>
      <c r="J1328" s="218"/>
      <c r="K1328" s="218"/>
      <c r="L1328" s="218"/>
      <c r="M1328" s="218"/>
      <c r="N1328" s="218"/>
    </row>
    <row r="1329" spans="1:14" s="94" customFormat="1" ht="13.2" x14ac:dyDescent="0.25">
      <c r="A1329" s="201" t="s">
        <v>3257</v>
      </c>
      <c r="B1329" s="192" t="s">
        <v>3258</v>
      </c>
      <c r="C1329" s="217" t="s">
        <v>1141</v>
      </c>
      <c r="D1329" s="120"/>
      <c r="E1329" s="45">
        <f t="shared" si="74"/>
        <v>292</v>
      </c>
      <c r="F1329" s="127">
        <f t="shared" si="73"/>
        <v>0</v>
      </c>
      <c r="G1329" s="151">
        <f>'Etude de cas n°1'!D1329</f>
        <v>292</v>
      </c>
      <c r="H1329" s="19"/>
      <c r="I1329" s="19"/>
      <c r="J1329" s="19"/>
      <c r="K1329" s="19"/>
      <c r="L1329" s="19"/>
      <c r="M1329" s="19"/>
      <c r="N1329" s="19"/>
    </row>
    <row r="1330" spans="1:14" s="97" customFormat="1" ht="13.2" x14ac:dyDescent="0.25">
      <c r="A1330" s="201" t="s">
        <v>3259</v>
      </c>
      <c r="B1330" s="192" t="s">
        <v>3260</v>
      </c>
      <c r="C1330" s="217" t="s">
        <v>3233</v>
      </c>
      <c r="D1330" s="120"/>
      <c r="E1330" s="45">
        <f t="shared" si="74"/>
        <v>876</v>
      </c>
      <c r="F1330" s="127">
        <f t="shared" si="73"/>
        <v>0</v>
      </c>
      <c r="G1330" s="151">
        <f>'Etude de cas n°1'!D1330</f>
        <v>876</v>
      </c>
      <c r="H1330" s="218"/>
      <c r="I1330" s="218"/>
      <c r="J1330" s="218"/>
      <c r="K1330" s="218"/>
      <c r="L1330" s="218"/>
      <c r="M1330" s="218"/>
      <c r="N1330" s="218"/>
    </row>
    <row r="1331" spans="1:14" s="97" customFormat="1" ht="13.2" x14ac:dyDescent="0.25">
      <c r="A1331" s="201" t="s">
        <v>3261</v>
      </c>
      <c r="B1331" s="192" t="s">
        <v>3262</v>
      </c>
      <c r="C1331" s="217" t="s">
        <v>1141</v>
      </c>
      <c r="D1331" s="120"/>
      <c r="E1331" s="45">
        <f t="shared" si="74"/>
        <v>292</v>
      </c>
      <c r="F1331" s="127">
        <f t="shared" si="73"/>
        <v>0</v>
      </c>
      <c r="G1331" s="151">
        <f>'Etude de cas n°1'!D1331</f>
        <v>292</v>
      </c>
      <c r="H1331" s="218"/>
      <c r="I1331" s="218"/>
      <c r="J1331" s="218"/>
      <c r="K1331" s="218"/>
      <c r="L1331" s="218"/>
      <c r="M1331" s="218"/>
      <c r="N1331" s="218"/>
    </row>
    <row r="1332" spans="1:14" s="97" customFormat="1" ht="13.2" x14ac:dyDescent="0.25">
      <c r="A1332" s="201" t="s">
        <v>3263</v>
      </c>
      <c r="B1332" s="192" t="s">
        <v>3264</v>
      </c>
      <c r="C1332" s="217" t="s">
        <v>2109</v>
      </c>
      <c r="D1332" s="120"/>
      <c r="E1332" s="45">
        <f t="shared" si="74"/>
        <v>1168</v>
      </c>
      <c r="F1332" s="127">
        <f t="shared" si="73"/>
        <v>0</v>
      </c>
      <c r="G1332" s="151">
        <f>'Etude de cas n°1'!D1332</f>
        <v>1168</v>
      </c>
      <c r="H1332" s="218"/>
      <c r="I1332" s="218"/>
      <c r="J1332" s="218"/>
      <c r="K1332" s="218"/>
      <c r="L1332" s="218"/>
      <c r="M1332" s="218"/>
      <c r="N1332" s="218"/>
    </row>
    <row r="1333" spans="1:14" s="97" customFormat="1" ht="13.2" x14ac:dyDescent="0.25">
      <c r="A1333" s="201" t="s">
        <v>653</v>
      </c>
      <c r="B1333" s="192" t="s">
        <v>3265</v>
      </c>
      <c r="C1333" s="217"/>
      <c r="D1333" s="120"/>
      <c r="E1333" s="45">
        <f t="shared" si="74"/>
        <v>0</v>
      </c>
      <c r="F1333" s="127"/>
      <c r="G1333" s="151">
        <f>'Etude de cas n°1'!D1333</f>
        <v>0</v>
      </c>
      <c r="H1333" s="218"/>
      <c r="I1333" s="218"/>
      <c r="J1333" s="218"/>
      <c r="K1333" s="218"/>
      <c r="L1333" s="218"/>
      <c r="M1333" s="218"/>
      <c r="N1333" s="218"/>
    </row>
    <row r="1334" spans="1:14" s="97" customFormat="1" ht="13.2" x14ac:dyDescent="0.25">
      <c r="A1334" s="201" t="s">
        <v>3266</v>
      </c>
      <c r="B1334" s="192" t="s">
        <v>3267</v>
      </c>
      <c r="C1334" s="217" t="s">
        <v>3233</v>
      </c>
      <c r="D1334" s="120"/>
      <c r="E1334" s="45">
        <f t="shared" si="74"/>
        <v>0</v>
      </c>
      <c r="F1334" s="127">
        <f t="shared" si="73"/>
        <v>0</v>
      </c>
      <c r="G1334" s="151">
        <f>'Etude de cas n°1'!D1334</f>
        <v>0</v>
      </c>
      <c r="H1334" s="218"/>
      <c r="I1334" s="218"/>
      <c r="J1334" s="218"/>
      <c r="K1334" s="218"/>
      <c r="L1334" s="218"/>
      <c r="M1334" s="218"/>
      <c r="N1334" s="218"/>
    </row>
    <row r="1335" spans="1:14" s="97" customFormat="1" ht="26.4" x14ac:dyDescent="0.25">
      <c r="A1335" s="201" t="s">
        <v>3268</v>
      </c>
      <c r="B1335" s="192" t="s">
        <v>3269</v>
      </c>
      <c r="C1335" s="217" t="s">
        <v>1141</v>
      </c>
      <c r="D1335" s="120"/>
      <c r="E1335" s="45">
        <f t="shared" si="74"/>
        <v>0</v>
      </c>
      <c r="F1335" s="127">
        <f t="shared" si="73"/>
        <v>0</v>
      </c>
      <c r="G1335" s="151">
        <f>'Etude de cas n°1'!D1335</f>
        <v>0</v>
      </c>
      <c r="H1335" s="218"/>
      <c r="I1335" s="218"/>
      <c r="J1335" s="218"/>
      <c r="K1335" s="218"/>
      <c r="L1335" s="218"/>
      <c r="M1335" s="218"/>
      <c r="N1335" s="218"/>
    </row>
    <row r="1336" spans="1:14" s="97" customFormat="1" ht="13.2" x14ac:dyDescent="0.25">
      <c r="A1336" s="27" t="s">
        <v>3270</v>
      </c>
      <c r="B1336" s="3" t="s">
        <v>3271</v>
      </c>
      <c r="C1336" s="217"/>
      <c r="D1336" s="120"/>
      <c r="E1336" s="45"/>
      <c r="F1336" s="127"/>
      <c r="G1336" s="151"/>
      <c r="H1336" s="218"/>
      <c r="I1336" s="218"/>
      <c r="J1336" s="218"/>
      <c r="K1336" s="218"/>
      <c r="L1336" s="218"/>
      <c r="M1336" s="218"/>
      <c r="N1336" s="218"/>
    </row>
    <row r="1337" spans="1:14" s="97" customFormat="1" ht="13.2" x14ac:dyDescent="0.25">
      <c r="A1337" s="201" t="s">
        <v>3272</v>
      </c>
      <c r="B1337" s="192" t="s">
        <v>3273</v>
      </c>
      <c r="C1337" s="217"/>
      <c r="D1337" s="120"/>
      <c r="E1337" s="45"/>
      <c r="F1337" s="127"/>
      <c r="G1337" s="151"/>
      <c r="H1337" s="218"/>
      <c r="I1337" s="218"/>
      <c r="J1337" s="218"/>
      <c r="K1337" s="218"/>
      <c r="L1337" s="218"/>
      <c r="M1337" s="218"/>
      <c r="N1337" s="218"/>
    </row>
    <row r="1338" spans="1:14" s="94" customFormat="1" ht="13.2" x14ac:dyDescent="0.25">
      <c r="A1338" s="201" t="s">
        <v>658</v>
      </c>
      <c r="B1338" s="192" t="s">
        <v>3274</v>
      </c>
      <c r="C1338" s="217"/>
      <c r="D1338" s="120"/>
      <c r="E1338" s="45"/>
      <c r="F1338" s="127"/>
      <c r="G1338" s="151"/>
      <c r="H1338" s="19"/>
      <c r="I1338" s="19"/>
      <c r="J1338" s="19"/>
      <c r="K1338" s="19"/>
      <c r="L1338" s="19"/>
      <c r="M1338" s="19"/>
      <c r="N1338" s="19"/>
    </row>
    <row r="1339" spans="1:14" s="94" customFormat="1" ht="13.2" x14ac:dyDescent="0.25">
      <c r="A1339" s="201" t="s">
        <v>3275</v>
      </c>
      <c r="B1339" s="192" t="s">
        <v>3276</v>
      </c>
      <c r="C1339" s="217" t="s">
        <v>1141</v>
      </c>
      <c r="D1339" s="120"/>
      <c r="E1339" s="45">
        <f t="shared" si="74"/>
        <v>72</v>
      </c>
      <c r="F1339" s="127">
        <f t="shared" si="73"/>
        <v>0</v>
      </c>
      <c r="G1339" s="151">
        <f>'Etude de cas n°1'!D1339</f>
        <v>72</v>
      </c>
      <c r="H1339" s="19"/>
      <c r="I1339" s="19"/>
      <c r="J1339" s="19"/>
      <c r="K1339" s="19"/>
      <c r="L1339" s="19"/>
      <c r="M1339" s="19"/>
      <c r="N1339" s="19"/>
    </row>
    <row r="1340" spans="1:14" s="97" customFormat="1" ht="13.2" x14ac:dyDescent="0.25">
      <c r="A1340" s="201" t="s">
        <v>3277</v>
      </c>
      <c r="B1340" s="192" t="s">
        <v>3278</v>
      </c>
      <c r="C1340" s="217" t="s">
        <v>3233</v>
      </c>
      <c r="D1340" s="120"/>
      <c r="E1340" s="45">
        <f t="shared" si="74"/>
        <v>0</v>
      </c>
      <c r="F1340" s="127">
        <f t="shared" si="73"/>
        <v>0</v>
      </c>
      <c r="G1340" s="151">
        <f>'Etude de cas n°1'!D1340</f>
        <v>0</v>
      </c>
      <c r="H1340" s="218"/>
      <c r="I1340" s="218"/>
      <c r="J1340" s="218"/>
      <c r="K1340" s="218"/>
      <c r="L1340" s="218"/>
      <c r="M1340" s="218"/>
      <c r="N1340" s="218"/>
    </row>
    <row r="1341" spans="1:14" s="97" customFormat="1" ht="13.2" x14ac:dyDescent="0.25">
      <c r="A1341" s="201" t="s">
        <v>659</v>
      </c>
      <c r="B1341" s="192" t="s">
        <v>3279</v>
      </c>
      <c r="C1341" s="217"/>
      <c r="D1341" s="120"/>
      <c r="E1341" s="45"/>
      <c r="F1341" s="127"/>
      <c r="G1341" s="151"/>
      <c r="H1341" s="218"/>
      <c r="I1341" s="218"/>
      <c r="J1341" s="218"/>
      <c r="K1341" s="218"/>
      <c r="L1341" s="218"/>
      <c r="M1341" s="218"/>
      <c r="N1341" s="218"/>
    </row>
    <row r="1342" spans="1:14" s="97" customFormat="1" ht="13.2" x14ac:dyDescent="0.25">
      <c r="A1342" s="201" t="s">
        <v>660</v>
      </c>
      <c r="B1342" s="192" t="s">
        <v>3280</v>
      </c>
      <c r="C1342" s="217" t="s">
        <v>1232</v>
      </c>
      <c r="D1342" s="120"/>
      <c r="E1342" s="45">
        <f t="shared" si="74"/>
        <v>0</v>
      </c>
      <c r="F1342" s="127">
        <f t="shared" si="73"/>
        <v>0</v>
      </c>
      <c r="G1342" s="151">
        <f>'Etude de cas n°1'!D1342</f>
        <v>0</v>
      </c>
      <c r="H1342" s="218"/>
      <c r="I1342" s="218"/>
      <c r="J1342" s="218"/>
      <c r="K1342" s="218"/>
      <c r="L1342" s="218"/>
      <c r="M1342" s="218"/>
      <c r="N1342" s="218"/>
    </row>
    <row r="1343" spans="1:14" s="97" customFormat="1" ht="13.2" x14ac:dyDescent="0.25">
      <c r="A1343" s="201" t="s">
        <v>661</v>
      </c>
      <c r="B1343" s="192" t="s">
        <v>3281</v>
      </c>
      <c r="C1343" s="217" t="s">
        <v>1232</v>
      </c>
      <c r="D1343" s="120"/>
      <c r="E1343" s="45">
        <f t="shared" si="74"/>
        <v>0</v>
      </c>
      <c r="F1343" s="127">
        <f t="shared" si="73"/>
        <v>0</v>
      </c>
      <c r="G1343" s="151">
        <f>'Etude de cas n°1'!D1343</f>
        <v>0</v>
      </c>
      <c r="H1343" s="218"/>
      <c r="I1343" s="218"/>
      <c r="J1343" s="218"/>
      <c r="K1343" s="218"/>
      <c r="L1343" s="218"/>
      <c r="M1343" s="218"/>
      <c r="N1343" s="218"/>
    </row>
    <row r="1344" spans="1:14" s="97" customFormat="1" ht="13.2" x14ac:dyDescent="0.25">
      <c r="A1344" s="201" t="s">
        <v>3282</v>
      </c>
      <c r="B1344" s="192" t="s">
        <v>3283</v>
      </c>
      <c r="C1344" s="217"/>
      <c r="D1344" s="120"/>
      <c r="E1344" s="45"/>
      <c r="F1344" s="127"/>
      <c r="G1344" s="151"/>
      <c r="H1344" s="218"/>
      <c r="I1344" s="218"/>
      <c r="J1344" s="218"/>
      <c r="K1344" s="218"/>
      <c r="L1344" s="218"/>
      <c r="M1344" s="218"/>
      <c r="N1344" s="218"/>
    </row>
    <row r="1345" spans="1:14" s="96" customFormat="1" ht="13.2" x14ac:dyDescent="0.25">
      <c r="A1345" s="201" t="s">
        <v>670</v>
      </c>
      <c r="B1345" s="192" t="s">
        <v>3284</v>
      </c>
      <c r="C1345" s="217" t="s">
        <v>1232</v>
      </c>
      <c r="D1345" s="120"/>
      <c r="E1345" s="45">
        <f t="shared" si="74"/>
        <v>0</v>
      </c>
      <c r="F1345" s="127">
        <f t="shared" si="73"/>
        <v>0</v>
      </c>
      <c r="G1345" s="151">
        <f>'Etude de cas n°1'!D1345</f>
        <v>0</v>
      </c>
      <c r="H1345" s="17"/>
      <c r="I1345" s="17"/>
      <c r="J1345" s="17"/>
      <c r="K1345" s="17"/>
      <c r="L1345" s="17"/>
      <c r="M1345" s="17"/>
      <c r="N1345" s="17"/>
    </row>
    <row r="1346" spans="1:14" s="97" customFormat="1" ht="13.2" x14ac:dyDescent="0.25">
      <c r="A1346" s="201" t="s">
        <v>671</v>
      </c>
      <c r="B1346" s="192" t="s">
        <v>3285</v>
      </c>
      <c r="C1346" s="217" t="s">
        <v>2109</v>
      </c>
      <c r="D1346" s="120"/>
      <c r="E1346" s="45">
        <f t="shared" si="74"/>
        <v>328.8</v>
      </c>
      <c r="F1346" s="127">
        <f t="shared" si="73"/>
        <v>0</v>
      </c>
      <c r="G1346" s="151">
        <f>'Etude de cas n°1'!D1346</f>
        <v>328.8</v>
      </c>
      <c r="H1346" s="218"/>
      <c r="I1346" s="218"/>
      <c r="J1346" s="218"/>
      <c r="K1346" s="218"/>
      <c r="L1346" s="218"/>
      <c r="M1346" s="218"/>
      <c r="N1346" s="218"/>
    </row>
    <row r="1347" spans="1:14" s="97" customFormat="1" ht="13.2" x14ac:dyDescent="0.25">
      <c r="A1347" s="201" t="s">
        <v>672</v>
      </c>
      <c r="B1347" s="192" t="s">
        <v>3286</v>
      </c>
      <c r="C1347" s="217"/>
      <c r="D1347" s="120"/>
      <c r="E1347" s="45"/>
      <c r="F1347" s="127"/>
      <c r="G1347" s="151"/>
      <c r="H1347" s="218"/>
      <c r="I1347" s="218"/>
      <c r="J1347" s="218"/>
      <c r="K1347" s="218"/>
      <c r="L1347" s="218"/>
      <c r="M1347" s="218"/>
      <c r="N1347" s="218"/>
    </row>
    <row r="1348" spans="1:14" s="97" customFormat="1" ht="13.2" x14ac:dyDescent="0.25">
      <c r="A1348" s="201" t="s">
        <v>3287</v>
      </c>
      <c r="B1348" s="192" t="s">
        <v>3288</v>
      </c>
      <c r="C1348" s="217" t="s">
        <v>1141</v>
      </c>
      <c r="D1348" s="120"/>
      <c r="E1348" s="45">
        <f t="shared" si="74"/>
        <v>90</v>
      </c>
      <c r="F1348" s="127">
        <f t="shared" si="73"/>
        <v>0</v>
      </c>
      <c r="G1348" s="151">
        <f>'Etude de cas n°1'!D1348</f>
        <v>90</v>
      </c>
      <c r="H1348" s="218"/>
      <c r="I1348" s="218"/>
      <c r="J1348" s="218"/>
      <c r="K1348" s="218"/>
      <c r="L1348" s="218"/>
      <c r="M1348" s="218"/>
      <c r="N1348" s="218"/>
    </row>
    <row r="1349" spans="1:14" s="97" customFormat="1" ht="13.2" x14ac:dyDescent="0.25">
      <c r="A1349" s="201" t="s">
        <v>3289</v>
      </c>
      <c r="B1349" s="192" t="s">
        <v>3290</v>
      </c>
      <c r="C1349" s="217" t="s">
        <v>3233</v>
      </c>
      <c r="D1349" s="120"/>
      <c r="E1349" s="45">
        <f t="shared" si="74"/>
        <v>216</v>
      </c>
      <c r="F1349" s="127">
        <f t="shared" si="73"/>
        <v>0</v>
      </c>
      <c r="G1349" s="151">
        <f>'Etude de cas n°1'!D1349</f>
        <v>216</v>
      </c>
      <c r="H1349" s="218"/>
      <c r="I1349" s="218"/>
      <c r="J1349" s="218"/>
      <c r="K1349" s="218"/>
      <c r="L1349" s="218"/>
      <c r="M1349" s="218"/>
      <c r="N1349" s="218"/>
    </row>
    <row r="1350" spans="1:14" s="97" customFormat="1" ht="13.2" x14ac:dyDescent="0.25">
      <c r="A1350" s="201" t="s">
        <v>673</v>
      </c>
      <c r="B1350" s="192" t="s">
        <v>3291</v>
      </c>
      <c r="C1350" s="217"/>
      <c r="D1350" s="120"/>
      <c r="E1350" s="45"/>
      <c r="F1350" s="127"/>
      <c r="G1350" s="151"/>
      <c r="H1350" s="218"/>
      <c r="I1350" s="218"/>
      <c r="J1350" s="218"/>
      <c r="K1350" s="218"/>
      <c r="L1350" s="218"/>
      <c r="M1350" s="218"/>
      <c r="N1350" s="218"/>
    </row>
    <row r="1351" spans="1:14" s="97" customFormat="1" ht="13.2" x14ac:dyDescent="0.25">
      <c r="A1351" s="201" t="s">
        <v>3292</v>
      </c>
      <c r="B1351" s="192" t="s">
        <v>3293</v>
      </c>
      <c r="C1351" s="217" t="s">
        <v>1141</v>
      </c>
      <c r="D1351" s="120"/>
      <c r="E1351" s="45">
        <f t="shared" si="74"/>
        <v>0</v>
      </c>
      <c r="F1351" s="127">
        <f t="shared" si="73"/>
        <v>0</v>
      </c>
      <c r="G1351" s="151">
        <f>'Etude de cas n°1'!D1351</f>
        <v>0</v>
      </c>
      <c r="H1351" s="218"/>
      <c r="I1351" s="218"/>
      <c r="J1351" s="218"/>
      <c r="K1351" s="218"/>
      <c r="L1351" s="218"/>
      <c r="M1351" s="218"/>
      <c r="N1351" s="218"/>
    </row>
    <row r="1352" spans="1:14" s="97" customFormat="1" ht="13.2" x14ac:dyDescent="0.25">
      <c r="A1352" s="201" t="s">
        <v>3294</v>
      </c>
      <c r="B1352" s="192" t="s">
        <v>3295</v>
      </c>
      <c r="C1352" s="217" t="s">
        <v>1141</v>
      </c>
      <c r="D1352" s="120"/>
      <c r="E1352" s="45">
        <f t="shared" si="74"/>
        <v>0</v>
      </c>
      <c r="F1352" s="127">
        <f t="shared" si="73"/>
        <v>0</v>
      </c>
      <c r="G1352" s="151">
        <f>'Etude de cas n°1'!D1352</f>
        <v>0</v>
      </c>
      <c r="H1352" s="218"/>
      <c r="I1352" s="218"/>
      <c r="J1352" s="218"/>
      <c r="K1352" s="218"/>
      <c r="L1352" s="218"/>
      <c r="M1352" s="218"/>
      <c r="N1352" s="218"/>
    </row>
    <row r="1353" spans="1:14" s="94" customFormat="1" ht="13.2" x14ac:dyDescent="0.25">
      <c r="A1353" s="201" t="s">
        <v>3296</v>
      </c>
      <c r="B1353" s="192" t="s">
        <v>3297</v>
      </c>
      <c r="C1353" s="217" t="s">
        <v>1141</v>
      </c>
      <c r="D1353" s="120"/>
      <c r="E1353" s="45">
        <f t="shared" si="74"/>
        <v>0</v>
      </c>
      <c r="F1353" s="127">
        <f t="shared" si="73"/>
        <v>0</v>
      </c>
      <c r="G1353" s="151">
        <f>'Etude de cas n°1'!D1353</f>
        <v>0</v>
      </c>
      <c r="H1353" s="19"/>
      <c r="I1353" s="19"/>
      <c r="J1353" s="19"/>
      <c r="K1353" s="19"/>
      <c r="L1353" s="19"/>
      <c r="M1353" s="19"/>
      <c r="N1353" s="19"/>
    </row>
    <row r="1354" spans="1:14" s="96" customFormat="1" ht="13.2" x14ac:dyDescent="0.25">
      <c r="A1354" s="203" t="s">
        <v>3298</v>
      </c>
      <c r="B1354" s="248" t="s">
        <v>3299</v>
      </c>
      <c r="C1354" s="238"/>
      <c r="D1354" s="249"/>
      <c r="E1354" s="45"/>
      <c r="F1354" s="127"/>
      <c r="H1354" s="17"/>
      <c r="I1354" s="17"/>
      <c r="J1354" s="17"/>
      <c r="K1354" s="17"/>
      <c r="L1354" s="17"/>
      <c r="M1354" s="17"/>
      <c r="N1354" s="17"/>
    </row>
    <row r="1355" spans="1:14" s="96" customFormat="1" ht="13.2" x14ac:dyDescent="0.25">
      <c r="A1355" s="201" t="s">
        <v>682</v>
      </c>
      <c r="B1355" s="250" t="s">
        <v>3300</v>
      </c>
      <c r="C1355" s="238" t="s">
        <v>1011</v>
      </c>
      <c r="D1355" s="249"/>
      <c r="E1355" s="45">
        <f t="shared" si="74"/>
        <v>0</v>
      </c>
      <c r="F1355" s="127">
        <f>D1355*E1355</f>
        <v>0</v>
      </c>
      <c r="G1355" s="151">
        <f>'Etude de cas n°1'!D1355</f>
        <v>0</v>
      </c>
      <c r="H1355" s="17"/>
      <c r="I1355" s="17"/>
      <c r="J1355" s="17"/>
      <c r="K1355" s="17"/>
      <c r="L1355" s="17"/>
      <c r="M1355" s="17"/>
      <c r="N1355" s="17"/>
    </row>
    <row r="1356" spans="1:14" s="96" customFormat="1" ht="13.2" x14ac:dyDescent="0.25">
      <c r="A1356" s="201" t="s">
        <v>683</v>
      </c>
      <c r="B1356" s="250" t="s">
        <v>3301</v>
      </c>
      <c r="C1356" s="238" t="s">
        <v>1034</v>
      </c>
      <c r="D1356" s="249"/>
      <c r="E1356" s="45">
        <f t="shared" si="74"/>
        <v>0</v>
      </c>
      <c r="F1356" s="127">
        <f t="shared" si="73"/>
        <v>0</v>
      </c>
      <c r="G1356" s="151">
        <f>'Etude de cas n°1'!D1356</f>
        <v>0</v>
      </c>
      <c r="H1356" s="17"/>
      <c r="I1356" s="17"/>
      <c r="J1356" s="17"/>
      <c r="K1356" s="17"/>
      <c r="L1356" s="17"/>
      <c r="M1356" s="17"/>
      <c r="N1356" s="17"/>
    </row>
    <row r="1357" spans="1:14" s="96" customFormat="1" ht="16.5" customHeight="1" x14ac:dyDescent="0.25">
      <c r="A1357" s="201" t="s">
        <v>684</v>
      </c>
      <c r="B1357" s="250" t="s">
        <v>3302</v>
      </c>
      <c r="C1357" s="238" t="s">
        <v>1011</v>
      </c>
      <c r="D1357" s="249"/>
      <c r="E1357" s="45">
        <f t="shared" si="74"/>
        <v>0</v>
      </c>
      <c r="F1357" s="127">
        <f t="shared" si="73"/>
        <v>0</v>
      </c>
      <c r="G1357" s="151">
        <f>'Etude de cas n°1'!D1357</f>
        <v>0</v>
      </c>
      <c r="H1357" s="17"/>
      <c r="I1357" s="17"/>
      <c r="J1357" s="17"/>
      <c r="K1357" s="17"/>
      <c r="L1357" s="17"/>
      <c r="M1357" s="17"/>
      <c r="N1357" s="17"/>
    </row>
    <row r="1358" spans="1:14" s="96" customFormat="1" ht="16.5" customHeight="1" x14ac:dyDescent="0.25">
      <c r="A1358" s="201" t="s">
        <v>3303</v>
      </c>
      <c r="B1358" s="250" t="s">
        <v>3304</v>
      </c>
      <c r="C1358" s="238" t="s">
        <v>1011</v>
      </c>
      <c r="D1358" s="249"/>
      <c r="E1358" s="45">
        <f t="shared" si="74"/>
        <v>0</v>
      </c>
      <c r="F1358" s="127">
        <f t="shared" si="73"/>
        <v>0</v>
      </c>
      <c r="G1358" s="151">
        <f>'Etude de cas n°1'!D1358</f>
        <v>0</v>
      </c>
      <c r="H1358" s="17"/>
      <c r="I1358" s="17"/>
      <c r="J1358" s="17"/>
      <c r="K1358" s="17"/>
      <c r="L1358" s="17"/>
      <c r="M1358" s="17"/>
      <c r="N1358" s="17"/>
    </row>
    <row r="1359" spans="1:14" s="96" customFormat="1" ht="16.5" customHeight="1" x14ac:dyDescent="0.25">
      <c r="A1359" s="201" t="s">
        <v>3305</v>
      </c>
      <c r="B1359" s="250" t="s">
        <v>3306</v>
      </c>
      <c r="C1359" s="238" t="s">
        <v>1034</v>
      </c>
      <c r="D1359" s="249"/>
      <c r="E1359" s="45">
        <f t="shared" si="74"/>
        <v>0</v>
      </c>
      <c r="F1359" s="127">
        <f t="shared" si="73"/>
        <v>0</v>
      </c>
      <c r="G1359" s="151">
        <f>'Etude de cas n°1'!D1359</f>
        <v>0</v>
      </c>
      <c r="H1359" s="17"/>
      <c r="I1359" s="17"/>
      <c r="J1359" s="17"/>
      <c r="K1359" s="17"/>
      <c r="L1359" s="17"/>
      <c r="M1359" s="17"/>
      <c r="N1359" s="17"/>
    </row>
    <row r="1360" spans="1:14" s="96" customFormat="1" ht="16.5" customHeight="1" x14ac:dyDescent="0.25">
      <c r="A1360" s="201" t="s">
        <v>3307</v>
      </c>
      <c r="B1360" s="250" t="s">
        <v>3308</v>
      </c>
      <c r="C1360" s="238" t="s">
        <v>1011</v>
      </c>
      <c r="D1360" s="249"/>
      <c r="E1360" s="45">
        <f t="shared" si="74"/>
        <v>0</v>
      </c>
      <c r="F1360" s="127">
        <f t="shared" si="73"/>
        <v>0</v>
      </c>
      <c r="G1360" s="151">
        <f>'Etude de cas n°1'!D1360</f>
        <v>0</v>
      </c>
      <c r="H1360" s="17"/>
      <c r="I1360" s="17"/>
      <c r="J1360" s="17"/>
      <c r="K1360" s="17"/>
      <c r="L1360" s="17"/>
      <c r="M1360" s="17"/>
      <c r="N1360" s="17"/>
    </row>
    <row r="1361" spans="1:14" s="96" customFormat="1" ht="16.5" customHeight="1" x14ac:dyDescent="0.25">
      <c r="A1361" s="203" t="s">
        <v>3309</v>
      </c>
      <c r="B1361" s="248" t="s">
        <v>3310</v>
      </c>
      <c r="C1361" s="238"/>
      <c r="D1361" s="249"/>
      <c r="E1361" s="45"/>
      <c r="F1361" s="127"/>
      <c r="G1361" s="238"/>
      <c r="H1361" s="17"/>
      <c r="I1361" s="17"/>
      <c r="J1361" s="17"/>
      <c r="K1361" s="17"/>
      <c r="L1361" s="17"/>
      <c r="M1361" s="17"/>
      <c r="N1361" s="17"/>
    </row>
    <row r="1362" spans="1:14" s="96" customFormat="1" ht="16.5" customHeight="1" x14ac:dyDescent="0.25">
      <c r="A1362" s="201" t="s">
        <v>685</v>
      </c>
      <c r="B1362" s="250" t="s">
        <v>3311</v>
      </c>
      <c r="C1362" s="238" t="s">
        <v>1034</v>
      </c>
      <c r="D1362" s="249"/>
      <c r="E1362" s="45">
        <f t="shared" si="74"/>
        <v>0</v>
      </c>
      <c r="F1362" s="127">
        <f t="shared" si="73"/>
        <v>0</v>
      </c>
      <c r="G1362" s="151">
        <f>'Etude de cas n°1'!D1362</f>
        <v>0</v>
      </c>
      <c r="H1362" s="17"/>
      <c r="I1362" s="17"/>
      <c r="J1362" s="17"/>
      <c r="K1362" s="17"/>
      <c r="L1362" s="17"/>
      <c r="M1362" s="17"/>
      <c r="N1362" s="17"/>
    </row>
    <row r="1363" spans="1:14" s="96" customFormat="1" ht="16.5" customHeight="1" x14ac:dyDescent="0.25">
      <c r="A1363" s="201" t="s">
        <v>686</v>
      </c>
      <c r="B1363" s="250" t="s">
        <v>3312</v>
      </c>
      <c r="C1363" s="238" t="s">
        <v>1034</v>
      </c>
      <c r="D1363" s="249"/>
      <c r="E1363" s="45">
        <f t="shared" si="74"/>
        <v>0</v>
      </c>
      <c r="F1363" s="127">
        <f t="shared" si="73"/>
        <v>0</v>
      </c>
      <c r="G1363" s="151">
        <f>'Etude de cas n°1'!D1363</f>
        <v>0</v>
      </c>
      <c r="H1363" s="17"/>
      <c r="I1363" s="17"/>
      <c r="J1363" s="17"/>
      <c r="K1363" s="17"/>
      <c r="L1363" s="17"/>
      <c r="M1363" s="17"/>
      <c r="N1363" s="17"/>
    </row>
    <row r="1364" spans="1:14" s="96" customFormat="1" ht="16.5" customHeight="1" x14ac:dyDescent="0.25">
      <c r="A1364" s="203" t="s">
        <v>3313</v>
      </c>
      <c r="B1364" s="248" t="s">
        <v>3314</v>
      </c>
      <c r="C1364" s="238"/>
      <c r="D1364" s="288"/>
      <c r="E1364" s="45"/>
      <c r="F1364" s="127"/>
      <c r="G1364" s="151"/>
      <c r="H1364" s="17"/>
      <c r="I1364" s="17"/>
      <c r="J1364" s="17"/>
      <c r="K1364" s="17"/>
      <c r="L1364" s="17"/>
      <c r="M1364" s="17"/>
      <c r="N1364" s="17"/>
    </row>
    <row r="1365" spans="1:14" s="96" customFormat="1" ht="16.5" customHeight="1" x14ac:dyDescent="0.25">
      <c r="A1365" s="201" t="s">
        <v>3315</v>
      </c>
      <c r="B1365" s="250" t="s">
        <v>3316</v>
      </c>
      <c r="C1365" s="238" t="s">
        <v>1034</v>
      </c>
      <c r="D1365" s="249"/>
      <c r="E1365" s="45">
        <f t="shared" si="74"/>
        <v>0</v>
      </c>
      <c r="F1365" s="127">
        <f t="shared" si="73"/>
        <v>0</v>
      </c>
      <c r="G1365" s="151">
        <f>'Etude de cas n°1'!D1365</f>
        <v>0</v>
      </c>
      <c r="H1365" s="17"/>
      <c r="I1365" s="17"/>
      <c r="J1365" s="17"/>
      <c r="K1365" s="17"/>
      <c r="L1365" s="17"/>
      <c r="M1365" s="17"/>
      <c r="N1365" s="17"/>
    </row>
    <row r="1366" spans="1:14" s="96" customFormat="1" ht="16.5" customHeight="1" x14ac:dyDescent="0.25">
      <c r="A1366" s="201" t="s">
        <v>3317</v>
      </c>
      <c r="B1366" s="250" t="s">
        <v>3318</v>
      </c>
      <c r="C1366" s="238" t="s">
        <v>1034</v>
      </c>
      <c r="D1366" s="249"/>
      <c r="E1366" s="45">
        <f t="shared" si="74"/>
        <v>0</v>
      </c>
      <c r="F1366" s="127">
        <f t="shared" si="73"/>
        <v>0</v>
      </c>
      <c r="G1366" s="151">
        <f>'Etude de cas n°1'!D1366</f>
        <v>0</v>
      </c>
      <c r="H1366" s="17"/>
      <c r="I1366" s="17"/>
      <c r="J1366" s="17"/>
      <c r="K1366" s="17"/>
      <c r="L1366" s="17"/>
      <c r="M1366" s="17"/>
      <c r="N1366" s="17"/>
    </row>
    <row r="1367" spans="1:14" s="96" customFormat="1" ht="16.5" customHeight="1" x14ac:dyDescent="0.25">
      <c r="A1367" s="203" t="s">
        <v>3319</v>
      </c>
      <c r="B1367" s="248" t="s">
        <v>3320</v>
      </c>
      <c r="C1367" s="238"/>
      <c r="D1367" s="249"/>
      <c r="E1367" s="45"/>
      <c r="F1367" s="127"/>
      <c r="G1367" s="151"/>
      <c r="H1367" s="17"/>
      <c r="I1367" s="17"/>
      <c r="J1367" s="17"/>
      <c r="K1367" s="17"/>
      <c r="L1367" s="17"/>
      <c r="M1367" s="17"/>
      <c r="N1367" s="17"/>
    </row>
    <row r="1368" spans="1:14" s="96" customFormat="1" ht="16.5" customHeight="1" x14ac:dyDescent="0.25">
      <c r="A1368" s="201" t="s">
        <v>3321</v>
      </c>
      <c r="B1368" s="250" t="s">
        <v>3322</v>
      </c>
      <c r="C1368" s="238" t="s">
        <v>1011</v>
      </c>
      <c r="D1368" s="249"/>
      <c r="E1368" s="45">
        <f t="shared" si="74"/>
        <v>0</v>
      </c>
      <c r="F1368" s="127">
        <f t="shared" ref="F1368:F1376" si="75">D1368*E1368</f>
        <v>0</v>
      </c>
      <c r="G1368" s="151">
        <f>'Etude de cas n°1'!D1368</f>
        <v>0</v>
      </c>
      <c r="H1368" s="17"/>
      <c r="I1368" s="17"/>
      <c r="J1368" s="17"/>
      <c r="K1368" s="17"/>
      <c r="L1368" s="17"/>
      <c r="M1368" s="17"/>
      <c r="N1368" s="17"/>
    </row>
    <row r="1369" spans="1:14" s="96" customFormat="1" ht="16.5" customHeight="1" x14ac:dyDescent="0.25">
      <c r="A1369" s="201" t="s">
        <v>3323</v>
      </c>
      <c r="B1369" s="250" t="s">
        <v>3324</v>
      </c>
      <c r="C1369" s="238" t="s">
        <v>1034</v>
      </c>
      <c r="D1369" s="249"/>
      <c r="E1369" s="45">
        <f t="shared" si="74"/>
        <v>0</v>
      </c>
      <c r="F1369" s="127">
        <f t="shared" si="75"/>
        <v>0</v>
      </c>
      <c r="G1369" s="151">
        <f>'Etude de cas n°1'!D1369</f>
        <v>0</v>
      </c>
      <c r="H1369" s="17"/>
      <c r="I1369" s="17"/>
      <c r="J1369" s="17"/>
      <c r="K1369" s="17"/>
      <c r="L1369" s="17"/>
      <c r="M1369" s="17"/>
      <c r="N1369" s="17"/>
    </row>
    <row r="1370" spans="1:14" s="96" customFormat="1" ht="16.5" customHeight="1" x14ac:dyDescent="0.25">
      <c r="A1370" s="201" t="s">
        <v>3325</v>
      </c>
      <c r="B1370" s="250" t="s">
        <v>3326</v>
      </c>
      <c r="C1370" s="238" t="s">
        <v>1011</v>
      </c>
      <c r="D1370" s="249"/>
      <c r="E1370" s="45">
        <f t="shared" si="74"/>
        <v>0</v>
      </c>
      <c r="F1370" s="127">
        <f t="shared" si="75"/>
        <v>0</v>
      </c>
      <c r="G1370" s="151">
        <f>'Etude de cas n°1'!D1370</f>
        <v>0</v>
      </c>
      <c r="H1370" s="17"/>
      <c r="I1370" s="17"/>
      <c r="J1370" s="17"/>
      <c r="K1370" s="17"/>
      <c r="L1370" s="17"/>
      <c r="M1370" s="17"/>
      <c r="N1370" s="17"/>
    </row>
    <row r="1371" spans="1:14" s="96" customFormat="1" ht="16.5" customHeight="1" x14ac:dyDescent="0.25">
      <c r="A1371" s="201" t="s">
        <v>3327</v>
      </c>
      <c r="B1371" s="250" t="s">
        <v>3328</v>
      </c>
      <c r="C1371" s="238" t="s">
        <v>1011</v>
      </c>
      <c r="D1371" s="249"/>
      <c r="E1371" s="45">
        <f t="shared" si="74"/>
        <v>0</v>
      </c>
      <c r="F1371" s="127">
        <f t="shared" si="75"/>
        <v>0</v>
      </c>
      <c r="G1371" s="151">
        <f>'Etude de cas n°1'!D1371</f>
        <v>0</v>
      </c>
      <c r="H1371" s="17"/>
      <c r="I1371" s="17"/>
      <c r="J1371" s="17"/>
      <c r="K1371" s="17"/>
      <c r="L1371" s="17"/>
      <c r="M1371" s="17"/>
      <c r="N1371" s="17"/>
    </row>
    <row r="1372" spans="1:14" s="96" customFormat="1" ht="16.5" customHeight="1" x14ac:dyDescent="0.25">
      <c r="A1372" s="201" t="s">
        <v>3329</v>
      </c>
      <c r="B1372" s="250" t="s">
        <v>3330</v>
      </c>
      <c r="C1372" s="238" t="s">
        <v>1034</v>
      </c>
      <c r="D1372" s="249"/>
      <c r="E1372" s="45">
        <f t="shared" si="74"/>
        <v>0</v>
      </c>
      <c r="F1372" s="127">
        <f t="shared" si="75"/>
        <v>0</v>
      </c>
      <c r="G1372" s="151">
        <f>'Etude de cas n°1'!D1372</f>
        <v>0</v>
      </c>
      <c r="H1372" s="17"/>
      <c r="I1372" s="17"/>
      <c r="J1372" s="17"/>
      <c r="K1372" s="17"/>
      <c r="L1372" s="17"/>
      <c r="M1372" s="17"/>
      <c r="N1372" s="17"/>
    </row>
    <row r="1373" spans="1:14" s="96" customFormat="1" ht="16.5" customHeight="1" x14ac:dyDescent="0.25">
      <c r="A1373" s="201" t="s">
        <v>3331</v>
      </c>
      <c r="B1373" s="250" t="s">
        <v>3332</v>
      </c>
      <c r="C1373" s="238" t="s">
        <v>1011</v>
      </c>
      <c r="D1373" s="249"/>
      <c r="E1373" s="45">
        <f t="shared" si="74"/>
        <v>0</v>
      </c>
      <c r="F1373" s="127">
        <f t="shared" si="75"/>
        <v>0</v>
      </c>
      <c r="G1373" s="151">
        <f>'Etude de cas n°1'!D1373</f>
        <v>0</v>
      </c>
      <c r="H1373" s="17"/>
      <c r="I1373" s="17"/>
      <c r="J1373" s="17"/>
      <c r="K1373" s="17"/>
      <c r="L1373" s="17"/>
      <c r="M1373" s="17"/>
      <c r="N1373" s="17"/>
    </row>
    <row r="1374" spans="1:14" s="96" customFormat="1" ht="16.5" customHeight="1" x14ac:dyDescent="0.25">
      <c r="A1374" s="201" t="s">
        <v>3333</v>
      </c>
      <c r="B1374" s="250" t="s">
        <v>3334</v>
      </c>
      <c r="C1374" s="238" t="s">
        <v>1011</v>
      </c>
      <c r="D1374" s="249"/>
      <c r="E1374" s="45">
        <f t="shared" si="74"/>
        <v>0</v>
      </c>
      <c r="F1374" s="127">
        <f t="shared" si="75"/>
        <v>0</v>
      </c>
      <c r="G1374" s="151">
        <f>'Etude de cas n°1'!D1374</f>
        <v>0</v>
      </c>
      <c r="H1374" s="17"/>
      <c r="I1374" s="17"/>
      <c r="J1374" s="17"/>
      <c r="K1374" s="17"/>
      <c r="L1374" s="17"/>
      <c r="M1374" s="17"/>
      <c r="N1374" s="17"/>
    </row>
    <row r="1375" spans="1:14" s="96" customFormat="1" ht="16.5" customHeight="1" x14ac:dyDescent="0.25">
      <c r="A1375" s="201" t="s">
        <v>3335</v>
      </c>
      <c r="B1375" s="250" t="s">
        <v>3336</v>
      </c>
      <c r="C1375" s="238" t="s">
        <v>1034</v>
      </c>
      <c r="D1375" s="249"/>
      <c r="E1375" s="45">
        <f t="shared" ref="E1375:E1376" si="76">G1375</f>
        <v>0</v>
      </c>
      <c r="F1375" s="127">
        <f t="shared" si="75"/>
        <v>0</v>
      </c>
      <c r="G1375" s="151">
        <f>'Etude de cas n°1'!D1375</f>
        <v>0</v>
      </c>
      <c r="H1375" s="17"/>
      <c r="I1375" s="17"/>
      <c r="J1375" s="17"/>
      <c r="K1375" s="17"/>
      <c r="L1375" s="17"/>
      <c r="M1375" s="17"/>
      <c r="N1375" s="17"/>
    </row>
    <row r="1376" spans="1:14" s="96" customFormat="1" ht="16.5" customHeight="1" x14ac:dyDescent="0.25">
      <c r="A1376" s="201" t="s">
        <v>3337</v>
      </c>
      <c r="B1376" s="251" t="s">
        <v>3338</v>
      </c>
      <c r="C1376" s="238" t="s">
        <v>1011</v>
      </c>
      <c r="D1376" s="249"/>
      <c r="E1376" s="45">
        <f t="shared" si="76"/>
        <v>0</v>
      </c>
      <c r="F1376" s="127">
        <f t="shared" si="75"/>
        <v>0</v>
      </c>
      <c r="G1376" s="151">
        <f>'Etude de cas n°1'!D1376</f>
        <v>0</v>
      </c>
      <c r="H1376" s="17"/>
      <c r="I1376" s="17"/>
      <c r="J1376" s="17"/>
      <c r="K1376" s="17"/>
      <c r="L1376" s="17"/>
      <c r="M1376" s="17"/>
      <c r="N1376" s="17"/>
    </row>
    <row r="1377" spans="1:14" s="96" customFormat="1" ht="26.4" x14ac:dyDescent="0.25">
      <c r="A1377" s="202"/>
      <c r="B1377" s="122" t="s">
        <v>3339</v>
      </c>
      <c r="C1377" s="217"/>
      <c r="D1377" s="136"/>
      <c r="E1377" s="217"/>
      <c r="F1377" s="158">
        <f>SUM(F1238:F1353)</f>
        <v>0</v>
      </c>
      <c r="G1377" s="151"/>
      <c r="H1377" s="17"/>
      <c r="I1377" s="17"/>
      <c r="J1377" s="17"/>
      <c r="K1377" s="17"/>
      <c r="L1377" s="17"/>
      <c r="M1377" s="17"/>
      <c r="N1377" s="17"/>
    </row>
    <row r="1378" spans="1:14" s="96" customFormat="1" ht="13.2" x14ac:dyDescent="0.25">
      <c r="A1378" s="202"/>
      <c r="B1378" s="216"/>
      <c r="C1378" s="217"/>
      <c r="D1378" s="136"/>
      <c r="E1378" s="217"/>
      <c r="F1378" s="217"/>
      <c r="G1378" s="151"/>
      <c r="H1378" s="17"/>
      <c r="I1378" s="17"/>
      <c r="J1378" s="17"/>
      <c r="K1378" s="17"/>
      <c r="L1378" s="17"/>
      <c r="M1378" s="17"/>
      <c r="N1378" s="17"/>
    </row>
    <row r="1379" spans="1:14" s="96" customFormat="1" ht="13.2" x14ac:dyDescent="0.25">
      <c r="A1379" s="29" t="s">
        <v>3340</v>
      </c>
      <c r="B1379" s="32" t="s">
        <v>3341</v>
      </c>
      <c r="C1379" s="224" t="s">
        <v>1883</v>
      </c>
      <c r="D1379" s="123"/>
      <c r="E1379" s="224" t="s">
        <v>1883</v>
      </c>
      <c r="F1379" s="224" t="s">
        <v>1883</v>
      </c>
      <c r="G1379" s="224" t="s">
        <v>1883</v>
      </c>
      <c r="H1379" s="17"/>
      <c r="I1379" s="17"/>
      <c r="J1379" s="17"/>
      <c r="K1379" s="17"/>
      <c r="L1379" s="17"/>
      <c r="M1379" s="17"/>
      <c r="N1379" s="17"/>
    </row>
    <row r="1380" spans="1:14" s="96" customFormat="1" ht="13.2" x14ac:dyDescent="0.25">
      <c r="A1380" s="27" t="s">
        <v>3342</v>
      </c>
      <c r="B1380" s="3" t="s">
        <v>3343</v>
      </c>
      <c r="C1380" s="217" t="s">
        <v>1883</v>
      </c>
      <c r="D1380" s="136"/>
      <c r="E1380" s="217" t="s">
        <v>1883</v>
      </c>
      <c r="F1380" s="217" t="s">
        <v>1883</v>
      </c>
      <c r="G1380" s="151" t="str">
        <f>'Etude de cas n°1'!D1380</f>
        <v/>
      </c>
      <c r="H1380" s="17"/>
      <c r="I1380" s="17"/>
      <c r="J1380" s="17"/>
      <c r="K1380" s="17"/>
      <c r="L1380" s="17"/>
      <c r="M1380" s="17"/>
      <c r="N1380" s="17"/>
    </row>
    <row r="1381" spans="1:14" s="96" customFormat="1" ht="13.2" x14ac:dyDescent="0.25">
      <c r="A1381" s="202" t="s">
        <v>690</v>
      </c>
      <c r="B1381" s="216" t="s">
        <v>3344</v>
      </c>
      <c r="C1381" s="217"/>
      <c r="D1381" s="136"/>
      <c r="E1381" s="217"/>
      <c r="F1381" s="217"/>
      <c r="G1381" s="151"/>
      <c r="H1381" s="17"/>
      <c r="I1381" s="17"/>
      <c r="J1381" s="17"/>
      <c r="K1381" s="17"/>
      <c r="L1381" s="17"/>
      <c r="M1381" s="17"/>
      <c r="N1381" s="17"/>
    </row>
    <row r="1382" spans="1:14" s="96" customFormat="1" ht="13.2" x14ac:dyDescent="0.25">
      <c r="A1382" s="202" t="s">
        <v>3345</v>
      </c>
      <c r="B1382" s="216" t="s">
        <v>3346</v>
      </c>
      <c r="C1382" s="217" t="s">
        <v>1141</v>
      </c>
      <c r="D1382" s="120"/>
      <c r="E1382" s="45">
        <f t="shared" ref="E1382:E1445" si="77">G1382</f>
        <v>0</v>
      </c>
      <c r="F1382" s="127">
        <f>D1382*E1382</f>
        <v>0</v>
      </c>
      <c r="G1382" s="151">
        <f>'Etude de cas n°1'!D1382</f>
        <v>0</v>
      </c>
      <c r="H1382" s="17"/>
      <c r="I1382" s="17"/>
      <c r="J1382" s="17"/>
      <c r="K1382" s="17"/>
      <c r="L1382" s="17"/>
      <c r="M1382" s="17"/>
      <c r="N1382" s="17"/>
    </row>
    <row r="1383" spans="1:14" s="96" customFormat="1" ht="13.2" x14ac:dyDescent="0.25">
      <c r="A1383" s="202" t="s">
        <v>3347</v>
      </c>
      <c r="B1383" s="216" t="s">
        <v>3348</v>
      </c>
      <c r="C1383" s="217" t="s">
        <v>1141</v>
      </c>
      <c r="D1383" s="120"/>
      <c r="E1383" s="45">
        <f t="shared" si="77"/>
        <v>0</v>
      </c>
      <c r="F1383" s="127">
        <f t="shared" ref="F1383:F1446" si="78">D1383*E1383</f>
        <v>0</v>
      </c>
      <c r="G1383" s="151">
        <f>'Etude de cas n°1'!D1383</f>
        <v>0</v>
      </c>
      <c r="H1383" s="17"/>
      <c r="I1383" s="17"/>
      <c r="J1383" s="17"/>
      <c r="K1383" s="17"/>
      <c r="L1383" s="17"/>
      <c r="M1383" s="17"/>
      <c r="N1383" s="17"/>
    </row>
    <row r="1384" spans="1:14" s="96" customFormat="1" ht="13.2" x14ac:dyDescent="0.25">
      <c r="A1384" s="202" t="s">
        <v>3349</v>
      </c>
      <c r="B1384" s="216" t="s">
        <v>2151</v>
      </c>
      <c r="C1384" s="217" t="s">
        <v>1141</v>
      </c>
      <c r="D1384" s="120"/>
      <c r="E1384" s="45">
        <f t="shared" si="77"/>
        <v>0</v>
      </c>
      <c r="F1384" s="127">
        <f t="shared" si="78"/>
        <v>0</v>
      </c>
      <c r="G1384" s="151">
        <f>'Etude de cas n°1'!D1384</f>
        <v>0</v>
      </c>
      <c r="H1384" s="17"/>
      <c r="I1384" s="17"/>
      <c r="J1384" s="17"/>
      <c r="K1384" s="17"/>
      <c r="L1384" s="17"/>
      <c r="M1384" s="17"/>
      <c r="N1384" s="17"/>
    </row>
    <row r="1385" spans="1:14" s="96" customFormat="1" ht="13.2" x14ac:dyDescent="0.25">
      <c r="A1385" s="202" t="s">
        <v>691</v>
      </c>
      <c r="B1385" s="216" t="s">
        <v>3350</v>
      </c>
      <c r="C1385" s="217"/>
      <c r="D1385" s="120"/>
      <c r="E1385" s="45"/>
      <c r="F1385" s="127"/>
      <c r="G1385" s="151"/>
      <c r="H1385" s="17"/>
      <c r="I1385" s="17"/>
      <c r="J1385" s="17"/>
      <c r="K1385" s="17"/>
      <c r="L1385" s="17"/>
      <c r="M1385" s="17"/>
      <c r="N1385" s="17"/>
    </row>
    <row r="1386" spans="1:14" s="96" customFormat="1" ht="13.2" x14ac:dyDescent="0.25">
      <c r="A1386" s="202" t="s">
        <v>3351</v>
      </c>
      <c r="B1386" s="216" t="s">
        <v>3346</v>
      </c>
      <c r="C1386" s="217" t="s">
        <v>1141</v>
      </c>
      <c r="D1386" s="120"/>
      <c r="E1386" s="45">
        <f t="shared" si="77"/>
        <v>0</v>
      </c>
      <c r="F1386" s="127">
        <f t="shared" si="78"/>
        <v>0</v>
      </c>
      <c r="G1386" s="151">
        <f>'Etude de cas n°1'!D1386</f>
        <v>0</v>
      </c>
      <c r="H1386" s="17"/>
      <c r="I1386" s="17"/>
      <c r="J1386" s="17"/>
      <c r="K1386" s="17"/>
      <c r="L1386" s="17"/>
      <c r="M1386" s="17"/>
      <c r="N1386" s="17"/>
    </row>
    <row r="1387" spans="1:14" s="96" customFormat="1" ht="13.2" x14ac:dyDescent="0.25">
      <c r="A1387" s="202" t="s">
        <v>3352</v>
      </c>
      <c r="B1387" s="216" t="s">
        <v>3348</v>
      </c>
      <c r="C1387" s="217" t="s">
        <v>1141</v>
      </c>
      <c r="D1387" s="120"/>
      <c r="E1387" s="45">
        <f t="shared" si="77"/>
        <v>0</v>
      </c>
      <c r="F1387" s="127">
        <f t="shared" si="78"/>
        <v>0</v>
      </c>
      <c r="G1387" s="151">
        <f>'Etude de cas n°1'!D1387</f>
        <v>0</v>
      </c>
      <c r="H1387" s="17"/>
      <c r="I1387" s="17"/>
      <c r="J1387" s="17"/>
      <c r="K1387" s="17"/>
      <c r="L1387" s="17"/>
      <c r="M1387" s="17"/>
      <c r="N1387" s="17"/>
    </row>
    <row r="1388" spans="1:14" s="96" customFormat="1" ht="13.2" x14ac:dyDescent="0.25">
      <c r="A1388" s="202" t="s">
        <v>3353</v>
      </c>
      <c r="B1388" s="216" t="s">
        <v>2151</v>
      </c>
      <c r="C1388" s="217" t="s">
        <v>1141</v>
      </c>
      <c r="D1388" s="120"/>
      <c r="E1388" s="45">
        <f t="shared" si="77"/>
        <v>0</v>
      </c>
      <c r="F1388" s="127">
        <f t="shared" si="78"/>
        <v>0</v>
      </c>
      <c r="G1388" s="151">
        <f>'Etude de cas n°1'!D1388</f>
        <v>0</v>
      </c>
      <c r="H1388" s="17"/>
      <c r="I1388" s="17"/>
      <c r="J1388" s="17"/>
      <c r="K1388" s="17"/>
      <c r="L1388" s="17"/>
      <c r="M1388" s="17"/>
      <c r="N1388" s="17"/>
    </row>
    <row r="1389" spans="1:14" s="96" customFormat="1" ht="13.2" x14ac:dyDescent="0.25">
      <c r="A1389" s="202" t="s">
        <v>692</v>
      </c>
      <c r="B1389" s="216" t="s">
        <v>3354</v>
      </c>
      <c r="C1389" s="217"/>
      <c r="D1389" s="120"/>
      <c r="E1389" s="45"/>
      <c r="F1389" s="127"/>
      <c r="G1389" s="151"/>
      <c r="H1389" s="17"/>
      <c r="I1389" s="17"/>
      <c r="J1389" s="17"/>
      <c r="K1389" s="17"/>
      <c r="L1389" s="17"/>
      <c r="M1389" s="17"/>
      <c r="N1389" s="17"/>
    </row>
    <row r="1390" spans="1:14" s="96" customFormat="1" ht="13.2" x14ac:dyDescent="0.25">
      <c r="A1390" s="202" t="s">
        <v>3355</v>
      </c>
      <c r="B1390" s="216" t="s">
        <v>3346</v>
      </c>
      <c r="C1390" s="217" t="s">
        <v>1141</v>
      </c>
      <c r="D1390" s="120"/>
      <c r="E1390" s="45">
        <f t="shared" si="77"/>
        <v>0</v>
      </c>
      <c r="F1390" s="127">
        <f t="shared" si="78"/>
        <v>0</v>
      </c>
      <c r="G1390" s="151">
        <f>'Etude de cas n°1'!D1390</f>
        <v>0</v>
      </c>
      <c r="H1390" s="17"/>
      <c r="I1390" s="17"/>
      <c r="J1390" s="17"/>
      <c r="K1390" s="17"/>
      <c r="L1390" s="17"/>
      <c r="M1390" s="17"/>
      <c r="N1390" s="17"/>
    </row>
    <row r="1391" spans="1:14" s="96" customFormat="1" ht="13.2" x14ac:dyDescent="0.25">
      <c r="A1391" s="202" t="s">
        <v>3356</v>
      </c>
      <c r="B1391" s="216" t="s">
        <v>3348</v>
      </c>
      <c r="C1391" s="217" t="s">
        <v>1141</v>
      </c>
      <c r="D1391" s="120"/>
      <c r="E1391" s="45">
        <f t="shared" si="77"/>
        <v>0</v>
      </c>
      <c r="F1391" s="127">
        <f t="shared" si="78"/>
        <v>0</v>
      </c>
      <c r="G1391" s="151">
        <f>'Etude de cas n°1'!D1391</f>
        <v>0</v>
      </c>
      <c r="H1391" s="17"/>
      <c r="I1391" s="17"/>
      <c r="J1391" s="17"/>
      <c r="K1391" s="17"/>
      <c r="L1391" s="17"/>
      <c r="M1391" s="17"/>
      <c r="N1391" s="17"/>
    </row>
    <row r="1392" spans="1:14" s="96" customFormat="1" ht="13.2" x14ac:dyDescent="0.25">
      <c r="A1392" s="202" t="s">
        <v>3357</v>
      </c>
      <c r="B1392" s="216" t="s">
        <v>2151</v>
      </c>
      <c r="C1392" s="217" t="s">
        <v>1141</v>
      </c>
      <c r="D1392" s="120"/>
      <c r="E1392" s="45">
        <f t="shared" si="77"/>
        <v>0</v>
      </c>
      <c r="F1392" s="127">
        <f t="shared" si="78"/>
        <v>0</v>
      </c>
      <c r="G1392" s="151">
        <f>'Etude de cas n°1'!D1392</f>
        <v>0</v>
      </c>
      <c r="H1392" s="17"/>
      <c r="I1392" s="17"/>
      <c r="J1392" s="17"/>
      <c r="K1392" s="17"/>
      <c r="L1392" s="17"/>
      <c r="M1392" s="17"/>
      <c r="N1392" s="17"/>
    </row>
    <row r="1393" spans="1:14" s="96" customFormat="1" ht="13.2" x14ac:dyDescent="0.25">
      <c r="A1393" s="27" t="s">
        <v>3358</v>
      </c>
      <c r="B1393" s="3" t="s">
        <v>3359</v>
      </c>
      <c r="C1393" s="217" t="s">
        <v>1883</v>
      </c>
      <c r="D1393" s="120"/>
      <c r="E1393" s="45"/>
      <c r="F1393" s="127"/>
      <c r="G1393" s="151"/>
      <c r="H1393" s="17"/>
      <c r="I1393" s="17"/>
      <c r="J1393" s="17"/>
      <c r="K1393" s="17"/>
      <c r="L1393" s="17"/>
      <c r="M1393" s="17"/>
      <c r="N1393" s="17"/>
    </row>
    <row r="1394" spans="1:14" s="96" customFormat="1" ht="13.2" x14ac:dyDescent="0.25">
      <c r="A1394" s="202" t="s">
        <v>3360</v>
      </c>
      <c r="B1394" s="216" t="s">
        <v>3361</v>
      </c>
      <c r="C1394" s="217"/>
      <c r="D1394" s="120"/>
      <c r="E1394" s="45"/>
      <c r="F1394" s="127"/>
      <c r="G1394" s="151"/>
      <c r="H1394" s="17"/>
      <c r="I1394" s="17"/>
      <c r="J1394" s="17"/>
      <c r="K1394" s="17"/>
      <c r="L1394" s="17"/>
      <c r="M1394" s="17"/>
      <c r="N1394" s="17"/>
    </row>
    <row r="1395" spans="1:14" s="96" customFormat="1" ht="13.2" x14ac:dyDescent="0.25">
      <c r="A1395" s="202" t="s">
        <v>694</v>
      </c>
      <c r="B1395" s="216" t="s">
        <v>3362</v>
      </c>
      <c r="C1395" s="217" t="s">
        <v>2109</v>
      </c>
      <c r="D1395" s="120"/>
      <c r="E1395" s="45">
        <f t="shared" si="77"/>
        <v>0</v>
      </c>
      <c r="F1395" s="127">
        <f t="shared" si="78"/>
        <v>0</v>
      </c>
      <c r="G1395" s="151">
        <f>'Etude de cas n°1'!D1395</f>
        <v>0</v>
      </c>
      <c r="H1395" s="17"/>
      <c r="I1395" s="17"/>
      <c r="J1395" s="17"/>
      <c r="K1395" s="17"/>
      <c r="L1395" s="17"/>
      <c r="M1395" s="17"/>
      <c r="N1395" s="17"/>
    </row>
    <row r="1396" spans="1:14" s="96" customFormat="1" ht="13.2" x14ac:dyDescent="0.25">
      <c r="A1396" s="202" t="s">
        <v>695</v>
      </c>
      <c r="B1396" s="216" t="s">
        <v>3363</v>
      </c>
      <c r="C1396" s="217" t="s">
        <v>2109</v>
      </c>
      <c r="D1396" s="120"/>
      <c r="E1396" s="45">
        <f t="shared" si="77"/>
        <v>0</v>
      </c>
      <c r="F1396" s="127">
        <f t="shared" si="78"/>
        <v>0</v>
      </c>
      <c r="G1396" s="151">
        <f>'Etude de cas n°1'!D1396</f>
        <v>0</v>
      </c>
      <c r="H1396" s="17"/>
      <c r="I1396" s="17"/>
      <c r="J1396" s="17"/>
      <c r="K1396" s="17"/>
      <c r="L1396" s="17"/>
      <c r="M1396" s="17"/>
      <c r="N1396" s="17"/>
    </row>
    <row r="1397" spans="1:14" s="96" customFormat="1" ht="13.2" x14ac:dyDescent="0.25">
      <c r="A1397" s="202" t="s">
        <v>696</v>
      </c>
      <c r="B1397" s="216" t="s">
        <v>3364</v>
      </c>
      <c r="C1397" s="217" t="s">
        <v>2109</v>
      </c>
      <c r="D1397" s="120"/>
      <c r="E1397" s="45">
        <f t="shared" si="77"/>
        <v>0</v>
      </c>
      <c r="F1397" s="127">
        <f t="shared" si="78"/>
        <v>0</v>
      </c>
      <c r="G1397" s="151">
        <f>'Etude de cas n°1'!D1397</f>
        <v>0</v>
      </c>
      <c r="H1397" s="17"/>
      <c r="I1397" s="17"/>
      <c r="J1397" s="17"/>
      <c r="K1397" s="17"/>
      <c r="L1397" s="17"/>
      <c r="M1397" s="17"/>
      <c r="N1397" s="17"/>
    </row>
    <row r="1398" spans="1:14" s="96" customFormat="1" ht="13.2" x14ac:dyDescent="0.25">
      <c r="A1398" s="202" t="s">
        <v>3365</v>
      </c>
      <c r="B1398" s="216" t="s">
        <v>3366</v>
      </c>
      <c r="C1398" s="217"/>
      <c r="D1398" s="120"/>
      <c r="E1398" s="45"/>
      <c r="F1398" s="127"/>
      <c r="G1398" s="151"/>
      <c r="H1398" s="17"/>
      <c r="I1398" s="17"/>
      <c r="J1398" s="17"/>
      <c r="K1398" s="17"/>
      <c r="L1398" s="17"/>
      <c r="M1398" s="17"/>
      <c r="N1398" s="17"/>
    </row>
    <row r="1399" spans="1:14" s="96" customFormat="1" ht="13.2" x14ac:dyDescent="0.25">
      <c r="A1399" s="202" t="s">
        <v>703</v>
      </c>
      <c r="B1399" s="216" t="s">
        <v>3362</v>
      </c>
      <c r="C1399" s="217" t="s">
        <v>2109</v>
      </c>
      <c r="D1399" s="120"/>
      <c r="E1399" s="45">
        <f t="shared" si="77"/>
        <v>0</v>
      </c>
      <c r="F1399" s="127">
        <f t="shared" si="78"/>
        <v>0</v>
      </c>
      <c r="G1399" s="151">
        <f>'Etude de cas n°1'!D1399</f>
        <v>0</v>
      </c>
      <c r="H1399" s="17"/>
      <c r="I1399" s="17"/>
      <c r="J1399" s="17"/>
      <c r="K1399" s="17"/>
      <c r="L1399" s="17"/>
      <c r="M1399" s="17"/>
      <c r="N1399" s="17"/>
    </row>
    <row r="1400" spans="1:14" s="96" customFormat="1" ht="13.2" x14ac:dyDescent="0.25">
      <c r="A1400" s="202" t="s">
        <v>704</v>
      </c>
      <c r="B1400" s="216" t="s">
        <v>3363</v>
      </c>
      <c r="C1400" s="217" t="s">
        <v>2109</v>
      </c>
      <c r="D1400" s="120"/>
      <c r="E1400" s="45">
        <f t="shared" si="77"/>
        <v>0</v>
      </c>
      <c r="F1400" s="127">
        <f t="shared" si="78"/>
        <v>0</v>
      </c>
      <c r="G1400" s="151">
        <f>'Etude de cas n°1'!D1400</f>
        <v>0</v>
      </c>
      <c r="H1400" s="17"/>
      <c r="I1400" s="17"/>
      <c r="J1400" s="17"/>
      <c r="K1400" s="17"/>
      <c r="L1400" s="17"/>
      <c r="M1400" s="17"/>
      <c r="N1400" s="17"/>
    </row>
    <row r="1401" spans="1:14" s="96" customFormat="1" ht="13.2" x14ac:dyDescent="0.25">
      <c r="A1401" s="202" t="s">
        <v>705</v>
      </c>
      <c r="B1401" s="216" t="s">
        <v>3364</v>
      </c>
      <c r="C1401" s="217" t="s">
        <v>2109</v>
      </c>
      <c r="D1401" s="120"/>
      <c r="E1401" s="45">
        <f t="shared" si="77"/>
        <v>0</v>
      </c>
      <c r="F1401" s="127">
        <f t="shared" si="78"/>
        <v>0</v>
      </c>
      <c r="G1401" s="151">
        <f>'Etude de cas n°1'!D1401</f>
        <v>0</v>
      </c>
      <c r="H1401" s="17"/>
      <c r="I1401" s="17"/>
      <c r="J1401" s="17"/>
      <c r="K1401" s="17"/>
      <c r="L1401" s="17"/>
      <c r="M1401" s="17"/>
      <c r="N1401" s="17"/>
    </row>
    <row r="1402" spans="1:14" s="96" customFormat="1" ht="13.2" x14ac:dyDescent="0.25">
      <c r="A1402" s="202" t="s">
        <v>708</v>
      </c>
      <c r="B1402" s="216" t="s">
        <v>3367</v>
      </c>
      <c r="C1402" s="217"/>
      <c r="D1402" s="120"/>
      <c r="E1402" s="45"/>
      <c r="F1402" s="127"/>
      <c r="G1402" s="151"/>
      <c r="H1402" s="17"/>
      <c r="I1402" s="17"/>
      <c r="J1402" s="17"/>
      <c r="K1402" s="17"/>
      <c r="L1402" s="17"/>
      <c r="M1402" s="17"/>
      <c r="N1402" s="17"/>
    </row>
    <row r="1403" spans="1:14" s="96" customFormat="1" ht="13.2" x14ac:dyDescent="0.25">
      <c r="A1403" s="202" t="s">
        <v>3368</v>
      </c>
      <c r="B1403" s="216" t="s">
        <v>3362</v>
      </c>
      <c r="C1403" s="217" t="s">
        <v>2109</v>
      </c>
      <c r="D1403" s="120"/>
      <c r="E1403" s="45">
        <f t="shared" si="77"/>
        <v>0</v>
      </c>
      <c r="F1403" s="127">
        <f t="shared" si="78"/>
        <v>0</v>
      </c>
      <c r="G1403" s="151">
        <f>'Etude de cas n°1'!D1403</f>
        <v>0</v>
      </c>
      <c r="H1403" s="17"/>
      <c r="I1403" s="17"/>
      <c r="J1403" s="17"/>
      <c r="K1403" s="17"/>
      <c r="L1403" s="17"/>
      <c r="M1403" s="17"/>
      <c r="N1403" s="17"/>
    </row>
    <row r="1404" spans="1:14" s="96" customFormat="1" ht="13.2" x14ac:dyDescent="0.25">
      <c r="A1404" s="202" t="s">
        <v>3369</v>
      </c>
      <c r="B1404" s="216" t="s">
        <v>3363</v>
      </c>
      <c r="C1404" s="217" t="s">
        <v>2109</v>
      </c>
      <c r="D1404" s="120"/>
      <c r="E1404" s="45">
        <f t="shared" si="77"/>
        <v>0</v>
      </c>
      <c r="F1404" s="127">
        <f t="shared" si="78"/>
        <v>0</v>
      </c>
      <c r="G1404" s="151">
        <f>'Etude de cas n°1'!D1404</f>
        <v>0</v>
      </c>
      <c r="H1404" s="17"/>
      <c r="I1404" s="17"/>
      <c r="J1404" s="17"/>
      <c r="K1404" s="17"/>
      <c r="L1404" s="17"/>
      <c r="M1404" s="17"/>
      <c r="N1404" s="17"/>
    </row>
    <row r="1405" spans="1:14" s="96" customFormat="1" ht="13.2" x14ac:dyDescent="0.25">
      <c r="A1405" s="202" t="s">
        <v>3370</v>
      </c>
      <c r="B1405" s="216" t="s">
        <v>3364</v>
      </c>
      <c r="C1405" s="217" t="s">
        <v>2109</v>
      </c>
      <c r="D1405" s="120"/>
      <c r="E1405" s="45">
        <f t="shared" si="77"/>
        <v>0</v>
      </c>
      <c r="F1405" s="127">
        <f t="shared" si="78"/>
        <v>0</v>
      </c>
      <c r="G1405" s="151">
        <f>'Etude de cas n°1'!D1405</f>
        <v>0</v>
      </c>
      <c r="H1405" s="17"/>
      <c r="I1405" s="17"/>
      <c r="J1405" s="17"/>
      <c r="K1405" s="17"/>
      <c r="L1405" s="17"/>
      <c r="M1405" s="17"/>
      <c r="N1405" s="17"/>
    </row>
    <row r="1406" spans="1:14" s="96" customFormat="1" ht="13.2" x14ac:dyDescent="0.25">
      <c r="A1406" s="27" t="s">
        <v>3371</v>
      </c>
      <c r="B1406" s="3" t="s">
        <v>3372</v>
      </c>
      <c r="C1406" s="217" t="s">
        <v>1883</v>
      </c>
      <c r="D1406" s="120"/>
      <c r="E1406" s="45"/>
      <c r="F1406" s="127"/>
      <c r="G1406" s="151"/>
      <c r="H1406" s="17"/>
      <c r="I1406" s="17"/>
      <c r="J1406" s="17"/>
      <c r="K1406" s="17"/>
      <c r="L1406" s="17"/>
      <c r="M1406" s="17"/>
      <c r="N1406" s="17"/>
    </row>
    <row r="1407" spans="1:14" s="96" customFormat="1" ht="13.2" x14ac:dyDescent="0.25">
      <c r="A1407" s="202" t="s">
        <v>710</v>
      </c>
      <c r="B1407" s="216" t="s">
        <v>3373</v>
      </c>
      <c r="C1407" s="217" t="s">
        <v>1232</v>
      </c>
      <c r="D1407" s="120"/>
      <c r="E1407" s="45">
        <f t="shared" si="77"/>
        <v>0</v>
      </c>
      <c r="F1407" s="127">
        <f t="shared" si="78"/>
        <v>0</v>
      </c>
      <c r="G1407" s="151">
        <f>'Etude de cas n°1'!D1407</f>
        <v>0</v>
      </c>
      <c r="H1407" s="17"/>
      <c r="I1407" s="17"/>
      <c r="J1407" s="17"/>
      <c r="K1407" s="17"/>
      <c r="L1407" s="17"/>
      <c r="M1407" s="17"/>
      <c r="N1407" s="17"/>
    </row>
    <row r="1408" spans="1:14" s="96" customFormat="1" ht="13.2" x14ac:dyDescent="0.25">
      <c r="A1408" s="202" t="s">
        <v>711</v>
      </c>
      <c r="B1408" s="216" t="s">
        <v>3374</v>
      </c>
      <c r="C1408" s="217" t="s">
        <v>1232</v>
      </c>
      <c r="D1408" s="120"/>
      <c r="E1408" s="45">
        <f t="shared" si="77"/>
        <v>0</v>
      </c>
      <c r="F1408" s="127">
        <f t="shared" si="78"/>
        <v>0</v>
      </c>
      <c r="G1408" s="151">
        <f>'Etude de cas n°1'!D1408</f>
        <v>0</v>
      </c>
      <c r="H1408" s="17"/>
      <c r="I1408" s="17"/>
      <c r="J1408" s="17"/>
      <c r="K1408" s="17"/>
      <c r="L1408" s="17"/>
      <c r="M1408" s="17"/>
      <c r="N1408" s="17"/>
    </row>
    <row r="1409" spans="1:14" s="96" customFormat="1" ht="13.2" x14ac:dyDescent="0.25">
      <c r="A1409" s="202" t="s">
        <v>712</v>
      </c>
      <c r="B1409" s="216" t="s">
        <v>3375</v>
      </c>
      <c r="C1409" s="217" t="s">
        <v>1232</v>
      </c>
      <c r="D1409" s="120"/>
      <c r="E1409" s="45">
        <f t="shared" si="77"/>
        <v>0</v>
      </c>
      <c r="F1409" s="127">
        <f t="shared" si="78"/>
        <v>0</v>
      </c>
      <c r="G1409" s="151">
        <f>'Etude de cas n°1'!D1409</f>
        <v>0</v>
      </c>
      <c r="H1409" s="17"/>
      <c r="I1409" s="17"/>
      <c r="J1409" s="17"/>
      <c r="K1409" s="17"/>
      <c r="L1409" s="17"/>
      <c r="M1409" s="17"/>
      <c r="N1409" s="17"/>
    </row>
    <row r="1410" spans="1:14" s="96" customFormat="1" ht="13.2" x14ac:dyDescent="0.25">
      <c r="A1410" s="202" t="s">
        <v>713</v>
      </c>
      <c r="B1410" s="216" t="s">
        <v>3376</v>
      </c>
      <c r="C1410" s="217" t="s">
        <v>1232</v>
      </c>
      <c r="D1410" s="120"/>
      <c r="E1410" s="45">
        <f t="shared" si="77"/>
        <v>0</v>
      </c>
      <c r="F1410" s="127">
        <f t="shared" si="78"/>
        <v>0</v>
      </c>
      <c r="G1410" s="151">
        <f>'Etude de cas n°1'!D1410</f>
        <v>0</v>
      </c>
      <c r="H1410" s="17"/>
      <c r="I1410" s="17"/>
      <c r="J1410" s="17"/>
      <c r="K1410" s="17"/>
      <c r="L1410" s="17"/>
      <c r="M1410" s="17"/>
      <c r="N1410" s="17"/>
    </row>
    <row r="1411" spans="1:14" s="96" customFormat="1" ht="13.2" x14ac:dyDescent="0.25">
      <c r="A1411" s="202" t="s">
        <v>3377</v>
      </c>
      <c r="B1411" s="216" t="s">
        <v>3378</v>
      </c>
      <c r="C1411" s="217" t="s">
        <v>1232</v>
      </c>
      <c r="D1411" s="120"/>
      <c r="E1411" s="45">
        <f t="shared" si="77"/>
        <v>0</v>
      </c>
      <c r="F1411" s="127">
        <f t="shared" si="78"/>
        <v>0</v>
      </c>
      <c r="G1411" s="151">
        <f>'Etude de cas n°1'!D1411</f>
        <v>0</v>
      </c>
      <c r="H1411" s="17"/>
      <c r="I1411" s="17"/>
      <c r="J1411" s="17"/>
      <c r="K1411" s="17"/>
      <c r="L1411" s="17"/>
      <c r="M1411" s="17"/>
      <c r="N1411" s="17"/>
    </row>
    <row r="1412" spans="1:14" s="96" customFormat="1" ht="13.2" x14ac:dyDescent="0.25">
      <c r="A1412" s="202" t="s">
        <v>3379</v>
      </c>
      <c r="B1412" s="216" t="s">
        <v>3380</v>
      </c>
      <c r="C1412" s="217" t="s">
        <v>1232</v>
      </c>
      <c r="D1412" s="120"/>
      <c r="E1412" s="45">
        <f t="shared" si="77"/>
        <v>0</v>
      </c>
      <c r="F1412" s="127">
        <f t="shared" si="78"/>
        <v>0</v>
      </c>
      <c r="G1412" s="151">
        <f>'Etude de cas n°1'!D1412</f>
        <v>0</v>
      </c>
      <c r="H1412" s="17"/>
      <c r="I1412" s="17"/>
      <c r="J1412" s="17"/>
      <c r="K1412" s="17"/>
      <c r="L1412" s="17"/>
      <c r="M1412" s="17"/>
      <c r="N1412" s="17"/>
    </row>
    <row r="1413" spans="1:14" s="96" customFormat="1" ht="13.2" x14ac:dyDescent="0.25">
      <c r="A1413" s="27" t="s">
        <v>3381</v>
      </c>
      <c r="B1413" s="3" t="s">
        <v>3382</v>
      </c>
      <c r="C1413" s="217" t="s">
        <v>1883</v>
      </c>
      <c r="D1413" s="120"/>
      <c r="E1413" s="45"/>
      <c r="F1413" s="127"/>
      <c r="G1413" s="151"/>
      <c r="H1413" s="17"/>
      <c r="I1413" s="17"/>
      <c r="J1413" s="17"/>
      <c r="K1413" s="17"/>
      <c r="L1413" s="17"/>
      <c r="M1413" s="17"/>
      <c r="N1413" s="17"/>
    </row>
    <row r="1414" spans="1:14" s="96" customFormat="1" ht="13.2" x14ac:dyDescent="0.25">
      <c r="A1414" s="202" t="s">
        <v>714</v>
      </c>
      <c r="B1414" s="216" t="s">
        <v>3383</v>
      </c>
      <c r="C1414" s="217" t="s">
        <v>1141</v>
      </c>
      <c r="D1414" s="120"/>
      <c r="E1414" s="45">
        <f t="shared" si="77"/>
        <v>0</v>
      </c>
      <c r="F1414" s="127">
        <f t="shared" si="78"/>
        <v>0</v>
      </c>
      <c r="G1414" s="151">
        <f>'Etude de cas n°1'!D1414</f>
        <v>0</v>
      </c>
      <c r="H1414" s="17"/>
      <c r="I1414" s="17"/>
      <c r="J1414" s="17"/>
      <c r="K1414" s="17"/>
      <c r="L1414" s="17"/>
      <c r="M1414" s="17"/>
      <c r="N1414" s="17"/>
    </row>
    <row r="1415" spans="1:14" s="96" customFormat="1" ht="13.2" x14ac:dyDescent="0.25">
      <c r="A1415" s="202" t="s">
        <v>715</v>
      </c>
      <c r="B1415" s="216" t="s">
        <v>3384</v>
      </c>
      <c r="C1415" s="217" t="s">
        <v>1141</v>
      </c>
      <c r="D1415" s="120"/>
      <c r="E1415" s="45">
        <f t="shared" si="77"/>
        <v>0</v>
      </c>
      <c r="F1415" s="127">
        <f t="shared" si="78"/>
        <v>0</v>
      </c>
      <c r="G1415" s="151">
        <f>'Etude de cas n°1'!D1415</f>
        <v>0</v>
      </c>
      <c r="H1415" s="17"/>
      <c r="I1415" s="17"/>
      <c r="J1415" s="17"/>
      <c r="K1415" s="17"/>
      <c r="L1415" s="17"/>
      <c r="M1415" s="17"/>
      <c r="N1415" s="17"/>
    </row>
    <row r="1416" spans="1:14" s="96" customFormat="1" ht="13.2" x14ac:dyDescent="0.25">
      <c r="A1416" s="202" t="s">
        <v>716</v>
      </c>
      <c r="B1416" s="216" t="s">
        <v>3385</v>
      </c>
      <c r="C1416" s="217" t="s">
        <v>1141</v>
      </c>
      <c r="D1416" s="120"/>
      <c r="E1416" s="45">
        <f t="shared" si="77"/>
        <v>0</v>
      </c>
      <c r="F1416" s="127">
        <f t="shared" si="78"/>
        <v>0</v>
      </c>
      <c r="G1416" s="151">
        <f>'Etude de cas n°1'!D1416</f>
        <v>0</v>
      </c>
      <c r="H1416" s="17"/>
      <c r="I1416" s="17"/>
      <c r="J1416" s="17"/>
      <c r="K1416" s="17"/>
      <c r="L1416" s="17"/>
      <c r="M1416" s="17"/>
      <c r="N1416" s="17"/>
    </row>
    <row r="1417" spans="1:14" s="96" customFormat="1" ht="13.2" x14ac:dyDescent="0.25">
      <c r="A1417" s="27" t="s">
        <v>3386</v>
      </c>
      <c r="B1417" s="3" t="s">
        <v>3387</v>
      </c>
      <c r="C1417" s="217" t="s">
        <v>1883</v>
      </c>
      <c r="D1417" s="120"/>
      <c r="E1417" s="45"/>
      <c r="F1417" s="127"/>
      <c r="G1417" s="151"/>
      <c r="H1417" s="17"/>
      <c r="I1417" s="17"/>
      <c r="J1417" s="17"/>
      <c r="K1417" s="17"/>
      <c r="L1417" s="17"/>
      <c r="M1417" s="17"/>
      <c r="N1417" s="17"/>
    </row>
    <row r="1418" spans="1:14" s="96" customFormat="1" ht="13.2" x14ac:dyDescent="0.25">
      <c r="A1418" s="202" t="s">
        <v>722</v>
      </c>
      <c r="B1418" s="216" t="s">
        <v>3388</v>
      </c>
      <c r="C1418" s="217" t="s">
        <v>1034</v>
      </c>
      <c r="D1418" s="120"/>
      <c r="E1418" s="45">
        <f t="shared" si="77"/>
        <v>0</v>
      </c>
      <c r="F1418" s="127">
        <f t="shared" si="78"/>
        <v>0</v>
      </c>
      <c r="G1418" s="151">
        <f>'Etude de cas n°1'!D1418</f>
        <v>0</v>
      </c>
      <c r="H1418" s="17"/>
      <c r="I1418" s="17"/>
      <c r="J1418" s="17"/>
      <c r="K1418" s="17"/>
      <c r="L1418" s="17"/>
      <c r="M1418" s="17"/>
      <c r="N1418" s="17"/>
    </row>
    <row r="1419" spans="1:14" s="96" customFormat="1" ht="13.2" x14ac:dyDescent="0.25">
      <c r="A1419" s="202" t="s">
        <v>723</v>
      </c>
      <c r="B1419" s="216" t="s">
        <v>3389</v>
      </c>
      <c r="C1419" s="217" t="s">
        <v>1034</v>
      </c>
      <c r="D1419" s="120"/>
      <c r="E1419" s="45">
        <f t="shared" si="77"/>
        <v>0</v>
      </c>
      <c r="F1419" s="127">
        <f t="shared" si="78"/>
        <v>0</v>
      </c>
      <c r="G1419" s="151">
        <f>'Etude de cas n°1'!D1419</f>
        <v>0</v>
      </c>
      <c r="H1419" s="17"/>
      <c r="I1419" s="17"/>
      <c r="J1419" s="17"/>
      <c r="K1419" s="17"/>
      <c r="L1419" s="17"/>
      <c r="M1419" s="17"/>
      <c r="N1419" s="17"/>
    </row>
    <row r="1420" spans="1:14" s="96" customFormat="1" ht="13.2" x14ac:dyDescent="0.25">
      <c r="A1420" s="202" t="s">
        <v>724</v>
      </c>
      <c r="B1420" s="216" t="s">
        <v>3390</v>
      </c>
      <c r="C1420" s="217" t="s">
        <v>1034</v>
      </c>
      <c r="D1420" s="120"/>
      <c r="E1420" s="45">
        <f t="shared" si="77"/>
        <v>0</v>
      </c>
      <c r="F1420" s="127">
        <f t="shared" si="78"/>
        <v>0</v>
      </c>
      <c r="G1420" s="151">
        <f>'Etude de cas n°1'!D1420</f>
        <v>0</v>
      </c>
      <c r="H1420" s="17"/>
      <c r="I1420" s="17"/>
      <c r="J1420" s="17"/>
      <c r="K1420" s="17"/>
      <c r="L1420" s="17"/>
      <c r="M1420" s="17"/>
      <c r="N1420" s="17"/>
    </row>
    <row r="1421" spans="1:14" s="96" customFormat="1" ht="13.2" x14ac:dyDescent="0.25">
      <c r="A1421" s="83" t="s">
        <v>3391</v>
      </c>
      <c r="B1421" s="4" t="s">
        <v>3392</v>
      </c>
      <c r="C1421" s="217"/>
      <c r="D1421" s="120"/>
      <c r="E1421" s="45"/>
      <c r="F1421" s="127"/>
      <c r="G1421" s="151"/>
      <c r="H1421" s="17"/>
      <c r="I1421" s="17"/>
      <c r="J1421" s="17"/>
      <c r="K1421" s="17"/>
      <c r="L1421" s="17"/>
      <c r="M1421" s="17"/>
      <c r="N1421" s="17"/>
    </row>
    <row r="1422" spans="1:14" s="96" customFormat="1" ht="13.2" x14ac:dyDescent="0.25">
      <c r="A1422" s="202" t="s">
        <v>728</v>
      </c>
      <c r="B1422" s="223" t="s">
        <v>3393</v>
      </c>
      <c r="C1422" s="217" t="s">
        <v>1883</v>
      </c>
      <c r="D1422" s="120"/>
      <c r="E1422" s="45"/>
      <c r="F1422" s="127"/>
      <c r="G1422" s="151"/>
      <c r="H1422" s="17"/>
      <c r="I1422" s="17"/>
      <c r="J1422" s="17"/>
      <c r="K1422" s="17"/>
      <c r="L1422" s="17"/>
      <c r="M1422" s="17"/>
      <c r="N1422" s="17"/>
    </row>
    <row r="1423" spans="1:14" s="96" customFormat="1" ht="13.2" x14ac:dyDescent="0.25">
      <c r="A1423" s="202" t="s">
        <v>3394</v>
      </c>
      <c r="B1423" s="216" t="s">
        <v>3395</v>
      </c>
      <c r="C1423" s="217"/>
      <c r="D1423" s="120"/>
      <c r="E1423" s="45"/>
      <c r="F1423" s="127"/>
      <c r="G1423" s="151"/>
      <c r="H1423" s="17"/>
      <c r="I1423" s="17"/>
      <c r="J1423" s="17"/>
      <c r="K1423" s="17"/>
      <c r="L1423" s="17"/>
      <c r="M1423" s="17"/>
      <c r="N1423" s="17"/>
    </row>
    <row r="1424" spans="1:14" s="96" customFormat="1" ht="13.8" x14ac:dyDescent="0.25">
      <c r="A1424" s="202" t="s">
        <v>3396</v>
      </c>
      <c r="B1424" s="216" t="s">
        <v>3397</v>
      </c>
      <c r="C1424" s="217" t="s">
        <v>1011</v>
      </c>
      <c r="D1424" s="120"/>
      <c r="E1424" s="45">
        <f t="shared" si="77"/>
        <v>3</v>
      </c>
      <c r="F1424" s="127">
        <f t="shared" si="78"/>
        <v>0</v>
      </c>
      <c r="G1424" s="151">
        <f>'Etude de cas n°1'!D1424</f>
        <v>3</v>
      </c>
      <c r="H1424" s="17"/>
      <c r="I1424" s="17"/>
      <c r="J1424" s="17"/>
      <c r="K1424" s="17"/>
      <c r="L1424" s="17"/>
      <c r="M1424" s="17"/>
      <c r="N1424" s="17"/>
    </row>
    <row r="1425" spans="1:14" s="96" customFormat="1" ht="13.2" x14ac:dyDescent="0.25">
      <c r="A1425" s="202" t="s">
        <v>3398</v>
      </c>
      <c r="B1425" s="216" t="s">
        <v>3399</v>
      </c>
      <c r="C1425" s="217" t="s">
        <v>1011</v>
      </c>
      <c r="D1425" s="120"/>
      <c r="E1425" s="45">
        <f t="shared" si="77"/>
        <v>0</v>
      </c>
      <c r="F1425" s="127">
        <f t="shared" si="78"/>
        <v>0</v>
      </c>
      <c r="G1425" s="151">
        <f>'Etude de cas n°1'!D1425</f>
        <v>0</v>
      </c>
      <c r="H1425" s="17"/>
      <c r="I1425" s="17"/>
      <c r="J1425" s="17"/>
      <c r="K1425" s="17"/>
      <c r="L1425" s="17"/>
      <c r="M1425" s="17"/>
      <c r="N1425" s="17"/>
    </row>
    <row r="1426" spans="1:14" s="96" customFormat="1" ht="13.2" x14ac:dyDescent="0.25">
      <c r="A1426" s="202" t="s">
        <v>3400</v>
      </c>
      <c r="B1426" s="216" t="s">
        <v>3401</v>
      </c>
      <c r="C1426" s="217"/>
      <c r="D1426" s="120"/>
      <c r="E1426" s="45"/>
      <c r="F1426" s="127"/>
      <c r="G1426" s="151"/>
      <c r="H1426" s="17"/>
      <c r="I1426" s="17"/>
      <c r="J1426" s="17"/>
      <c r="K1426" s="17"/>
      <c r="L1426" s="17"/>
      <c r="M1426" s="17"/>
      <c r="N1426" s="17"/>
    </row>
    <row r="1427" spans="1:14" s="96" customFormat="1" ht="13.8" x14ac:dyDescent="0.25">
      <c r="A1427" s="202" t="s">
        <v>3402</v>
      </c>
      <c r="B1427" s="216" t="s">
        <v>3397</v>
      </c>
      <c r="C1427" s="217" t="s">
        <v>1011</v>
      </c>
      <c r="D1427" s="120"/>
      <c r="E1427" s="45">
        <f t="shared" si="77"/>
        <v>0</v>
      </c>
      <c r="F1427" s="127">
        <f t="shared" si="78"/>
        <v>0</v>
      </c>
      <c r="G1427" s="151">
        <f>'Etude de cas n°1'!D1427</f>
        <v>0</v>
      </c>
      <c r="H1427" s="17"/>
      <c r="I1427" s="17"/>
      <c r="J1427" s="17"/>
      <c r="K1427" s="17"/>
      <c r="L1427" s="17"/>
      <c r="M1427" s="17"/>
      <c r="N1427" s="17"/>
    </row>
    <row r="1428" spans="1:14" s="96" customFormat="1" ht="13.2" x14ac:dyDescent="0.25">
      <c r="A1428" s="202" t="s">
        <v>3403</v>
      </c>
      <c r="B1428" s="216" t="s">
        <v>3399</v>
      </c>
      <c r="C1428" s="217" t="s">
        <v>1011</v>
      </c>
      <c r="D1428" s="120"/>
      <c r="E1428" s="45">
        <f t="shared" si="77"/>
        <v>0</v>
      </c>
      <c r="F1428" s="127">
        <f t="shared" si="78"/>
        <v>0</v>
      </c>
      <c r="G1428" s="151">
        <f>'Etude de cas n°1'!D1428</f>
        <v>0</v>
      </c>
      <c r="H1428" s="17"/>
      <c r="I1428" s="17"/>
      <c r="J1428" s="17"/>
      <c r="K1428" s="17"/>
      <c r="L1428" s="17"/>
      <c r="M1428" s="17"/>
      <c r="N1428" s="17"/>
    </row>
    <row r="1429" spans="1:14" s="96" customFormat="1" ht="13.2" x14ac:dyDescent="0.25">
      <c r="A1429" s="202" t="s">
        <v>3404</v>
      </c>
      <c r="B1429" s="216" t="s">
        <v>3405</v>
      </c>
      <c r="C1429" s="217" t="s">
        <v>1011</v>
      </c>
      <c r="D1429" s="120"/>
      <c r="E1429" s="45">
        <f t="shared" si="77"/>
        <v>0</v>
      </c>
      <c r="F1429" s="127">
        <f t="shared" si="78"/>
        <v>0</v>
      </c>
      <c r="G1429" s="151">
        <f>'Etude de cas n°1'!D1429</f>
        <v>0</v>
      </c>
      <c r="H1429" s="17"/>
      <c r="I1429" s="17"/>
      <c r="J1429" s="17"/>
      <c r="K1429" s="17"/>
      <c r="L1429" s="17"/>
      <c r="M1429" s="17"/>
      <c r="N1429" s="17"/>
    </row>
    <row r="1430" spans="1:14" s="96" customFormat="1" ht="13.2" x14ac:dyDescent="0.25">
      <c r="A1430" s="202" t="s">
        <v>3406</v>
      </c>
      <c r="B1430" s="216" t="s">
        <v>3407</v>
      </c>
      <c r="C1430" s="217" t="s">
        <v>1011</v>
      </c>
      <c r="D1430" s="120"/>
      <c r="E1430" s="45">
        <f t="shared" si="77"/>
        <v>0</v>
      </c>
      <c r="F1430" s="127">
        <f t="shared" si="78"/>
        <v>0</v>
      </c>
      <c r="G1430" s="151">
        <f>'Etude de cas n°1'!D1430</f>
        <v>0</v>
      </c>
      <c r="H1430" s="17"/>
      <c r="I1430" s="17"/>
      <c r="J1430" s="17"/>
      <c r="K1430" s="17"/>
      <c r="L1430" s="17"/>
      <c r="M1430" s="17"/>
      <c r="N1430" s="17"/>
    </row>
    <row r="1431" spans="1:14" s="96" customFormat="1" ht="13.2" x14ac:dyDescent="0.25">
      <c r="A1431" s="202" t="s">
        <v>729</v>
      </c>
      <c r="B1431" s="223" t="s">
        <v>3408</v>
      </c>
      <c r="C1431" s="217"/>
      <c r="D1431" s="120"/>
      <c r="E1431" s="45"/>
      <c r="F1431" s="127"/>
      <c r="G1431" s="151"/>
      <c r="H1431" s="17"/>
      <c r="I1431" s="17"/>
      <c r="J1431" s="17"/>
      <c r="K1431" s="17"/>
      <c r="L1431" s="17"/>
      <c r="M1431" s="17"/>
      <c r="N1431" s="17"/>
    </row>
    <row r="1432" spans="1:14" s="96" customFormat="1" ht="13.2" x14ac:dyDescent="0.25">
      <c r="A1432" s="202" t="s">
        <v>3409</v>
      </c>
      <c r="B1432" s="216" t="s">
        <v>3410</v>
      </c>
      <c r="C1432" s="217" t="s">
        <v>1034</v>
      </c>
      <c r="D1432" s="120"/>
      <c r="E1432" s="45">
        <f t="shared" si="77"/>
        <v>16.78</v>
      </c>
      <c r="F1432" s="127">
        <f t="shared" si="78"/>
        <v>0</v>
      </c>
      <c r="G1432" s="151">
        <f>'Etude de cas n°1'!D1432</f>
        <v>16.78</v>
      </c>
      <c r="H1432" s="17"/>
      <c r="I1432" s="17"/>
      <c r="J1432" s="17"/>
      <c r="K1432" s="17"/>
      <c r="L1432" s="17"/>
      <c r="M1432" s="17"/>
      <c r="N1432" s="17"/>
    </row>
    <row r="1433" spans="1:14" s="96" customFormat="1" ht="13.2" x14ac:dyDescent="0.25">
      <c r="A1433" s="202" t="s">
        <v>3411</v>
      </c>
      <c r="B1433" s="216" t="s">
        <v>3412</v>
      </c>
      <c r="C1433" s="217" t="s">
        <v>1034</v>
      </c>
      <c r="D1433" s="120"/>
      <c r="E1433" s="45">
        <f t="shared" si="77"/>
        <v>0</v>
      </c>
      <c r="F1433" s="127">
        <f t="shared" si="78"/>
        <v>0</v>
      </c>
      <c r="G1433" s="151">
        <f>'Etude de cas n°1'!D1433</f>
        <v>0</v>
      </c>
      <c r="H1433" s="17"/>
      <c r="I1433" s="17"/>
      <c r="J1433" s="17"/>
      <c r="K1433" s="17"/>
      <c r="L1433" s="17"/>
      <c r="M1433" s="17"/>
      <c r="N1433" s="17"/>
    </row>
    <row r="1434" spans="1:14" s="96" customFormat="1" ht="13.2" x14ac:dyDescent="0.25">
      <c r="A1434" s="202" t="s">
        <v>3413</v>
      </c>
      <c r="B1434" s="216" t="s">
        <v>3414</v>
      </c>
      <c r="C1434" s="217" t="s">
        <v>1034</v>
      </c>
      <c r="D1434" s="120"/>
      <c r="E1434" s="45">
        <f t="shared" si="77"/>
        <v>0</v>
      </c>
      <c r="F1434" s="127">
        <f t="shared" si="78"/>
        <v>0</v>
      </c>
      <c r="G1434" s="151">
        <f>'Etude de cas n°1'!D1434</f>
        <v>0</v>
      </c>
      <c r="H1434" s="17"/>
      <c r="I1434" s="17"/>
      <c r="J1434" s="17"/>
      <c r="K1434" s="17"/>
      <c r="L1434" s="17"/>
      <c r="M1434" s="17"/>
      <c r="N1434" s="17"/>
    </row>
    <row r="1435" spans="1:14" s="96" customFormat="1" ht="13.2" x14ac:dyDescent="0.25">
      <c r="A1435" s="202" t="s">
        <v>3415</v>
      </c>
      <c r="B1435" s="216" t="s">
        <v>3416</v>
      </c>
      <c r="C1435" s="217" t="s">
        <v>1034</v>
      </c>
      <c r="D1435" s="120"/>
      <c r="E1435" s="45">
        <f t="shared" si="77"/>
        <v>0</v>
      </c>
      <c r="F1435" s="127">
        <f t="shared" si="78"/>
        <v>0</v>
      </c>
      <c r="G1435" s="151">
        <f>'Etude de cas n°1'!D1435</f>
        <v>0</v>
      </c>
      <c r="H1435" s="17"/>
      <c r="I1435" s="17"/>
      <c r="J1435" s="17"/>
      <c r="K1435" s="17"/>
      <c r="L1435" s="17"/>
      <c r="M1435" s="17"/>
      <c r="N1435" s="17"/>
    </row>
    <row r="1436" spans="1:14" s="96" customFormat="1" ht="13.2" x14ac:dyDescent="0.25">
      <c r="A1436" s="202" t="s">
        <v>3417</v>
      </c>
      <c r="B1436" s="216" t="s">
        <v>3418</v>
      </c>
      <c r="C1436" s="217" t="s">
        <v>1011</v>
      </c>
      <c r="D1436" s="120"/>
      <c r="E1436" s="45">
        <f t="shared" si="77"/>
        <v>0</v>
      </c>
      <c r="F1436" s="127">
        <f t="shared" si="78"/>
        <v>0</v>
      </c>
      <c r="G1436" s="151">
        <f>'Etude de cas n°1'!D1436</f>
        <v>0</v>
      </c>
      <c r="H1436" s="17"/>
      <c r="I1436" s="17"/>
      <c r="J1436" s="17"/>
      <c r="K1436" s="17"/>
      <c r="L1436" s="17"/>
      <c r="M1436" s="17"/>
      <c r="N1436" s="17"/>
    </row>
    <row r="1437" spans="1:14" s="96" customFormat="1" ht="13.2" x14ac:dyDescent="0.25">
      <c r="A1437" s="202" t="s">
        <v>3419</v>
      </c>
      <c r="B1437" s="216" t="s">
        <v>3420</v>
      </c>
      <c r="C1437" s="217" t="s">
        <v>1011</v>
      </c>
      <c r="D1437" s="120"/>
      <c r="E1437" s="45">
        <f t="shared" si="77"/>
        <v>0</v>
      </c>
      <c r="F1437" s="127">
        <f t="shared" si="78"/>
        <v>0</v>
      </c>
      <c r="G1437" s="151">
        <f>'Etude de cas n°1'!D1437</f>
        <v>0</v>
      </c>
      <c r="H1437" s="17"/>
      <c r="I1437" s="17"/>
      <c r="J1437" s="17"/>
      <c r="K1437" s="17"/>
      <c r="L1437" s="17"/>
      <c r="M1437" s="17"/>
      <c r="N1437" s="17"/>
    </row>
    <row r="1438" spans="1:14" s="96" customFormat="1" ht="13.2" x14ac:dyDescent="0.25">
      <c r="A1438" s="27" t="s">
        <v>3421</v>
      </c>
      <c r="B1438" s="3" t="s">
        <v>3422</v>
      </c>
      <c r="C1438" s="217"/>
      <c r="D1438" s="120"/>
      <c r="E1438" s="45"/>
      <c r="F1438" s="127"/>
      <c r="G1438" s="151"/>
      <c r="H1438" s="17"/>
      <c r="I1438" s="17"/>
      <c r="J1438" s="17"/>
      <c r="K1438" s="17"/>
      <c r="L1438" s="17"/>
      <c r="M1438" s="17"/>
      <c r="N1438" s="17"/>
    </row>
    <row r="1439" spans="1:14" s="96" customFormat="1" ht="13.2" x14ac:dyDescent="0.25">
      <c r="A1439" s="202" t="s">
        <v>737</v>
      </c>
      <c r="B1439" s="216" t="s">
        <v>3423</v>
      </c>
      <c r="C1439" s="217"/>
      <c r="D1439" s="120"/>
      <c r="E1439" s="45"/>
      <c r="F1439" s="127"/>
      <c r="G1439" s="151"/>
      <c r="H1439" s="17"/>
      <c r="I1439" s="17"/>
      <c r="J1439" s="17"/>
      <c r="K1439" s="17"/>
      <c r="L1439" s="17"/>
      <c r="M1439" s="17"/>
      <c r="N1439" s="17"/>
    </row>
    <row r="1440" spans="1:14" s="96" customFormat="1" ht="13.2" x14ac:dyDescent="0.25">
      <c r="A1440" s="202" t="s">
        <v>3424</v>
      </c>
      <c r="B1440" s="216" t="s">
        <v>3425</v>
      </c>
      <c r="C1440" s="217" t="s">
        <v>1011</v>
      </c>
      <c r="D1440" s="120"/>
      <c r="E1440" s="45">
        <f t="shared" si="77"/>
        <v>0</v>
      </c>
      <c r="F1440" s="127">
        <f t="shared" si="78"/>
        <v>0</v>
      </c>
      <c r="G1440" s="151">
        <f>'Etude de cas n°1'!D1440</f>
        <v>0</v>
      </c>
      <c r="H1440" s="17"/>
      <c r="I1440" s="17"/>
      <c r="J1440" s="17"/>
      <c r="K1440" s="17"/>
      <c r="L1440" s="17"/>
      <c r="M1440" s="17"/>
      <c r="N1440" s="17"/>
    </row>
    <row r="1441" spans="1:14" s="96" customFormat="1" ht="13.2" x14ac:dyDescent="0.25">
      <c r="A1441" s="202" t="s">
        <v>3426</v>
      </c>
      <c r="B1441" s="216" t="s">
        <v>3427</v>
      </c>
      <c r="C1441" s="217" t="s">
        <v>1011</v>
      </c>
      <c r="D1441" s="120"/>
      <c r="E1441" s="45">
        <f t="shared" si="77"/>
        <v>3</v>
      </c>
      <c r="F1441" s="127">
        <f t="shared" si="78"/>
        <v>0</v>
      </c>
      <c r="G1441" s="151">
        <f>'Etude de cas n°1'!D1441</f>
        <v>3</v>
      </c>
      <c r="H1441" s="17"/>
      <c r="I1441" s="17"/>
      <c r="J1441" s="17"/>
      <c r="K1441" s="17"/>
      <c r="L1441" s="17"/>
      <c r="M1441" s="17"/>
      <c r="N1441" s="17"/>
    </row>
    <row r="1442" spans="1:14" s="96" customFormat="1" ht="13.2" x14ac:dyDescent="0.25">
      <c r="A1442" s="202" t="s">
        <v>3428</v>
      </c>
      <c r="B1442" s="216" t="s">
        <v>3429</v>
      </c>
      <c r="C1442" s="217" t="s">
        <v>1011</v>
      </c>
      <c r="D1442" s="120"/>
      <c r="E1442" s="45">
        <f t="shared" si="77"/>
        <v>0</v>
      </c>
      <c r="F1442" s="127">
        <f t="shared" si="78"/>
        <v>0</v>
      </c>
      <c r="G1442" s="151">
        <f>'Etude de cas n°1'!D1442</f>
        <v>0</v>
      </c>
      <c r="H1442" s="17"/>
      <c r="I1442" s="17"/>
      <c r="J1442" s="17"/>
      <c r="K1442" s="17"/>
      <c r="L1442" s="17"/>
      <c r="M1442" s="17"/>
      <c r="N1442" s="17"/>
    </row>
    <row r="1443" spans="1:14" s="96" customFormat="1" ht="13.2" x14ac:dyDescent="0.25">
      <c r="A1443" s="202" t="s">
        <v>3430</v>
      </c>
      <c r="B1443" s="216" t="s">
        <v>3431</v>
      </c>
      <c r="C1443" s="217" t="s">
        <v>1011</v>
      </c>
      <c r="D1443" s="120"/>
      <c r="E1443" s="45">
        <f t="shared" si="77"/>
        <v>0</v>
      </c>
      <c r="F1443" s="127">
        <f t="shared" si="78"/>
        <v>0</v>
      </c>
      <c r="G1443" s="151">
        <f>'Etude de cas n°1'!D1443</f>
        <v>0</v>
      </c>
      <c r="H1443" s="17"/>
      <c r="I1443" s="17"/>
      <c r="J1443" s="17"/>
      <c r="K1443" s="17"/>
      <c r="L1443" s="17"/>
      <c r="M1443" s="17"/>
      <c r="N1443" s="17"/>
    </row>
    <row r="1444" spans="1:14" s="96" customFormat="1" ht="13.2" x14ac:dyDescent="0.25">
      <c r="A1444" s="202" t="s">
        <v>738</v>
      </c>
      <c r="B1444" s="216" t="s">
        <v>3432</v>
      </c>
      <c r="C1444" s="217"/>
      <c r="D1444" s="120"/>
      <c r="E1444" s="45"/>
      <c r="F1444" s="127"/>
      <c r="G1444" s="151"/>
      <c r="H1444" s="17"/>
      <c r="I1444" s="17"/>
      <c r="J1444" s="17"/>
      <c r="K1444" s="17"/>
      <c r="L1444" s="17"/>
      <c r="M1444" s="17"/>
      <c r="N1444" s="17"/>
    </row>
    <row r="1445" spans="1:14" s="96" customFormat="1" ht="13.2" x14ac:dyDescent="0.25">
      <c r="A1445" s="202" t="s">
        <v>3433</v>
      </c>
      <c r="B1445" s="216" t="s">
        <v>3434</v>
      </c>
      <c r="C1445" s="217" t="s">
        <v>1034</v>
      </c>
      <c r="D1445" s="120"/>
      <c r="E1445" s="45">
        <f t="shared" si="77"/>
        <v>0</v>
      </c>
      <c r="F1445" s="127">
        <f t="shared" si="78"/>
        <v>0</v>
      </c>
      <c r="G1445" s="151">
        <f>'Etude de cas n°1'!D1445</f>
        <v>0</v>
      </c>
      <c r="H1445" s="17"/>
      <c r="I1445" s="17"/>
      <c r="J1445" s="17"/>
      <c r="K1445" s="17"/>
      <c r="L1445" s="17"/>
      <c r="M1445" s="17"/>
      <c r="N1445" s="17"/>
    </row>
    <row r="1446" spans="1:14" s="96" customFormat="1" ht="13.2" x14ac:dyDescent="0.25">
      <c r="A1446" s="202" t="s">
        <v>3435</v>
      </c>
      <c r="B1446" s="216" t="s">
        <v>3436</v>
      </c>
      <c r="C1446" s="217" t="s">
        <v>1034</v>
      </c>
      <c r="D1446" s="120"/>
      <c r="E1446" s="45">
        <f t="shared" ref="E1446:E1509" si="79">G1446</f>
        <v>5.5</v>
      </c>
      <c r="F1446" s="127">
        <f t="shared" si="78"/>
        <v>0</v>
      </c>
      <c r="G1446" s="151">
        <f>'Etude de cas n°1'!D1446</f>
        <v>5.5</v>
      </c>
      <c r="H1446" s="17"/>
      <c r="I1446" s="17"/>
      <c r="J1446" s="17"/>
      <c r="K1446" s="17"/>
      <c r="L1446" s="17"/>
      <c r="M1446" s="17"/>
      <c r="N1446" s="17"/>
    </row>
    <row r="1447" spans="1:14" s="96" customFormat="1" ht="13.2" x14ac:dyDescent="0.25">
      <c r="A1447" s="202" t="s">
        <v>3437</v>
      </c>
      <c r="B1447" s="216" t="s">
        <v>3438</v>
      </c>
      <c r="C1447" s="217" t="s">
        <v>1034</v>
      </c>
      <c r="D1447" s="120"/>
      <c r="E1447" s="45">
        <f t="shared" si="79"/>
        <v>0</v>
      </c>
      <c r="F1447" s="127">
        <f t="shared" ref="F1447:F1512" si="80">D1447*E1447</f>
        <v>0</v>
      </c>
      <c r="G1447" s="151">
        <f>'Etude de cas n°1'!D1447</f>
        <v>0</v>
      </c>
      <c r="H1447" s="17"/>
      <c r="I1447" s="17"/>
      <c r="J1447" s="17"/>
      <c r="K1447" s="17"/>
      <c r="L1447" s="17"/>
      <c r="M1447" s="17"/>
      <c r="N1447" s="17"/>
    </row>
    <row r="1448" spans="1:14" s="96" customFormat="1" ht="13.2" x14ac:dyDescent="0.25">
      <c r="A1448" s="202" t="s">
        <v>3439</v>
      </c>
      <c r="B1448" s="216" t="s">
        <v>3440</v>
      </c>
      <c r="C1448" s="217" t="s">
        <v>1034</v>
      </c>
      <c r="D1448" s="120"/>
      <c r="E1448" s="45">
        <f t="shared" si="79"/>
        <v>0</v>
      </c>
      <c r="F1448" s="127">
        <f t="shared" si="80"/>
        <v>0</v>
      </c>
      <c r="G1448" s="151">
        <f>'Etude de cas n°1'!D1448</f>
        <v>0</v>
      </c>
      <c r="H1448" s="17"/>
      <c r="I1448" s="17"/>
      <c r="J1448" s="17"/>
      <c r="K1448" s="17"/>
      <c r="L1448" s="17"/>
      <c r="M1448" s="17"/>
      <c r="N1448" s="17"/>
    </row>
    <row r="1449" spans="1:14" s="96" customFormat="1" ht="13.2" x14ac:dyDescent="0.25">
      <c r="A1449" s="202" t="s">
        <v>739</v>
      </c>
      <c r="B1449" s="216" t="s">
        <v>3441</v>
      </c>
      <c r="C1449" s="217"/>
      <c r="D1449" s="120"/>
      <c r="E1449" s="45"/>
      <c r="F1449" s="127"/>
      <c r="G1449" s="151"/>
      <c r="H1449" s="17"/>
      <c r="I1449" s="17"/>
      <c r="J1449" s="17"/>
      <c r="K1449" s="17"/>
      <c r="L1449" s="17"/>
      <c r="M1449" s="17"/>
      <c r="N1449" s="17"/>
    </row>
    <row r="1450" spans="1:14" s="96" customFormat="1" ht="13.2" x14ac:dyDescent="0.25">
      <c r="A1450" s="202" t="s">
        <v>3442</v>
      </c>
      <c r="B1450" s="216" t="s">
        <v>3443</v>
      </c>
      <c r="C1450" s="217" t="s">
        <v>1011</v>
      </c>
      <c r="D1450" s="120"/>
      <c r="E1450" s="45">
        <f t="shared" si="79"/>
        <v>0</v>
      </c>
      <c r="F1450" s="127">
        <f t="shared" si="80"/>
        <v>0</v>
      </c>
      <c r="G1450" s="151">
        <f>'Etude de cas n°1'!D1450</f>
        <v>0</v>
      </c>
      <c r="H1450" s="17"/>
      <c r="I1450" s="17"/>
      <c r="J1450" s="17"/>
      <c r="K1450" s="17"/>
      <c r="L1450" s="17"/>
      <c r="M1450" s="17"/>
      <c r="N1450" s="17"/>
    </row>
    <row r="1451" spans="1:14" s="96" customFormat="1" ht="13.2" x14ac:dyDescent="0.25">
      <c r="A1451" s="202" t="s">
        <v>3444</v>
      </c>
      <c r="B1451" s="216" t="s">
        <v>3445</v>
      </c>
      <c r="C1451" s="217" t="s">
        <v>1011</v>
      </c>
      <c r="D1451" s="120"/>
      <c r="E1451" s="45">
        <f t="shared" si="79"/>
        <v>0</v>
      </c>
      <c r="F1451" s="127">
        <f t="shared" si="80"/>
        <v>0</v>
      </c>
      <c r="G1451" s="151">
        <f>'Etude de cas n°1'!D1451</f>
        <v>0</v>
      </c>
      <c r="H1451" s="17"/>
      <c r="I1451" s="17"/>
      <c r="J1451" s="17"/>
      <c r="K1451" s="17"/>
      <c r="L1451" s="17"/>
      <c r="M1451" s="17"/>
      <c r="N1451" s="17"/>
    </row>
    <row r="1452" spans="1:14" s="96" customFormat="1" ht="13.2" x14ac:dyDescent="0.25">
      <c r="A1452" s="202" t="s">
        <v>3446</v>
      </c>
      <c r="B1452" s="216" t="s">
        <v>3447</v>
      </c>
      <c r="C1452" s="217" t="s">
        <v>1011</v>
      </c>
      <c r="D1452" s="120"/>
      <c r="E1452" s="45">
        <f t="shared" si="79"/>
        <v>4</v>
      </c>
      <c r="F1452" s="127">
        <f t="shared" si="80"/>
        <v>0</v>
      </c>
      <c r="G1452" s="151">
        <f>'Etude de cas n°1'!D1452</f>
        <v>4</v>
      </c>
      <c r="H1452" s="17"/>
      <c r="I1452" s="17"/>
      <c r="J1452" s="17"/>
      <c r="K1452" s="17"/>
      <c r="L1452" s="17"/>
      <c r="M1452" s="17"/>
      <c r="N1452" s="17"/>
    </row>
    <row r="1453" spans="1:14" s="96" customFormat="1" ht="13.2" x14ac:dyDescent="0.25">
      <c r="A1453" s="202" t="s">
        <v>740</v>
      </c>
      <c r="B1453" s="216" t="s">
        <v>3448</v>
      </c>
      <c r="C1453" s="217" t="s">
        <v>1011</v>
      </c>
      <c r="D1453" s="120"/>
      <c r="E1453" s="45">
        <f t="shared" si="79"/>
        <v>0</v>
      </c>
      <c r="F1453" s="127">
        <f t="shared" si="80"/>
        <v>0</v>
      </c>
      <c r="G1453" s="151">
        <f>'Etude de cas n°1'!D1453</f>
        <v>0</v>
      </c>
      <c r="H1453" s="17"/>
      <c r="I1453" s="17"/>
      <c r="J1453" s="17"/>
      <c r="K1453" s="17"/>
      <c r="L1453" s="17"/>
      <c r="M1453" s="17"/>
      <c r="N1453" s="17"/>
    </row>
    <row r="1454" spans="1:14" s="96" customFormat="1" ht="13.2" x14ac:dyDescent="0.25">
      <c r="A1454" s="27" t="s">
        <v>3449</v>
      </c>
      <c r="B1454" s="3" t="s">
        <v>3450</v>
      </c>
      <c r="C1454" s="217" t="s">
        <v>1883</v>
      </c>
      <c r="D1454" s="120"/>
      <c r="E1454" s="45"/>
      <c r="F1454" s="127"/>
      <c r="G1454" s="151"/>
      <c r="H1454" s="17"/>
      <c r="I1454" s="17"/>
      <c r="J1454" s="17"/>
      <c r="K1454" s="17"/>
      <c r="L1454" s="17"/>
      <c r="M1454" s="17"/>
      <c r="N1454" s="17"/>
    </row>
    <row r="1455" spans="1:14" s="96" customFormat="1" ht="13.2" x14ac:dyDescent="0.25">
      <c r="A1455" s="202" t="s">
        <v>747</v>
      </c>
      <c r="B1455" s="216" t="s">
        <v>3451</v>
      </c>
      <c r="C1455" s="217" t="s">
        <v>1011</v>
      </c>
      <c r="D1455" s="120"/>
      <c r="E1455" s="45">
        <f t="shared" si="79"/>
        <v>0</v>
      </c>
      <c r="F1455" s="127">
        <f t="shared" si="80"/>
        <v>0</v>
      </c>
      <c r="G1455" s="151">
        <f>'Etude de cas n°1'!D1455</f>
        <v>0</v>
      </c>
      <c r="H1455" s="17"/>
      <c r="I1455" s="17"/>
      <c r="J1455" s="17"/>
      <c r="K1455" s="17"/>
      <c r="L1455" s="17"/>
      <c r="M1455" s="17"/>
      <c r="N1455" s="17"/>
    </row>
    <row r="1456" spans="1:14" s="96" customFormat="1" ht="13.2" x14ac:dyDescent="0.25">
      <c r="A1456" s="202" t="s">
        <v>748</v>
      </c>
      <c r="B1456" s="216" t="s">
        <v>3452</v>
      </c>
      <c r="C1456" s="217" t="s">
        <v>1011</v>
      </c>
      <c r="D1456" s="120"/>
      <c r="E1456" s="45">
        <f t="shared" si="79"/>
        <v>12</v>
      </c>
      <c r="F1456" s="127">
        <f t="shared" si="80"/>
        <v>0</v>
      </c>
      <c r="G1456" s="151">
        <f>'Etude de cas n°1'!D1456</f>
        <v>12</v>
      </c>
      <c r="H1456" s="17"/>
      <c r="I1456" s="17"/>
      <c r="J1456" s="17"/>
      <c r="K1456" s="17"/>
      <c r="L1456" s="17"/>
      <c r="M1456" s="17"/>
      <c r="N1456" s="17"/>
    </row>
    <row r="1457" spans="1:14" s="96" customFormat="1" ht="13.2" x14ac:dyDescent="0.25">
      <c r="A1457" s="202" t="s">
        <v>749</v>
      </c>
      <c r="B1457" s="216" t="s">
        <v>3453</v>
      </c>
      <c r="C1457" s="217" t="s">
        <v>1011</v>
      </c>
      <c r="D1457" s="120"/>
      <c r="E1457" s="45">
        <f t="shared" si="79"/>
        <v>0</v>
      </c>
      <c r="F1457" s="127">
        <f t="shared" si="80"/>
        <v>0</v>
      </c>
      <c r="G1457" s="151">
        <f>'Etude de cas n°1'!D1457</f>
        <v>0</v>
      </c>
      <c r="H1457" s="17"/>
      <c r="I1457" s="17"/>
      <c r="J1457" s="17"/>
      <c r="K1457" s="17"/>
      <c r="L1457" s="17"/>
      <c r="M1457" s="17"/>
      <c r="N1457" s="17"/>
    </row>
    <row r="1458" spans="1:14" s="96" customFormat="1" ht="13.2" x14ac:dyDescent="0.25">
      <c r="A1458" s="202" t="s">
        <v>750</v>
      </c>
      <c r="B1458" s="216" t="s">
        <v>3454</v>
      </c>
      <c r="C1458" s="217" t="s">
        <v>1034</v>
      </c>
      <c r="D1458" s="120"/>
      <c r="E1458" s="45">
        <f t="shared" si="79"/>
        <v>0</v>
      </c>
      <c r="F1458" s="127">
        <f t="shared" si="80"/>
        <v>0</v>
      </c>
      <c r="G1458" s="151">
        <f>'Etude de cas n°1'!D1458</f>
        <v>0</v>
      </c>
      <c r="H1458" s="17"/>
      <c r="I1458" s="17"/>
      <c r="J1458" s="17"/>
      <c r="K1458" s="17"/>
      <c r="L1458" s="17"/>
      <c r="M1458" s="17"/>
      <c r="N1458" s="17"/>
    </row>
    <row r="1459" spans="1:14" s="96" customFormat="1" ht="13.2" x14ac:dyDescent="0.25">
      <c r="A1459" s="202" t="s">
        <v>3455</v>
      </c>
      <c r="B1459" s="216" t="s">
        <v>3456</v>
      </c>
      <c r="C1459" s="217" t="s">
        <v>1034</v>
      </c>
      <c r="D1459" s="120"/>
      <c r="E1459" s="45">
        <f t="shared" si="79"/>
        <v>18</v>
      </c>
      <c r="F1459" s="127">
        <f t="shared" si="80"/>
        <v>0</v>
      </c>
      <c r="G1459" s="151">
        <f>'Etude de cas n°1'!D1459</f>
        <v>18</v>
      </c>
      <c r="H1459" s="17"/>
      <c r="I1459" s="17"/>
      <c r="J1459" s="17"/>
      <c r="K1459" s="17"/>
      <c r="L1459" s="17"/>
      <c r="M1459" s="17"/>
      <c r="N1459" s="17"/>
    </row>
    <row r="1460" spans="1:14" s="96" customFormat="1" ht="13.2" x14ac:dyDescent="0.25">
      <c r="A1460" s="202" t="s">
        <v>3457</v>
      </c>
      <c r="B1460" s="216" t="s">
        <v>3458</v>
      </c>
      <c r="C1460" s="217" t="s">
        <v>1034</v>
      </c>
      <c r="D1460" s="120"/>
      <c r="E1460" s="45">
        <f t="shared" si="79"/>
        <v>0</v>
      </c>
      <c r="F1460" s="127">
        <f t="shared" si="80"/>
        <v>0</v>
      </c>
      <c r="G1460" s="151">
        <f>'Etude de cas n°1'!D1460</f>
        <v>0</v>
      </c>
      <c r="H1460" s="17"/>
      <c r="I1460" s="17"/>
      <c r="J1460" s="17"/>
      <c r="K1460" s="17"/>
      <c r="L1460" s="17"/>
      <c r="M1460" s="17"/>
      <c r="N1460" s="17"/>
    </row>
    <row r="1461" spans="1:14" s="96" customFormat="1" ht="13.2" x14ac:dyDescent="0.25">
      <c r="A1461" s="27" t="s">
        <v>3459</v>
      </c>
      <c r="B1461" s="3" t="s">
        <v>3460</v>
      </c>
      <c r="C1461" s="217" t="s">
        <v>1883</v>
      </c>
      <c r="D1461" s="120"/>
      <c r="E1461" s="45"/>
      <c r="F1461" s="127"/>
      <c r="G1461" s="151"/>
      <c r="H1461" s="17"/>
      <c r="I1461" s="17"/>
      <c r="J1461" s="17"/>
      <c r="K1461" s="17"/>
      <c r="L1461" s="17"/>
      <c r="M1461" s="17"/>
      <c r="N1461" s="17"/>
    </row>
    <row r="1462" spans="1:14" s="96" customFormat="1" ht="13.2" x14ac:dyDescent="0.25">
      <c r="A1462" s="202" t="s">
        <v>3461</v>
      </c>
      <c r="B1462" s="216" t="s">
        <v>3462</v>
      </c>
      <c r="C1462" s="217"/>
      <c r="D1462" s="120"/>
      <c r="E1462" s="45"/>
      <c r="F1462" s="127"/>
      <c r="G1462" s="151"/>
      <c r="H1462" s="17"/>
      <c r="I1462" s="17"/>
      <c r="J1462" s="17"/>
      <c r="K1462" s="17"/>
      <c r="L1462" s="17"/>
      <c r="M1462" s="17"/>
      <c r="N1462" s="17"/>
    </row>
    <row r="1463" spans="1:14" s="96" customFormat="1" ht="13.2" x14ac:dyDescent="0.25">
      <c r="A1463" s="202" t="s">
        <v>751</v>
      </c>
      <c r="B1463" s="216" t="s">
        <v>3463</v>
      </c>
      <c r="C1463" s="217" t="s">
        <v>1034</v>
      </c>
      <c r="D1463" s="120"/>
      <c r="E1463" s="45">
        <f t="shared" si="79"/>
        <v>0</v>
      </c>
      <c r="F1463" s="127">
        <f t="shared" si="80"/>
        <v>0</v>
      </c>
      <c r="G1463" s="151">
        <f>'Etude de cas n°1'!D1463</f>
        <v>0</v>
      </c>
      <c r="H1463" s="17"/>
      <c r="I1463" s="17"/>
      <c r="J1463" s="17"/>
      <c r="K1463" s="17"/>
      <c r="L1463" s="17"/>
      <c r="M1463" s="17"/>
      <c r="N1463" s="17"/>
    </row>
    <row r="1464" spans="1:14" s="96" customFormat="1" ht="13.2" x14ac:dyDescent="0.25">
      <c r="A1464" s="202" t="s">
        <v>752</v>
      </c>
      <c r="B1464" s="216" t="s">
        <v>3464</v>
      </c>
      <c r="C1464" s="217" t="s">
        <v>1034</v>
      </c>
      <c r="D1464" s="120"/>
      <c r="E1464" s="45">
        <f t="shared" si="79"/>
        <v>0</v>
      </c>
      <c r="F1464" s="127">
        <f t="shared" si="80"/>
        <v>0</v>
      </c>
      <c r="G1464" s="151">
        <f>'Etude de cas n°1'!D1464</f>
        <v>0</v>
      </c>
      <c r="H1464" s="17"/>
      <c r="I1464" s="17"/>
      <c r="J1464" s="17"/>
      <c r="K1464" s="17"/>
      <c r="L1464" s="17"/>
      <c r="M1464" s="17"/>
      <c r="N1464" s="17"/>
    </row>
    <row r="1465" spans="1:14" s="96" customFormat="1" ht="13.2" x14ac:dyDescent="0.25">
      <c r="A1465" s="202" t="s">
        <v>753</v>
      </c>
      <c r="B1465" s="216" t="s">
        <v>3465</v>
      </c>
      <c r="C1465" s="217" t="s">
        <v>1034</v>
      </c>
      <c r="D1465" s="120"/>
      <c r="E1465" s="45">
        <f t="shared" si="79"/>
        <v>0</v>
      </c>
      <c r="F1465" s="127">
        <f t="shared" si="80"/>
        <v>0</v>
      </c>
      <c r="G1465" s="151">
        <f>'Etude de cas n°1'!D1465</f>
        <v>0</v>
      </c>
      <c r="H1465" s="17"/>
      <c r="I1465" s="17"/>
      <c r="J1465" s="17"/>
      <c r="K1465" s="17"/>
      <c r="L1465" s="17"/>
      <c r="M1465" s="17"/>
      <c r="N1465" s="17"/>
    </row>
    <row r="1466" spans="1:14" s="96" customFormat="1" ht="13.2" x14ac:dyDescent="0.25">
      <c r="A1466" s="202" t="s">
        <v>754</v>
      </c>
      <c r="B1466" s="216" t="s">
        <v>3466</v>
      </c>
      <c r="C1466" s="217" t="s">
        <v>1034</v>
      </c>
      <c r="D1466" s="120"/>
      <c r="E1466" s="45">
        <f t="shared" si="79"/>
        <v>0</v>
      </c>
      <c r="F1466" s="127">
        <f t="shared" si="80"/>
        <v>0</v>
      </c>
      <c r="G1466" s="151">
        <f>'Etude de cas n°1'!D1466</f>
        <v>0</v>
      </c>
      <c r="H1466" s="17"/>
      <c r="I1466" s="17"/>
      <c r="J1466" s="17"/>
      <c r="K1466" s="17"/>
      <c r="L1466" s="17"/>
      <c r="M1466" s="17"/>
      <c r="N1466" s="17"/>
    </row>
    <row r="1467" spans="1:14" s="96" customFormat="1" ht="13.2" x14ac:dyDescent="0.25">
      <c r="A1467" s="202" t="s">
        <v>755</v>
      </c>
      <c r="B1467" s="216" t="s">
        <v>3467</v>
      </c>
      <c r="C1467" s="217" t="s">
        <v>1034</v>
      </c>
      <c r="D1467" s="120"/>
      <c r="E1467" s="45">
        <f t="shared" si="79"/>
        <v>0</v>
      </c>
      <c r="F1467" s="127">
        <f t="shared" si="80"/>
        <v>0</v>
      </c>
      <c r="G1467" s="151">
        <f>'Etude de cas n°1'!D1467</f>
        <v>0</v>
      </c>
      <c r="H1467" s="17"/>
      <c r="I1467" s="17"/>
      <c r="J1467" s="17"/>
      <c r="K1467" s="17"/>
      <c r="L1467" s="17"/>
      <c r="M1467" s="17"/>
      <c r="N1467" s="17"/>
    </row>
    <row r="1468" spans="1:14" s="96" customFormat="1" ht="13.2" x14ac:dyDescent="0.25">
      <c r="A1468" s="202" t="s">
        <v>3468</v>
      </c>
      <c r="B1468" s="216" t="s">
        <v>3469</v>
      </c>
      <c r="C1468" s="217" t="s">
        <v>1034</v>
      </c>
      <c r="D1468" s="120"/>
      <c r="E1468" s="45">
        <f t="shared" si="79"/>
        <v>0</v>
      </c>
      <c r="F1468" s="127">
        <f t="shared" si="80"/>
        <v>0</v>
      </c>
      <c r="G1468" s="151">
        <f>'Etude de cas n°1'!D1468</f>
        <v>0</v>
      </c>
      <c r="H1468" s="17"/>
      <c r="I1468" s="17"/>
      <c r="J1468" s="17"/>
      <c r="K1468" s="17"/>
      <c r="L1468" s="17"/>
      <c r="M1468" s="17"/>
      <c r="N1468" s="17"/>
    </row>
    <row r="1469" spans="1:14" s="96" customFormat="1" ht="13.2" x14ac:dyDescent="0.25">
      <c r="A1469" s="202" t="s">
        <v>3470</v>
      </c>
      <c r="B1469" s="216" t="s">
        <v>3471</v>
      </c>
      <c r="C1469" s="217" t="s">
        <v>1034</v>
      </c>
      <c r="D1469" s="120"/>
      <c r="E1469" s="45">
        <f t="shared" si="79"/>
        <v>0</v>
      </c>
      <c r="F1469" s="127">
        <f t="shared" si="80"/>
        <v>0</v>
      </c>
      <c r="G1469" s="151">
        <f>'Etude de cas n°1'!D1469</f>
        <v>0</v>
      </c>
      <c r="H1469" s="17"/>
      <c r="I1469" s="17"/>
      <c r="J1469" s="17"/>
      <c r="K1469" s="17"/>
      <c r="L1469" s="17"/>
      <c r="M1469" s="17"/>
      <c r="N1469" s="17"/>
    </row>
    <row r="1470" spans="1:14" s="96" customFormat="1" ht="13.2" x14ac:dyDescent="0.25">
      <c r="A1470" s="202" t="s">
        <v>3472</v>
      </c>
      <c r="B1470" s="216" t="s">
        <v>3473</v>
      </c>
      <c r="C1470" s="217" t="s">
        <v>1034</v>
      </c>
      <c r="D1470" s="120"/>
      <c r="E1470" s="45">
        <f t="shared" si="79"/>
        <v>0</v>
      </c>
      <c r="F1470" s="127">
        <f t="shared" si="80"/>
        <v>0</v>
      </c>
      <c r="G1470" s="151">
        <f>'Etude de cas n°1'!D1470</f>
        <v>0</v>
      </c>
      <c r="H1470" s="17"/>
      <c r="I1470" s="17"/>
      <c r="J1470" s="17"/>
      <c r="K1470" s="17"/>
      <c r="L1470" s="17"/>
      <c r="M1470" s="17"/>
      <c r="N1470" s="17"/>
    </row>
    <row r="1471" spans="1:14" s="96" customFormat="1" ht="13.2" x14ac:dyDescent="0.25">
      <c r="A1471" s="202" t="s">
        <v>3474</v>
      </c>
      <c r="B1471" s="216" t="s">
        <v>3475</v>
      </c>
      <c r="C1471" s="217" t="s">
        <v>1034</v>
      </c>
      <c r="D1471" s="120"/>
      <c r="E1471" s="45">
        <f t="shared" si="79"/>
        <v>0</v>
      </c>
      <c r="F1471" s="127">
        <f t="shared" si="80"/>
        <v>0</v>
      </c>
      <c r="G1471" s="151">
        <f>'Etude de cas n°1'!D1471</f>
        <v>0</v>
      </c>
      <c r="H1471" s="17"/>
      <c r="I1471" s="17"/>
      <c r="J1471" s="17"/>
      <c r="K1471" s="17"/>
      <c r="L1471" s="17"/>
      <c r="M1471" s="17"/>
      <c r="N1471" s="17"/>
    </row>
    <row r="1472" spans="1:14" s="96" customFormat="1" ht="13.2" x14ac:dyDescent="0.25">
      <c r="A1472" s="83" t="s">
        <v>3476</v>
      </c>
      <c r="B1472" s="4" t="s">
        <v>3477</v>
      </c>
      <c r="C1472" s="217" t="s">
        <v>1883</v>
      </c>
      <c r="D1472" s="120"/>
      <c r="E1472" s="45"/>
      <c r="F1472" s="127"/>
      <c r="G1472" s="151"/>
      <c r="H1472" s="17"/>
      <c r="I1472" s="17"/>
      <c r="J1472" s="17"/>
      <c r="K1472" s="17"/>
      <c r="L1472" s="17"/>
      <c r="M1472" s="17"/>
      <c r="N1472" s="17"/>
    </row>
    <row r="1473" spans="1:14" s="96" customFormat="1" ht="13.2" x14ac:dyDescent="0.25">
      <c r="A1473" s="202" t="s">
        <v>833</v>
      </c>
      <c r="B1473" s="216" t="s">
        <v>3478</v>
      </c>
      <c r="C1473" s="217" t="s">
        <v>1232</v>
      </c>
      <c r="D1473" s="120"/>
      <c r="E1473" s="45">
        <f t="shared" si="79"/>
        <v>0</v>
      </c>
      <c r="F1473" s="127">
        <f t="shared" si="80"/>
        <v>0</v>
      </c>
      <c r="G1473" s="151">
        <f>'Etude de cas n°1'!D1473</f>
        <v>0</v>
      </c>
      <c r="H1473" s="17"/>
      <c r="I1473" s="17"/>
      <c r="J1473" s="17"/>
      <c r="K1473" s="17"/>
      <c r="L1473" s="17"/>
      <c r="M1473" s="17"/>
      <c r="N1473" s="17"/>
    </row>
    <row r="1474" spans="1:14" s="96" customFormat="1" ht="13.2" x14ac:dyDescent="0.25">
      <c r="A1474" s="202" t="s">
        <v>834</v>
      </c>
      <c r="B1474" s="216" t="s">
        <v>3479</v>
      </c>
      <c r="C1474" s="217" t="s">
        <v>1232</v>
      </c>
      <c r="D1474" s="120"/>
      <c r="E1474" s="45">
        <f t="shared" si="79"/>
        <v>0</v>
      </c>
      <c r="F1474" s="127">
        <f t="shared" si="80"/>
        <v>0</v>
      </c>
      <c r="G1474" s="151">
        <f>'Etude de cas n°1'!D1474</f>
        <v>0</v>
      </c>
      <c r="H1474" s="17"/>
      <c r="I1474" s="17"/>
      <c r="J1474" s="17"/>
      <c r="K1474" s="17"/>
      <c r="L1474" s="17"/>
      <c r="M1474" s="17"/>
      <c r="N1474" s="17"/>
    </row>
    <row r="1475" spans="1:14" s="96" customFormat="1" ht="13.2" x14ac:dyDescent="0.25">
      <c r="A1475" s="83" t="s">
        <v>3480</v>
      </c>
      <c r="B1475" s="4" t="s">
        <v>3481</v>
      </c>
      <c r="C1475" s="217"/>
      <c r="D1475" s="120"/>
      <c r="E1475" s="45"/>
      <c r="F1475" s="127"/>
      <c r="G1475" s="151"/>
      <c r="H1475" s="17"/>
      <c r="I1475" s="17"/>
      <c r="J1475" s="17"/>
      <c r="K1475" s="17"/>
      <c r="L1475" s="17"/>
      <c r="M1475" s="17"/>
      <c r="N1475" s="17"/>
    </row>
    <row r="1476" spans="1:14" s="96" customFormat="1" ht="13.2" x14ac:dyDescent="0.25">
      <c r="A1476" s="202" t="s">
        <v>838</v>
      </c>
      <c r="B1476" s="216" t="s">
        <v>3482</v>
      </c>
      <c r="C1476" s="217" t="s">
        <v>1984</v>
      </c>
      <c r="D1476" s="120"/>
      <c r="E1476" s="45">
        <f t="shared" si="79"/>
        <v>0</v>
      </c>
      <c r="F1476" s="127">
        <f t="shared" si="80"/>
        <v>0</v>
      </c>
      <c r="G1476" s="151">
        <f>'Etude de cas n°1'!D1476</f>
        <v>0</v>
      </c>
      <c r="H1476" s="17"/>
      <c r="I1476" s="17"/>
      <c r="J1476" s="17"/>
      <c r="K1476" s="17"/>
      <c r="L1476" s="17"/>
      <c r="M1476" s="17"/>
      <c r="N1476" s="17"/>
    </row>
    <row r="1477" spans="1:14" s="96" customFormat="1" ht="13.2" x14ac:dyDescent="0.25">
      <c r="A1477" s="202" t="s">
        <v>839</v>
      </c>
      <c r="B1477" s="216" t="s">
        <v>3483</v>
      </c>
      <c r="C1477" s="217" t="s">
        <v>1984</v>
      </c>
      <c r="D1477" s="120"/>
      <c r="E1477" s="45">
        <f t="shared" si="79"/>
        <v>0</v>
      </c>
      <c r="F1477" s="127">
        <f t="shared" si="80"/>
        <v>0</v>
      </c>
      <c r="G1477" s="151">
        <f>'Etude de cas n°1'!D1477</f>
        <v>0</v>
      </c>
      <c r="H1477" s="17"/>
      <c r="I1477" s="17"/>
      <c r="J1477" s="17"/>
      <c r="K1477" s="17"/>
      <c r="L1477" s="17"/>
      <c r="M1477" s="17"/>
      <c r="N1477" s="17"/>
    </row>
    <row r="1478" spans="1:14" s="96" customFormat="1" ht="13.2" x14ac:dyDescent="0.25">
      <c r="A1478" s="202" t="s">
        <v>840</v>
      </c>
      <c r="B1478" s="216" t="s">
        <v>3484</v>
      </c>
      <c r="C1478" s="217" t="s">
        <v>1984</v>
      </c>
      <c r="D1478" s="120"/>
      <c r="E1478" s="45">
        <f t="shared" si="79"/>
        <v>0</v>
      </c>
      <c r="F1478" s="127">
        <f t="shared" si="80"/>
        <v>0</v>
      </c>
      <c r="G1478" s="151">
        <f>'Etude de cas n°1'!D1478</f>
        <v>0</v>
      </c>
      <c r="H1478" s="17"/>
      <c r="I1478" s="17"/>
      <c r="J1478" s="17"/>
      <c r="K1478" s="17"/>
      <c r="L1478" s="17"/>
      <c r="M1478" s="17"/>
      <c r="N1478" s="17"/>
    </row>
    <row r="1479" spans="1:14" s="96" customFormat="1" ht="13.2" x14ac:dyDescent="0.25">
      <c r="A1479" s="202" t="s">
        <v>841</v>
      </c>
      <c r="B1479" s="216" t="s">
        <v>3485</v>
      </c>
      <c r="C1479" s="217" t="s">
        <v>1984</v>
      </c>
      <c r="D1479" s="120"/>
      <c r="E1479" s="45">
        <f t="shared" si="79"/>
        <v>0</v>
      </c>
      <c r="F1479" s="127">
        <f t="shared" si="80"/>
        <v>0</v>
      </c>
      <c r="G1479" s="151">
        <f>'Etude de cas n°1'!D1479</f>
        <v>0</v>
      </c>
      <c r="H1479" s="17"/>
      <c r="I1479" s="17"/>
      <c r="J1479" s="17"/>
      <c r="K1479" s="17"/>
      <c r="L1479" s="17"/>
      <c r="M1479" s="17"/>
      <c r="N1479" s="17"/>
    </row>
    <row r="1480" spans="1:14" s="96" customFormat="1" ht="13.2" x14ac:dyDescent="0.25">
      <c r="A1480" s="202" t="s">
        <v>3486</v>
      </c>
      <c r="B1480" s="216" t="s">
        <v>3487</v>
      </c>
      <c r="C1480" s="217" t="s">
        <v>1984</v>
      </c>
      <c r="D1480" s="120"/>
      <c r="E1480" s="45">
        <f t="shared" si="79"/>
        <v>0</v>
      </c>
      <c r="F1480" s="127">
        <f t="shared" si="80"/>
        <v>0</v>
      </c>
      <c r="G1480" s="151">
        <f>'Etude de cas n°1'!D1480</f>
        <v>0</v>
      </c>
      <c r="H1480" s="17"/>
      <c r="I1480" s="17"/>
      <c r="J1480" s="17"/>
      <c r="K1480" s="17"/>
      <c r="L1480" s="17"/>
      <c r="M1480" s="17"/>
      <c r="N1480" s="17"/>
    </row>
    <row r="1481" spans="1:14" s="96" customFormat="1" ht="13.2" x14ac:dyDescent="0.25">
      <c r="A1481" s="202" t="s">
        <v>3488</v>
      </c>
      <c r="B1481" s="216" t="s">
        <v>3489</v>
      </c>
      <c r="C1481" s="217" t="s">
        <v>1984</v>
      </c>
      <c r="D1481" s="120"/>
      <c r="E1481" s="45">
        <f t="shared" si="79"/>
        <v>0</v>
      </c>
      <c r="F1481" s="127">
        <f t="shared" si="80"/>
        <v>0</v>
      </c>
      <c r="G1481" s="151">
        <f>'Etude de cas n°1'!D1481</f>
        <v>0</v>
      </c>
      <c r="H1481" s="17"/>
      <c r="I1481" s="17"/>
      <c r="J1481" s="17"/>
      <c r="K1481" s="17"/>
      <c r="L1481" s="17"/>
      <c r="M1481" s="17"/>
      <c r="N1481" s="17"/>
    </row>
    <row r="1482" spans="1:14" s="96" customFormat="1" ht="13.2" x14ac:dyDescent="0.25">
      <c r="A1482" s="202" t="s">
        <v>3490</v>
      </c>
      <c r="B1482" s="216" t="s">
        <v>3491</v>
      </c>
      <c r="C1482" s="217" t="s">
        <v>1984</v>
      </c>
      <c r="D1482" s="120"/>
      <c r="E1482" s="45">
        <f t="shared" si="79"/>
        <v>0</v>
      </c>
      <c r="F1482" s="127">
        <f t="shared" si="80"/>
        <v>0</v>
      </c>
      <c r="G1482" s="151">
        <f>'Etude de cas n°1'!D1482</f>
        <v>0</v>
      </c>
      <c r="H1482" s="17"/>
      <c r="I1482" s="17"/>
      <c r="J1482" s="17"/>
      <c r="K1482" s="17"/>
      <c r="L1482" s="17"/>
      <c r="M1482" s="17"/>
      <c r="N1482" s="17"/>
    </row>
    <row r="1483" spans="1:14" s="96" customFormat="1" ht="13.2" x14ac:dyDescent="0.25">
      <c r="A1483" s="202" t="s">
        <v>3492</v>
      </c>
      <c r="B1483" s="216" t="s">
        <v>3493</v>
      </c>
      <c r="C1483" s="217" t="s">
        <v>1984</v>
      </c>
      <c r="D1483" s="120"/>
      <c r="E1483" s="45">
        <f t="shared" si="79"/>
        <v>0</v>
      </c>
      <c r="F1483" s="127">
        <f t="shared" si="80"/>
        <v>0</v>
      </c>
      <c r="G1483" s="151">
        <f>'Etude de cas n°1'!D1483</f>
        <v>0</v>
      </c>
      <c r="H1483" s="17"/>
      <c r="I1483" s="17"/>
      <c r="J1483" s="17"/>
      <c r="K1483" s="17"/>
      <c r="L1483" s="17"/>
      <c r="M1483" s="17"/>
      <c r="N1483" s="17"/>
    </row>
    <row r="1484" spans="1:14" s="96" customFormat="1" ht="13.2" x14ac:dyDescent="0.25">
      <c r="A1484" s="202" t="s">
        <v>3494</v>
      </c>
      <c r="B1484" s="216" t="s">
        <v>3495</v>
      </c>
      <c r="C1484" s="217" t="s">
        <v>1984</v>
      </c>
      <c r="D1484" s="120"/>
      <c r="E1484" s="45">
        <f t="shared" si="79"/>
        <v>0</v>
      </c>
      <c r="F1484" s="127">
        <f t="shared" si="80"/>
        <v>0</v>
      </c>
      <c r="G1484" s="151">
        <f>'Etude de cas n°1'!D1484</f>
        <v>0</v>
      </c>
      <c r="H1484" s="17"/>
      <c r="I1484" s="17"/>
      <c r="J1484" s="17"/>
      <c r="K1484" s="17"/>
      <c r="L1484" s="17"/>
      <c r="M1484" s="17"/>
      <c r="N1484" s="17"/>
    </row>
    <row r="1485" spans="1:14" s="96" customFormat="1" ht="13.2" x14ac:dyDescent="0.25">
      <c r="A1485" s="202" t="s">
        <v>3496</v>
      </c>
      <c r="B1485" s="216" t="s">
        <v>3497</v>
      </c>
      <c r="C1485" s="217" t="s">
        <v>1984</v>
      </c>
      <c r="D1485" s="120"/>
      <c r="E1485" s="45">
        <f t="shared" si="79"/>
        <v>0</v>
      </c>
      <c r="F1485" s="127">
        <f t="shared" si="80"/>
        <v>0</v>
      </c>
      <c r="G1485" s="151">
        <f>'Etude de cas n°1'!D1485</f>
        <v>0</v>
      </c>
      <c r="H1485" s="17"/>
      <c r="I1485" s="17"/>
      <c r="J1485" s="17"/>
      <c r="K1485" s="17"/>
      <c r="L1485" s="17"/>
      <c r="M1485" s="17"/>
      <c r="N1485" s="17"/>
    </row>
    <row r="1486" spans="1:14" s="96" customFormat="1" ht="13.2" x14ac:dyDescent="0.25">
      <c r="A1486" s="202" t="s">
        <v>3498</v>
      </c>
      <c r="B1486" s="216" t="s">
        <v>3499</v>
      </c>
      <c r="C1486" s="217" t="s">
        <v>1984</v>
      </c>
      <c r="D1486" s="120"/>
      <c r="E1486" s="45">
        <f t="shared" si="79"/>
        <v>0</v>
      </c>
      <c r="F1486" s="127">
        <f t="shared" si="80"/>
        <v>0</v>
      </c>
      <c r="G1486" s="151">
        <f>'Etude de cas n°1'!D1486</f>
        <v>0</v>
      </c>
      <c r="H1486" s="17"/>
      <c r="I1486" s="17"/>
      <c r="J1486" s="17"/>
      <c r="K1486" s="17"/>
      <c r="L1486" s="17"/>
      <c r="M1486" s="17"/>
      <c r="N1486" s="17"/>
    </row>
    <row r="1487" spans="1:14" s="96" customFormat="1" ht="13.2" x14ac:dyDescent="0.25">
      <c r="A1487" s="202" t="s">
        <v>3500</v>
      </c>
      <c r="B1487" s="216" t="s">
        <v>3501</v>
      </c>
      <c r="C1487" s="217" t="s">
        <v>1984</v>
      </c>
      <c r="D1487" s="120"/>
      <c r="E1487" s="45">
        <f t="shared" si="79"/>
        <v>0</v>
      </c>
      <c r="F1487" s="127">
        <f t="shared" si="80"/>
        <v>0</v>
      </c>
      <c r="G1487" s="151">
        <f>'Etude de cas n°1'!D1487</f>
        <v>0</v>
      </c>
      <c r="H1487" s="17"/>
      <c r="I1487" s="17"/>
      <c r="J1487" s="17"/>
      <c r="K1487" s="17"/>
      <c r="L1487" s="17"/>
      <c r="M1487" s="17"/>
      <c r="N1487" s="17"/>
    </row>
    <row r="1488" spans="1:14" s="96" customFormat="1" ht="13.2" x14ac:dyDescent="0.25">
      <c r="A1488" s="202" t="s">
        <v>3502</v>
      </c>
      <c r="B1488" s="216" t="s">
        <v>3503</v>
      </c>
      <c r="C1488" s="217" t="s">
        <v>1984</v>
      </c>
      <c r="D1488" s="120"/>
      <c r="E1488" s="45">
        <f t="shared" si="79"/>
        <v>0</v>
      </c>
      <c r="F1488" s="127">
        <f t="shared" si="80"/>
        <v>0</v>
      </c>
      <c r="G1488" s="151">
        <f>'Etude de cas n°1'!D1488</f>
        <v>0</v>
      </c>
      <c r="H1488" s="17"/>
      <c r="I1488" s="17"/>
      <c r="J1488" s="17"/>
      <c r="K1488" s="17"/>
      <c r="L1488" s="17"/>
      <c r="M1488" s="17"/>
      <c r="N1488" s="17"/>
    </row>
    <row r="1489" spans="1:14" s="96" customFormat="1" ht="13.2" x14ac:dyDescent="0.25">
      <c r="A1489" s="202" t="s">
        <v>3504</v>
      </c>
      <c r="B1489" s="216" t="s">
        <v>3505</v>
      </c>
      <c r="C1489" s="217" t="s">
        <v>1984</v>
      </c>
      <c r="D1489" s="120"/>
      <c r="E1489" s="45">
        <f t="shared" si="79"/>
        <v>0</v>
      </c>
      <c r="F1489" s="127">
        <f t="shared" si="80"/>
        <v>0</v>
      </c>
      <c r="G1489" s="151">
        <f>'Etude de cas n°1'!D1489</f>
        <v>0</v>
      </c>
      <c r="H1489" s="17"/>
      <c r="I1489" s="17"/>
      <c r="J1489" s="17"/>
      <c r="K1489" s="17"/>
      <c r="L1489" s="17"/>
      <c r="M1489" s="17"/>
      <c r="N1489" s="17"/>
    </row>
    <row r="1490" spans="1:14" s="96" customFormat="1" ht="13.2" x14ac:dyDescent="0.25">
      <c r="A1490" s="202" t="s">
        <v>3506</v>
      </c>
      <c r="B1490" s="216" t="s">
        <v>3507</v>
      </c>
      <c r="C1490" s="217" t="s">
        <v>1984</v>
      </c>
      <c r="D1490" s="120"/>
      <c r="E1490" s="45">
        <f t="shared" si="79"/>
        <v>0</v>
      </c>
      <c r="F1490" s="127">
        <f t="shared" si="80"/>
        <v>0</v>
      </c>
      <c r="G1490" s="151">
        <f>'Etude de cas n°1'!D1490</f>
        <v>0</v>
      </c>
      <c r="H1490" s="17"/>
      <c r="I1490" s="17"/>
      <c r="J1490" s="17"/>
      <c r="K1490" s="17"/>
      <c r="L1490" s="17"/>
      <c r="M1490" s="17"/>
      <c r="N1490" s="17"/>
    </row>
    <row r="1491" spans="1:14" s="96" customFormat="1" ht="13.2" x14ac:dyDescent="0.25">
      <c r="A1491" s="202" t="s">
        <v>3508</v>
      </c>
      <c r="B1491" s="216" t="s">
        <v>3509</v>
      </c>
      <c r="C1491" s="217" t="s">
        <v>1984</v>
      </c>
      <c r="D1491" s="120"/>
      <c r="E1491" s="45">
        <f t="shared" si="79"/>
        <v>0</v>
      </c>
      <c r="F1491" s="127">
        <f t="shared" si="80"/>
        <v>0</v>
      </c>
      <c r="G1491" s="151">
        <f>'Etude de cas n°1'!D1491</f>
        <v>0</v>
      </c>
      <c r="H1491" s="17"/>
      <c r="I1491" s="17"/>
      <c r="J1491" s="17"/>
      <c r="K1491" s="17"/>
      <c r="L1491" s="17"/>
      <c r="M1491" s="17"/>
      <c r="N1491" s="17"/>
    </row>
    <row r="1492" spans="1:14" s="96" customFormat="1" ht="13.2" x14ac:dyDescent="0.25">
      <c r="A1492" s="202" t="s">
        <v>3510</v>
      </c>
      <c r="B1492" s="216" t="s">
        <v>3511</v>
      </c>
      <c r="C1492" s="217" t="s">
        <v>1984</v>
      </c>
      <c r="D1492" s="120"/>
      <c r="E1492" s="45">
        <f t="shared" si="79"/>
        <v>0</v>
      </c>
      <c r="F1492" s="127">
        <f t="shared" si="80"/>
        <v>0</v>
      </c>
      <c r="G1492" s="151">
        <f>'Etude de cas n°1'!D1492</f>
        <v>0</v>
      </c>
      <c r="H1492" s="17"/>
      <c r="I1492" s="17"/>
      <c r="J1492" s="17"/>
      <c r="K1492" s="17"/>
      <c r="L1492" s="17"/>
      <c r="M1492" s="17"/>
      <c r="N1492" s="17"/>
    </row>
    <row r="1493" spans="1:14" s="96" customFormat="1" ht="13.2" x14ac:dyDescent="0.25">
      <c r="A1493" s="202" t="s">
        <v>3512</v>
      </c>
      <c r="B1493" s="216" t="s">
        <v>3513</v>
      </c>
      <c r="C1493" s="217" t="s">
        <v>1984</v>
      </c>
      <c r="D1493" s="120"/>
      <c r="E1493" s="45">
        <f t="shared" si="79"/>
        <v>0</v>
      </c>
      <c r="F1493" s="127">
        <f t="shared" si="80"/>
        <v>0</v>
      </c>
      <c r="G1493" s="151">
        <f>'Etude de cas n°1'!D1493</f>
        <v>0</v>
      </c>
      <c r="H1493" s="17"/>
      <c r="I1493" s="17"/>
      <c r="J1493" s="17"/>
      <c r="K1493" s="17"/>
      <c r="L1493" s="17"/>
      <c r="M1493" s="17"/>
      <c r="N1493" s="17"/>
    </row>
    <row r="1494" spans="1:14" s="96" customFormat="1" ht="13.2" x14ac:dyDescent="0.25">
      <c r="A1494" s="202" t="s">
        <v>3514</v>
      </c>
      <c r="B1494" s="216" t="s">
        <v>3515</v>
      </c>
      <c r="C1494" s="217" t="s">
        <v>1984</v>
      </c>
      <c r="D1494" s="120"/>
      <c r="E1494" s="45">
        <f t="shared" si="79"/>
        <v>0</v>
      </c>
      <c r="F1494" s="127">
        <f t="shared" si="80"/>
        <v>0</v>
      </c>
      <c r="G1494" s="151">
        <f>'Etude de cas n°1'!D1494</f>
        <v>0</v>
      </c>
      <c r="H1494" s="17"/>
      <c r="I1494" s="17"/>
      <c r="J1494" s="17"/>
      <c r="K1494" s="17"/>
      <c r="L1494" s="17"/>
      <c r="M1494" s="17"/>
      <c r="N1494" s="17"/>
    </row>
    <row r="1495" spans="1:14" s="96" customFormat="1" ht="13.2" x14ac:dyDescent="0.25">
      <c r="A1495" s="202" t="s">
        <v>3516</v>
      </c>
      <c r="B1495" s="216" t="s">
        <v>3517</v>
      </c>
      <c r="C1495" s="217" t="s">
        <v>1984</v>
      </c>
      <c r="D1495" s="120"/>
      <c r="E1495" s="45">
        <f t="shared" si="79"/>
        <v>0</v>
      </c>
      <c r="F1495" s="127">
        <f t="shared" si="80"/>
        <v>0</v>
      </c>
      <c r="G1495" s="151">
        <f>'Etude de cas n°1'!D1495</f>
        <v>0</v>
      </c>
      <c r="H1495" s="17"/>
      <c r="I1495" s="17"/>
      <c r="J1495" s="17"/>
      <c r="K1495" s="17"/>
      <c r="L1495" s="17"/>
      <c r="M1495" s="17"/>
      <c r="N1495" s="17"/>
    </row>
    <row r="1496" spans="1:14" s="96" customFormat="1" ht="13.2" x14ac:dyDescent="0.25">
      <c r="A1496" s="202" t="s">
        <v>3518</v>
      </c>
      <c r="B1496" s="216" t="s">
        <v>3519</v>
      </c>
      <c r="C1496" s="217" t="s">
        <v>1984</v>
      </c>
      <c r="D1496" s="120"/>
      <c r="E1496" s="45">
        <f t="shared" si="79"/>
        <v>0</v>
      </c>
      <c r="F1496" s="127">
        <f t="shared" si="80"/>
        <v>0</v>
      </c>
      <c r="G1496" s="151">
        <f>'Etude de cas n°1'!D1496</f>
        <v>0</v>
      </c>
      <c r="H1496" s="17"/>
      <c r="I1496" s="17"/>
      <c r="J1496" s="17"/>
      <c r="K1496" s="17"/>
      <c r="L1496" s="17"/>
      <c r="M1496" s="17"/>
      <c r="N1496" s="17"/>
    </row>
    <row r="1497" spans="1:14" s="96" customFormat="1" ht="26.4" x14ac:dyDescent="0.25">
      <c r="A1497" s="27" t="s">
        <v>3520</v>
      </c>
      <c r="B1497" s="3" t="s">
        <v>3521</v>
      </c>
      <c r="C1497" s="217" t="s">
        <v>1011</v>
      </c>
      <c r="D1497" s="120"/>
      <c r="E1497" s="45">
        <f t="shared" si="79"/>
        <v>0</v>
      </c>
      <c r="F1497" s="127">
        <f t="shared" si="80"/>
        <v>0</v>
      </c>
      <c r="G1497" s="151">
        <f>'Etude de cas n°1'!D1497</f>
        <v>0</v>
      </c>
      <c r="H1497" s="17"/>
      <c r="I1497" s="17"/>
      <c r="J1497" s="17"/>
      <c r="K1497" s="17"/>
      <c r="L1497" s="17"/>
      <c r="M1497" s="17"/>
      <c r="N1497" s="17"/>
    </row>
    <row r="1498" spans="1:14" s="96" customFormat="1" ht="13.2" x14ac:dyDescent="0.25">
      <c r="A1498" s="204" t="s">
        <v>3522</v>
      </c>
      <c r="B1498" s="252" t="s">
        <v>3523</v>
      </c>
      <c r="C1498" s="238" t="s">
        <v>1011</v>
      </c>
      <c r="D1498" s="249"/>
      <c r="E1498" s="45">
        <f t="shared" si="79"/>
        <v>0</v>
      </c>
      <c r="F1498" s="198">
        <f t="shared" ref="F1498" si="81">D1498*E1498</f>
        <v>0</v>
      </c>
      <c r="G1498" s="151">
        <f>'Etude de cas n°1'!D1498</f>
        <v>0</v>
      </c>
      <c r="H1498" s="17"/>
      <c r="I1498" s="17"/>
      <c r="J1498" s="17"/>
      <c r="K1498" s="17"/>
      <c r="L1498" s="17"/>
      <c r="M1498" s="17"/>
      <c r="N1498" s="17"/>
    </row>
    <row r="1499" spans="1:14" s="96" customFormat="1" ht="13.2" x14ac:dyDescent="0.25">
      <c r="A1499" s="27" t="s">
        <v>3524</v>
      </c>
      <c r="B1499" s="3" t="s">
        <v>3525</v>
      </c>
      <c r="C1499" s="217"/>
      <c r="D1499" s="120"/>
      <c r="E1499" s="45">
        <f t="shared" si="79"/>
        <v>0</v>
      </c>
      <c r="F1499" s="127"/>
      <c r="G1499" s="151">
        <f>'Etude de cas n°1'!D1499</f>
        <v>0</v>
      </c>
      <c r="H1499" s="17"/>
      <c r="I1499" s="17"/>
      <c r="J1499" s="17"/>
      <c r="K1499" s="17"/>
      <c r="L1499" s="17"/>
      <c r="M1499" s="17"/>
      <c r="N1499" s="17"/>
    </row>
    <row r="1500" spans="1:14" s="96" customFormat="1" ht="13.2" x14ac:dyDescent="0.25">
      <c r="A1500" s="202" t="s">
        <v>3526</v>
      </c>
      <c r="B1500" s="216" t="s">
        <v>3527</v>
      </c>
      <c r="C1500" s="217" t="s">
        <v>1011</v>
      </c>
      <c r="D1500" s="120"/>
      <c r="E1500" s="45">
        <f t="shared" si="79"/>
        <v>3</v>
      </c>
      <c r="F1500" s="127">
        <f t="shared" si="80"/>
        <v>0</v>
      </c>
      <c r="G1500" s="151">
        <f>'Etude de cas n°1'!D1500</f>
        <v>3</v>
      </c>
      <c r="H1500" s="17"/>
      <c r="I1500" s="17"/>
      <c r="J1500" s="17"/>
      <c r="K1500" s="17"/>
      <c r="L1500" s="17"/>
      <c r="M1500" s="17"/>
      <c r="N1500" s="17"/>
    </row>
    <row r="1501" spans="1:14" s="96" customFormat="1" ht="13.2" x14ac:dyDescent="0.25">
      <c r="A1501" s="202" t="s">
        <v>3528</v>
      </c>
      <c r="B1501" s="216" t="s">
        <v>3529</v>
      </c>
      <c r="C1501" s="217" t="s">
        <v>1011</v>
      </c>
      <c r="D1501" s="120"/>
      <c r="E1501" s="45">
        <f t="shared" si="79"/>
        <v>0</v>
      </c>
      <c r="F1501" s="127">
        <f t="shared" si="80"/>
        <v>0</v>
      </c>
      <c r="G1501" s="151">
        <f>'Etude de cas n°1'!D1501</f>
        <v>0</v>
      </c>
      <c r="H1501" s="17"/>
      <c r="I1501" s="17"/>
      <c r="J1501" s="17"/>
      <c r="K1501" s="17"/>
      <c r="L1501" s="17"/>
      <c r="M1501" s="17"/>
      <c r="N1501" s="17"/>
    </row>
    <row r="1502" spans="1:14" s="96" customFormat="1" ht="13.2" x14ac:dyDescent="0.25">
      <c r="A1502" s="28" t="s">
        <v>3530</v>
      </c>
      <c r="B1502" s="6" t="s">
        <v>3531</v>
      </c>
      <c r="C1502" s="217" t="s">
        <v>1011</v>
      </c>
      <c r="D1502" s="120"/>
      <c r="E1502" s="45">
        <f t="shared" si="79"/>
        <v>0</v>
      </c>
      <c r="F1502" s="127">
        <f t="shared" si="80"/>
        <v>0</v>
      </c>
      <c r="G1502" s="151">
        <f>'Etude de cas n°1'!D1502</f>
        <v>0</v>
      </c>
      <c r="H1502" s="17"/>
      <c r="I1502" s="17"/>
      <c r="J1502" s="17"/>
      <c r="K1502" s="17"/>
      <c r="L1502" s="17"/>
      <c r="M1502" s="17"/>
      <c r="N1502" s="17"/>
    </row>
    <row r="1503" spans="1:14" s="96" customFormat="1" ht="13.2" x14ac:dyDescent="0.25">
      <c r="A1503" s="28" t="s">
        <v>3532</v>
      </c>
      <c r="B1503" s="6" t="s">
        <v>3533</v>
      </c>
      <c r="C1503" s="217"/>
      <c r="D1503" s="120"/>
      <c r="E1503" s="45"/>
      <c r="F1503" s="127"/>
      <c r="G1503" s="151"/>
      <c r="H1503" s="17"/>
      <c r="I1503" s="17"/>
      <c r="J1503" s="17"/>
      <c r="K1503" s="17"/>
      <c r="L1503" s="17"/>
      <c r="M1503" s="17"/>
      <c r="N1503" s="17"/>
    </row>
    <row r="1504" spans="1:14" s="96" customFormat="1" ht="13.2" x14ac:dyDescent="0.25">
      <c r="A1504" s="202" t="s">
        <v>3534</v>
      </c>
      <c r="B1504" s="223" t="s">
        <v>3535</v>
      </c>
      <c r="C1504" s="217" t="s">
        <v>1034</v>
      </c>
      <c r="D1504" s="120"/>
      <c r="E1504" s="45">
        <f t="shared" si="79"/>
        <v>0</v>
      </c>
      <c r="F1504" s="127">
        <f t="shared" si="80"/>
        <v>0</v>
      </c>
      <c r="G1504" s="151">
        <f>'Etude de cas n°1'!D1504</f>
        <v>0</v>
      </c>
      <c r="H1504" s="17"/>
      <c r="I1504" s="17"/>
      <c r="J1504" s="17"/>
      <c r="K1504" s="17"/>
      <c r="L1504" s="17"/>
      <c r="M1504" s="17"/>
      <c r="N1504" s="17"/>
    </row>
    <row r="1505" spans="1:14" s="96" customFormat="1" ht="13.2" x14ac:dyDescent="0.25">
      <c r="A1505" s="202" t="s">
        <v>3536</v>
      </c>
      <c r="B1505" s="192" t="s">
        <v>3537</v>
      </c>
      <c r="C1505" s="217" t="s">
        <v>1034</v>
      </c>
      <c r="D1505" s="120"/>
      <c r="E1505" s="45">
        <f t="shared" si="79"/>
        <v>0</v>
      </c>
      <c r="F1505" s="127">
        <f t="shared" si="80"/>
        <v>0</v>
      </c>
      <c r="G1505" s="151">
        <f>'Etude de cas n°1'!D1505</f>
        <v>0</v>
      </c>
      <c r="H1505" s="17"/>
      <c r="I1505" s="17"/>
      <c r="J1505" s="17"/>
      <c r="K1505" s="17"/>
      <c r="L1505" s="17"/>
      <c r="M1505" s="17"/>
      <c r="N1505" s="17"/>
    </row>
    <row r="1506" spans="1:14" s="96" customFormat="1" ht="13.2" x14ac:dyDescent="0.25">
      <c r="A1506" s="202" t="s">
        <v>3538</v>
      </c>
      <c r="B1506" s="192" t="s">
        <v>3539</v>
      </c>
      <c r="C1506" s="217" t="s">
        <v>1034</v>
      </c>
      <c r="D1506" s="120"/>
      <c r="E1506" s="45">
        <f t="shared" si="79"/>
        <v>0</v>
      </c>
      <c r="F1506" s="127">
        <f t="shared" si="80"/>
        <v>0</v>
      </c>
      <c r="G1506" s="151">
        <f>'Etude de cas n°1'!D1506</f>
        <v>0</v>
      </c>
      <c r="H1506" s="17"/>
      <c r="I1506" s="17"/>
      <c r="J1506" s="17"/>
      <c r="K1506" s="17"/>
      <c r="L1506" s="17"/>
      <c r="M1506" s="17"/>
      <c r="N1506" s="17"/>
    </row>
    <row r="1507" spans="1:14" s="96" customFormat="1" ht="13.2" x14ac:dyDescent="0.25">
      <c r="A1507" s="202" t="s">
        <v>3540</v>
      </c>
      <c r="B1507" s="223" t="s">
        <v>3541</v>
      </c>
      <c r="C1507" s="217" t="s">
        <v>1034</v>
      </c>
      <c r="D1507" s="120"/>
      <c r="E1507" s="45">
        <f t="shared" si="79"/>
        <v>0</v>
      </c>
      <c r="F1507" s="127">
        <f t="shared" si="80"/>
        <v>0</v>
      </c>
      <c r="G1507" s="151">
        <f>'Etude de cas n°1'!D1507</f>
        <v>0</v>
      </c>
      <c r="H1507" s="17"/>
      <c r="I1507" s="17"/>
      <c r="J1507" s="17"/>
      <c r="K1507" s="17"/>
      <c r="L1507" s="17"/>
      <c r="M1507" s="17"/>
      <c r="N1507" s="17"/>
    </row>
    <row r="1508" spans="1:14" s="96" customFormat="1" ht="13.2" x14ac:dyDescent="0.25">
      <c r="A1508" s="28" t="s">
        <v>3542</v>
      </c>
      <c r="B1508" s="6" t="s">
        <v>3543</v>
      </c>
      <c r="C1508" s="217" t="s">
        <v>1034</v>
      </c>
      <c r="D1508" s="120"/>
      <c r="E1508" s="45">
        <f t="shared" si="79"/>
        <v>0</v>
      </c>
      <c r="F1508" s="127">
        <f>D1508*E1508</f>
        <v>0</v>
      </c>
      <c r="G1508" s="151">
        <f>'Etude de cas n°1'!D1508</f>
        <v>0</v>
      </c>
      <c r="H1508" s="17"/>
      <c r="I1508" s="17"/>
      <c r="J1508" s="17"/>
      <c r="K1508" s="17"/>
      <c r="L1508" s="17"/>
      <c r="M1508" s="17"/>
      <c r="N1508" s="17"/>
    </row>
    <row r="1509" spans="1:14" s="96" customFormat="1" ht="13.2" x14ac:dyDescent="0.25">
      <c r="A1509" s="28" t="s">
        <v>3544</v>
      </c>
      <c r="B1509" s="6" t="s">
        <v>3545</v>
      </c>
      <c r="C1509" s="217" t="s">
        <v>1034</v>
      </c>
      <c r="D1509" s="120"/>
      <c r="E1509" s="45">
        <f t="shared" si="79"/>
        <v>0</v>
      </c>
      <c r="F1509" s="127">
        <f>D1509*E1509</f>
        <v>0</v>
      </c>
      <c r="G1509" s="151">
        <f>'Etude de cas n°1'!D1509</f>
        <v>0</v>
      </c>
      <c r="H1509" s="17"/>
      <c r="I1509" s="17"/>
      <c r="J1509" s="17"/>
      <c r="K1509" s="17"/>
      <c r="L1509" s="17"/>
      <c r="M1509" s="17"/>
      <c r="N1509" s="17"/>
    </row>
    <row r="1510" spans="1:14" s="96" customFormat="1" ht="26.4" x14ac:dyDescent="0.25">
      <c r="A1510" s="28" t="s">
        <v>3546</v>
      </c>
      <c r="B1510" s="6" t="s">
        <v>3547</v>
      </c>
      <c r="C1510" s="217" t="s">
        <v>1034</v>
      </c>
      <c r="D1510" s="120"/>
      <c r="E1510" s="45">
        <f t="shared" ref="E1510:E1512" si="82">G1510</f>
        <v>0</v>
      </c>
      <c r="F1510" s="127">
        <f>D1510*E1510</f>
        <v>0</v>
      </c>
      <c r="G1510" s="151">
        <f>'Etude de cas n°1'!D1510</f>
        <v>0</v>
      </c>
      <c r="H1510" s="17"/>
      <c r="I1510" s="17"/>
      <c r="J1510" s="17"/>
      <c r="K1510" s="17"/>
      <c r="L1510" s="17"/>
      <c r="M1510" s="17"/>
      <c r="N1510" s="17"/>
    </row>
    <row r="1511" spans="1:14" s="96" customFormat="1" ht="13.2" x14ac:dyDescent="0.25">
      <c r="A1511" s="28" t="s">
        <v>3548</v>
      </c>
      <c r="B1511" s="6" t="s">
        <v>3549</v>
      </c>
      <c r="C1511" s="217" t="s">
        <v>1141</v>
      </c>
      <c r="D1511" s="120"/>
      <c r="E1511" s="45">
        <f t="shared" si="82"/>
        <v>0</v>
      </c>
      <c r="F1511" s="127">
        <f>D1511*E1511</f>
        <v>0</v>
      </c>
      <c r="G1511" s="151">
        <f>'Etude de cas n°1'!D1511</f>
        <v>0</v>
      </c>
      <c r="H1511" s="17"/>
      <c r="I1511" s="17"/>
      <c r="J1511" s="17"/>
      <c r="K1511" s="17"/>
      <c r="L1511" s="17"/>
      <c r="M1511" s="17"/>
      <c r="N1511" s="17"/>
    </row>
    <row r="1512" spans="1:14" s="96" customFormat="1" ht="13.2" x14ac:dyDescent="0.25">
      <c r="A1512" s="28" t="s">
        <v>3550</v>
      </c>
      <c r="B1512" s="6" t="s">
        <v>3551</v>
      </c>
      <c r="C1512" s="217" t="s">
        <v>1034</v>
      </c>
      <c r="D1512" s="120"/>
      <c r="E1512" s="45">
        <f t="shared" si="82"/>
        <v>0</v>
      </c>
      <c r="F1512" s="127">
        <f t="shared" si="80"/>
        <v>0</v>
      </c>
      <c r="G1512" s="151">
        <f>'Etude de cas n°1'!D1512</f>
        <v>0</v>
      </c>
      <c r="H1512" s="17"/>
      <c r="I1512" s="17"/>
      <c r="J1512" s="17"/>
      <c r="K1512" s="17"/>
      <c r="L1512" s="17"/>
      <c r="M1512" s="17"/>
      <c r="N1512" s="17"/>
    </row>
    <row r="1513" spans="1:14" s="96" customFormat="1" ht="13.2" x14ac:dyDescent="0.25">
      <c r="A1513" s="202"/>
      <c r="B1513" s="216"/>
      <c r="C1513" s="217"/>
      <c r="D1513" s="136"/>
      <c r="E1513" s="217"/>
      <c r="F1513" s="217"/>
      <c r="G1513" s="151"/>
      <c r="H1513" s="17"/>
      <c r="I1513" s="17"/>
      <c r="J1513" s="17"/>
      <c r="K1513" s="17"/>
      <c r="L1513" s="17"/>
      <c r="M1513" s="17"/>
      <c r="N1513" s="17"/>
    </row>
    <row r="1514" spans="1:14" s="96" customFormat="1" ht="13.2" x14ac:dyDescent="0.25">
      <c r="A1514" s="202"/>
      <c r="B1514" s="122" t="s">
        <v>3552</v>
      </c>
      <c r="C1514" s="217"/>
      <c r="D1514" s="136"/>
      <c r="E1514" s="217"/>
      <c r="F1514" s="158">
        <f>SUM(F1380:F1513)</f>
        <v>0</v>
      </c>
      <c r="G1514" s="151"/>
      <c r="H1514" s="17"/>
      <c r="I1514" s="17"/>
      <c r="J1514" s="17"/>
      <c r="K1514" s="17"/>
      <c r="L1514" s="17"/>
      <c r="M1514" s="17"/>
      <c r="N1514" s="17"/>
    </row>
    <row r="1515" spans="1:14" s="96" customFormat="1" ht="13.2" x14ac:dyDescent="0.25">
      <c r="A1515" s="202"/>
      <c r="B1515" s="216"/>
      <c r="C1515" s="217"/>
      <c r="D1515" s="136"/>
      <c r="E1515" s="217"/>
      <c r="F1515" s="217"/>
      <c r="G1515" s="151"/>
      <c r="H1515" s="17"/>
      <c r="I1515" s="17"/>
      <c r="J1515" s="17"/>
      <c r="K1515" s="17"/>
      <c r="L1515" s="17"/>
      <c r="M1515" s="17"/>
      <c r="N1515" s="17"/>
    </row>
    <row r="1516" spans="1:14" s="96" customFormat="1" ht="13.2" x14ac:dyDescent="0.25">
      <c r="A1516" s="29" t="s">
        <v>3553</v>
      </c>
      <c r="B1516" s="30" t="s">
        <v>3554</v>
      </c>
      <c r="C1516" s="224"/>
      <c r="D1516" s="123"/>
      <c r="E1516" s="224"/>
      <c r="F1516" s="224"/>
      <c r="G1516" s="224"/>
      <c r="H1516" s="17"/>
      <c r="I1516" s="17"/>
      <c r="J1516" s="17"/>
      <c r="K1516" s="17"/>
      <c r="L1516" s="17"/>
      <c r="M1516" s="17"/>
      <c r="N1516" s="17"/>
    </row>
    <row r="1517" spans="1:14" s="96" customFormat="1" ht="13.2" x14ac:dyDescent="0.25">
      <c r="A1517" s="27" t="s">
        <v>3555</v>
      </c>
      <c r="B1517" s="3" t="s">
        <v>3556</v>
      </c>
      <c r="C1517" s="217" t="s">
        <v>1883</v>
      </c>
      <c r="D1517" s="136"/>
      <c r="E1517" s="217" t="s">
        <v>1883</v>
      </c>
      <c r="F1517" s="217" t="s">
        <v>1883</v>
      </c>
      <c r="G1517" s="151"/>
      <c r="H1517" s="17"/>
      <c r="I1517" s="17"/>
      <c r="J1517" s="17"/>
      <c r="K1517" s="17"/>
      <c r="L1517" s="17"/>
      <c r="M1517" s="17"/>
      <c r="N1517" s="17"/>
    </row>
    <row r="1518" spans="1:14" s="96" customFormat="1" ht="13.2" x14ac:dyDescent="0.25">
      <c r="A1518" s="202" t="s">
        <v>842</v>
      </c>
      <c r="B1518" s="216" t="s">
        <v>3557</v>
      </c>
      <c r="C1518" s="227" t="s">
        <v>1011</v>
      </c>
      <c r="D1518" s="120"/>
      <c r="E1518" s="45">
        <f t="shared" ref="E1518:E1581" si="83">G1518</f>
        <v>3</v>
      </c>
      <c r="F1518" s="127">
        <f>D1518*E1518</f>
        <v>0</v>
      </c>
      <c r="G1518" s="151">
        <f>'Etude de cas n°1'!D1518</f>
        <v>3</v>
      </c>
      <c r="H1518" s="17"/>
      <c r="I1518" s="17"/>
      <c r="J1518" s="17"/>
      <c r="K1518" s="17"/>
      <c r="L1518" s="17"/>
      <c r="M1518" s="17"/>
      <c r="N1518" s="17"/>
    </row>
    <row r="1519" spans="1:14" s="96" customFormat="1" ht="13.2" x14ac:dyDescent="0.25">
      <c r="A1519" s="202" t="s">
        <v>843</v>
      </c>
      <c r="B1519" s="216" t="s">
        <v>3558</v>
      </c>
      <c r="C1519" s="227" t="s">
        <v>1011</v>
      </c>
      <c r="D1519" s="120"/>
      <c r="E1519" s="45">
        <f t="shared" si="83"/>
        <v>0</v>
      </c>
      <c r="F1519" s="127">
        <f t="shared" ref="F1519:F1582" si="84">D1519*E1519</f>
        <v>0</v>
      </c>
      <c r="G1519" s="151">
        <f>'Etude de cas n°1'!D1519</f>
        <v>0</v>
      </c>
      <c r="H1519" s="17"/>
      <c r="I1519" s="17"/>
      <c r="J1519" s="17"/>
      <c r="K1519" s="17"/>
      <c r="L1519" s="17"/>
      <c r="M1519" s="17"/>
      <c r="N1519" s="17"/>
    </row>
    <row r="1520" spans="1:14" s="96" customFormat="1" ht="13.2" x14ac:dyDescent="0.25">
      <c r="A1520" s="202" t="s">
        <v>844</v>
      </c>
      <c r="B1520" s="216" t="s">
        <v>3559</v>
      </c>
      <c r="C1520" s="227" t="s">
        <v>1011</v>
      </c>
      <c r="D1520" s="120"/>
      <c r="E1520" s="45">
        <f t="shared" si="83"/>
        <v>0</v>
      </c>
      <c r="F1520" s="127">
        <f t="shared" si="84"/>
        <v>0</v>
      </c>
      <c r="G1520" s="151">
        <f>'Etude de cas n°1'!D1520</f>
        <v>0</v>
      </c>
      <c r="H1520" s="17"/>
      <c r="I1520" s="17"/>
      <c r="J1520" s="17"/>
      <c r="K1520" s="17"/>
      <c r="L1520" s="17"/>
      <c r="M1520" s="17"/>
      <c r="N1520" s="17"/>
    </row>
    <row r="1521" spans="1:14" s="96" customFormat="1" ht="13.2" x14ac:dyDescent="0.25">
      <c r="A1521" s="202" t="s">
        <v>845</v>
      </c>
      <c r="B1521" s="216" t="s">
        <v>3560</v>
      </c>
      <c r="C1521" s="227"/>
      <c r="D1521" s="120"/>
      <c r="E1521" s="45"/>
      <c r="F1521" s="127"/>
      <c r="G1521" s="151"/>
      <c r="H1521" s="17"/>
      <c r="I1521" s="17"/>
      <c r="J1521" s="17"/>
      <c r="K1521" s="17"/>
      <c r="L1521" s="17"/>
      <c r="M1521" s="17"/>
      <c r="N1521" s="17"/>
    </row>
    <row r="1522" spans="1:14" s="96" customFormat="1" ht="13.2" x14ac:dyDescent="0.25">
      <c r="A1522" s="202" t="s">
        <v>3561</v>
      </c>
      <c r="B1522" s="216" t="s">
        <v>3562</v>
      </c>
      <c r="C1522" s="217" t="s">
        <v>1011</v>
      </c>
      <c r="D1522" s="120"/>
      <c r="E1522" s="45">
        <f t="shared" si="83"/>
        <v>32</v>
      </c>
      <c r="F1522" s="127">
        <f t="shared" si="84"/>
        <v>0</v>
      </c>
      <c r="G1522" s="151">
        <f>'Etude de cas n°1'!D1522</f>
        <v>32</v>
      </c>
      <c r="H1522" s="17"/>
      <c r="I1522" s="17"/>
      <c r="J1522" s="17"/>
      <c r="K1522" s="17"/>
      <c r="L1522" s="17"/>
      <c r="M1522" s="17"/>
      <c r="N1522" s="17"/>
    </row>
    <row r="1523" spans="1:14" s="96" customFormat="1" ht="13.2" x14ac:dyDescent="0.25">
      <c r="A1523" s="202" t="s">
        <v>3563</v>
      </c>
      <c r="B1523" s="216" t="s">
        <v>3564</v>
      </c>
      <c r="C1523" s="217" t="s">
        <v>1034</v>
      </c>
      <c r="D1523" s="120"/>
      <c r="E1523" s="45">
        <f t="shared" si="83"/>
        <v>0</v>
      </c>
      <c r="F1523" s="127">
        <f t="shared" si="84"/>
        <v>0</v>
      </c>
      <c r="G1523" s="151">
        <f>'Etude de cas n°1'!D1523</f>
        <v>0</v>
      </c>
      <c r="H1523" s="17"/>
      <c r="I1523" s="17"/>
      <c r="J1523" s="17"/>
      <c r="K1523" s="17"/>
      <c r="L1523" s="17"/>
      <c r="M1523" s="17"/>
      <c r="N1523" s="17"/>
    </row>
    <row r="1524" spans="1:14" s="96" customFormat="1" ht="13.2" x14ac:dyDescent="0.25">
      <c r="A1524" s="202" t="s">
        <v>3565</v>
      </c>
      <c r="B1524" s="216" t="s">
        <v>3566</v>
      </c>
      <c r="C1524" s="217" t="s">
        <v>1011</v>
      </c>
      <c r="D1524" s="120"/>
      <c r="E1524" s="45">
        <f t="shared" si="83"/>
        <v>5</v>
      </c>
      <c r="F1524" s="127">
        <f t="shared" si="84"/>
        <v>0</v>
      </c>
      <c r="G1524" s="151">
        <f>'Etude de cas n°1'!D1524</f>
        <v>5</v>
      </c>
      <c r="H1524" s="17"/>
      <c r="I1524" s="17"/>
      <c r="J1524" s="17"/>
      <c r="K1524" s="17"/>
      <c r="L1524" s="17"/>
      <c r="M1524" s="17"/>
      <c r="N1524" s="17"/>
    </row>
    <row r="1525" spans="1:14" s="96" customFormat="1" ht="13.2" x14ac:dyDescent="0.25">
      <c r="A1525" s="202" t="s">
        <v>846</v>
      </c>
      <c r="B1525" s="216" t="s">
        <v>3567</v>
      </c>
      <c r="C1525" s="217" t="s">
        <v>2109</v>
      </c>
      <c r="D1525" s="120"/>
      <c r="E1525" s="45">
        <f t="shared" si="83"/>
        <v>0</v>
      </c>
      <c r="F1525" s="127">
        <f t="shared" si="84"/>
        <v>0</v>
      </c>
      <c r="G1525" s="151">
        <f>'Etude de cas n°1'!D1525</f>
        <v>0</v>
      </c>
      <c r="H1525" s="17"/>
      <c r="I1525" s="17"/>
      <c r="J1525" s="17"/>
      <c r="K1525" s="17"/>
      <c r="L1525" s="17"/>
      <c r="M1525" s="17"/>
      <c r="N1525" s="17"/>
    </row>
    <row r="1526" spans="1:14" s="96" customFormat="1" ht="13.2" x14ac:dyDescent="0.25">
      <c r="A1526" s="27" t="s">
        <v>3568</v>
      </c>
      <c r="B1526" s="3" t="s">
        <v>3569</v>
      </c>
      <c r="C1526" s="217" t="s">
        <v>1883</v>
      </c>
      <c r="D1526" s="120"/>
      <c r="E1526" s="45"/>
      <c r="F1526" s="127"/>
      <c r="G1526" s="151"/>
      <c r="H1526" s="17"/>
      <c r="I1526" s="17"/>
      <c r="J1526" s="17"/>
      <c r="K1526" s="17"/>
      <c r="L1526" s="17"/>
      <c r="M1526" s="17"/>
      <c r="N1526" s="17"/>
    </row>
    <row r="1527" spans="1:14" s="96" customFormat="1" ht="13.2" x14ac:dyDescent="0.25">
      <c r="A1527" s="202" t="s">
        <v>855</v>
      </c>
      <c r="B1527" s="216" t="s">
        <v>3570</v>
      </c>
      <c r="C1527" s="217" t="s">
        <v>1883</v>
      </c>
      <c r="D1527" s="120"/>
      <c r="E1527" s="45"/>
      <c r="F1527" s="127"/>
      <c r="G1527" s="151"/>
      <c r="H1527" s="17"/>
      <c r="I1527" s="17"/>
      <c r="J1527" s="17"/>
      <c r="K1527" s="17"/>
      <c r="L1527" s="17"/>
      <c r="M1527" s="17"/>
      <c r="N1527" s="17"/>
    </row>
    <row r="1528" spans="1:14" s="96" customFormat="1" ht="13.2" x14ac:dyDescent="0.25">
      <c r="A1528" s="202" t="s">
        <v>3571</v>
      </c>
      <c r="B1528" s="216" t="s">
        <v>3572</v>
      </c>
      <c r="C1528" s="217"/>
      <c r="D1528" s="120"/>
      <c r="E1528" s="45"/>
      <c r="F1528" s="127"/>
      <c r="G1528" s="151"/>
      <c r="H1528" s="17"/>
      <c r="I1528" s="17"/>
      <c r="J1528" s="17"/>
      <c r="K1528" s="17"/>
      <c r="L1528" s="17"/>
      <c r="M1528" s="17"/>
      <c r="N1528" s="17"/>
    </row>
    <row r="1529" spans="1:14" s="96" customFormat="1" ht="13.2" x14ac:dyDescent="0.25">
      <c r="A1529" s="202" t="s">
        <v>3573</v>
      </c>
      <c r="B1529" s="216" t="s">
        <v>3574</v>
      </c>
      <c r="C1529" s="217" t="s">
        <v>1011</v>
      </c>
      <c r="D1529" s="120"/>
      <c r="E1529" s="45">
        <f t="shared" si="83"/>
        <v>3</v>
      </c>
      <c r="F1529" s="127">
        <f t="shared" si="84"/>
        <v>0</v>
      </c>
      <c r="G1529" s="151">
        <f>'Etude de cas n°1'!D1529</f>
        <v>3</v>
      </c>
      <c r="H1529" s="17"/>
      <c r="I1529" s="17"/>
      <c r="J1529" s="17"/>
      <c r="K1529" s="17"/>
      <c r="L1529" s="17"/>
      <c r="M1529" s="17"/>
      <c r="N1529" s="17"/>
    </row>
    <row r="1530" spans="1:14" s="96" customFormat="1" ht="13.2" x14ac:dyDescent="0.25">
      <c r="A1530" s="202" t="s">
        <v>3575</v>
      </c>
      <c r="B1530" s="216" t="s">
        <v>3576</v>
      </c>
      <c r="C1530" s="217" t="s">
        <v>1011</v>
      </c>
      <c r="D1530" s="120"/>
      <c r="E1530" s="45">
        <f t="shared" si="83"/>
        <v>0</v>
      </c>
      <c r="F1530" s="127">
        <f t="shared" si="84"/>
        <v>0</v>
      </c>
      <c r="G1530" s="151">
        <f>'Etude de cas n°1'!D1530</f>
        <v>0</v>
      </c>
      <c r="H1530" s="17"/>
      <c r="I1530" s="17"/>
      <c r="J1530" s="17"/>
      <c r="K1530" s="17"/>
      <c r="L1530" s="17"/>
      <c r="M1530" s="17"/>
      <c r="N1530" s="17"/>
    </row>
    <row r="1531" spans="1:14" s="96" customFormat="1" ht="13.2" x14ac:dyDescent="0.25">
      <c r="A1531" s="202" t="s">
        <v>3577</v>
      </c>
      <c r="B1531" s="216" t="s">
        <v>3578</v>
      </c>
      <c r="C1531" s="217"/>
      <c r="D1531" s="120"/>
      <c r="E1531" s="45"/>
      <c r="F1531" s="127"/>
      <c r="G1531" s="151"/>
      <c r="H1531" s="17"/>
      <c r="I1531" s="17"/>
      <c r="J1531" s="17"/>
      <c r="K1531" s="17"/>
      <c r="L1531" s="17"/>
      <c r="M1531" s="17"/>
      <c r="N1531" s="17"/>
    </row>
    <row r="1532" spans="1:14" s="96" customFormat="1" ht="13.2" x14ac:dyDescent="0.25">
      <c r="A1532" s="202" t="s">
        <v>3579</v>
      </c>
      <c r="B1532" s="216" t="s">
        <v>3574</v>
      </c>
      <c r="C1532" s="217" t="s">
        <v>1011</v>
      </c>
      <c r="D1532" s="120"/>
      <c r="E1532" s="45">
        <f t="shared" si="83"/>
        <v>0</v>
      </c>
      <c r="F1532" s="127">
        <f t="shared" si="84"/>
        <v>0</v>
      </c>
      <c r="G1532" s="151">
        <f>'Etude de cas n°1'!D1532</f>
        <v>0</v>
      </c>
      <c r="H1532" s="17"/>
      <c r="I1532" s="17"/>
      <c r="J1532" s="17"/>
      <c r="K1532" s="17"/>
      <c r="L1532" s="17"/>
      <c r="M1532" s="17"/>
      <c r="N1532" s="17"/>
    </row>
    <row r="1533" spans="1:14" s="96" customFormat="1" ht="13.2" x14ac:dyDescent="0.25">
      <c r="A1533" s="202" t="s">
        <v>3580</v>
      </c>
      <c r="B1533" s="216" t="s">
        <v>3576</v>
      </c>
      <c r="C1533" s="217" t="s">
        <v>1011</v>
      </c>
      <c r="D1533" s="120"/>
      <c r="E1533" s="45">
        <f t="shared" si="83"/>
        <v>0</v>
      </c>
      <c r="F1533" s="127">
        <f t="shared" si="84"/>
        <v>0</v>
      </c>
      <c r="G1533" s="151">
        <f>'Etude de cas n°1'!D1533</f>
        <v>0</v>
      </c>
      <c r="H1533" s="17"/>
      <c r="I1533" s="17"/>
      <c r="J1533" s="17"/>
      <c r="K1533" s="17"/>
      <c r="L1533" s="17"/>
      <c r="M1533" s="17"/>
      <c r="N1533" s="17"/>
    </row>
    <row r="1534" spans="1:14" s="96" customFormat="1" ht="13.2" x14ac:dyDescent="0.25">
      <c r="A1534" s="202" t="s">
        <v>3581</v>
      </c>
      <c r="B1534" s="216" t="s">
        <v>3582</v>
      </c>
      <c r="C1534" s="217"/>
      <c r="D1534" s="120"/>
      <c r="E1534" s="45"/>
      <c r="F1534" s="127"/>
      <c r="G1534" s="151"/>
      <c r="H1534" s="17"/>
      <c r="I1534" s="17"/>
      <c r="J1534" s="17"/>
      <c r="K1534" s="17"/>
      <c r="L1534" s="17"/>
      <c r="M1534" s="17"/>
      <c r="N1534" s="17"/>
    </row>
    <row r="1535" spans="1:14" s="96" customFormat="1" ht="13.2" x14ac:dyDescent="0.25">
      <c r="A1535" s="202" t="s">
        <v>3583</v>
      </c>
      <c r="B1535" s="216" t="s">
        <v>3574</v>
      </c>
      <c r="C1535" s="217" t="s">
        <v>1011</v>
      </c>
      <c r="D1535" s="120"/>
      <c r="E1535" s="45">
        <f t="shared" si="83"/>
        <v>0</v>
      </c>
      <c r="F1535" s="127">
        <f t="shared" si="84"/>
        <v>0</v>
      </c>
      <c r="G1535" s="151">
        <f>'Etude de cas n°1'!D1535</f>
        <v>0</v>
      </c>
      <c r="H1535" s="17"/>
      <c r="I1535" s="17"/>
      <c r="J1535" s="17"/>
      <c r="K1535" s="17"/>
      <c r="L1535" s="17"/>
      <c r="M1535" s="17"/>
      <c r="N1535" s="17"/>
    </row>
    <row r="1536" spans="1:14" s="96" customFormat="1" ht="13.2" x14ac:dyDescent="0.25">
      <c r="A1536" s="202" t="s">
        <v>3584</v>
      </c>
      <c r="B1536" s="216" t="s">
        <v>3576</v>
      </c>
      <c r="C1536" s="217" t="s">
        <v>1011</v>
      </c>
      <c r="D1536" s="120"/>
      <c r="E1536" s="45">
        <f t="shared" si="83"/>
        <v>0</v>
      </c>
      <c r="F1536" s="127">
        <f t="shared" si="84"/>
        <v>0</v>
      </c>
      <c r="G1536" s="151">
        <f>'Etude de cas n°1'!D1536</f>
        <v>0</v>
      </c>
      <c r="H1536" s="17"/>
      <c r="I1536" s="17"/>
      <c r="J1536" s="17"/>
      <c r="K1536" s="17"/>
      <c r="L1536" s="17"/>
      <c r="M1536" s="17"/>
      <c r="N1536" s="17"/>
    </row>
    <row r="1537" spans="1:14" s="96" customFormat="1" ht="13.2" x14ac:dyDescent="0.25">
      <c r="A1537" s="202" t="s">
        <v>856</v>
      </c>
      <c r="B1537" s="216" t="s">
        <v>3585</v>
      </c>
      <c r="C1537" s="217"/>
      <c r="D1537" s="120"/>
      <c r="E1537" s="45"/>
      <c r="F1537" s="127"/>
      <c r="G1537" s="151"/>
      <c r="H1537" s="17"/>
      <c r="I1537" s="17"/>
      <c r="J1537" s="17"/>
      <c r="K1537" s="17"/>
      <c r="L1537" s="17"/>
      <c r="M1537" s="17"/>
      <c r="N1537" s="17"/>
    </row>
    <row r="1538" spans="1:14" s="96" customFormat="1" ht="13.2" x14ac:dyDescent="0.25">
      <c r="A1538" s="202" t="s">
        <v>3586</v>
      </c>
      <c r="B1538" s="216" t="s">
        <v>3587</v>
      </c>
      <c r="C1538" s="217" t="s">
        <v>1011</v>
      </c>
      <c r="D1538" s="120"/>
      <c r="E1538" s="45">
        <f t="shared" si="83"/>
        <v>0</v>
      </c>
      <c r="F1538" s="127">
        <f t="shared" si="84"/>
        <v>0</v>
      </c>
      <c r="G1538" s="151">
        <f>'Etude de cas n°1'!D1538</f>
        <v>0</v>
      </c>
      <c r="H1538" s="17"/>
      <c r="I1538" s="17"/>
      <c r="J1538" s="17"/>
      <c r="K1538" s="17"/>
      <c r="L1538" s="17"/>
      <c r="M1538" s="17"/>
      <c r="N1538" s="17"/>
    </row>
    <row r="1539" spans="1:14" s="96" customFormat="1" ht="13.2" x14ac:dyDescent="0.25">
      <c r="A1539" s="202" t="s">
        <v>3588</v>
      </c>
      <c r="B1539" s="216" t="s">
        <v>3589</v>
      </c>
      <c r="C1539" s="217" t="s">
        <v>1011</v>
      </c>
      <c r="D1539" s="120"/>
      <c r="E1539" s="45">
        <f t="shared" si="83"/>
        <v>0</v>
      </c>
      <c r="F1539" s="127">
        <f t="shared" si="84"/>
        <v>0</v>
      </c>
      <c r="G1539" s="151">
        <f>'Etude de cas n°1'!D1539</f>
        <v>0</v>
      </c>
      <c r="H1539" s="17"/>
      <c r="I1539" s="17"/>
      <c r="J1539" s="17"/>
      <c r="K1539" s="17"/>
      <c r="L1539" s="17"/>
      <c r="M1539" s="17"/>
      <c r="N1539" s="17"/>
    </row>
    <row r="1540" spans="1:14" s="96" customFormat="1" ht="13.2" x14ac:dyDescent="0.25">
      <c r="A1540" s="202" t="s">
        <v>3590</v>
      </c>
      <c r="B1540" s="216" t="s">
        <v>3591</v>
      </c>
      <c r="C1540" s="217" t="s">
        <v>1011</v>
      </c>
      <c r="D1540" s="120"/>
      <c r="E1540" s="45">
        <f t="shared" si="83"/>
        <v>0</v>
      </c>
      <c r="F1540" s="127">
        <f t="shared" si="84"/>
        <v>0</v>
      </c>
      <c r="G1540" s="151">
        <f>'Etude de cas n°1'!D1540</f>
        <v>0</v>
      </c>
      <c r="H1540" s="17"/>
      <c r="I1540" s="17"/>
      <c r="J1540" s="17"/>
      <c r="K1540" s="17"/>
      <c r="L1540" s="17"/>
      <c r="M1540" s="17"/>
      <c r="N1540" s="17"/>
    </row>
    <row r="1541" spans="1:14" s="96" customFormat="1" ht="13.2" x14ac:dyDescent="0.25">
      <c r="A1541" s="202" t="s">
        <v>3592</v>
      </c>
      <c r="B1541" s="216" t="s">
        <v>3593</v>
      </c>
      <c r="C1541" s="217" t="s">
        <v>1011</v>
      </c>
      <c r="D1541" s="120"/>
      <c r="E1541" s="45">
        <f t="shared" si="83"/>
        <v>0</v>
      </c>
      <c r="F1541" s="127">
        <f t="shared" si="84"/>
        <v>0</v>
      </c>
      <c r="G1541" s="151">
        <f>'Etude de cas n°1'!D1541</f>
        <v>0</v>
      </c>
      <c r="H1541" s="17"/>
      <c r="I1541" s="17"/>
      <c r="J1541" s="17"/>
      <c r="K1541" s="17"/>
      <c r="L1541" s="17"/>
      <c r="M1541" s="17"/>
      <c r="N1541" s="17"/>
    </row>
    <row r="1542" spans="1:14" s="96" customFormat="1" ht="13.2" x14ac:dyDescent="0.25">
      <c r="A1542" s="202" t="s">
        <v>857</v>
      </c>
      <c r="B1542" s="216" t="s">
        <v>3594</v>
      </c>
      <c r="C1542" s="217" t="s">
        <v>1883</v>
      </c>
      <c r="D1542" s="120"/>
      <c r="E1542" s="45"/>
      <c r="F1542" s="127"/>
      <c r="G1542" s="151"/>
      <c r="H1542" s="17"/>
      <c r="I1542" s="17"/>
      <c r="J1542" s="17"/>
      <c r="K1542" s="17"/>
      <c r="L1542" s="17"/>
      <c r="M1542" s="17"/>
      <c r="N1542" s="17"/>
    </row>
    <row r="1543" spans="1:14" s="96" customFormat="1" ht="13.2" x14ac:dyDescent="0.25">
      <c r="A1543" s="202" t="s">
        <v>3595</v>
      </c>
      <c r="B1543" s="216" t="s">
        <v>3596</v>
      </c>
      <c r="C1543" s="217" t="s">
        <v>1011</v>
      </c>
      <c r="D1543" s="120"/>
      <c r="E1543" s="45">
        <f t="shared" si="83"/>
        <v>0</v>
      </c>
      <c r="F1543" s="127">
        <f t="shared" si="84"/>
        <v>0</v>
      </c>
      <c r="G1543" s="151">
        <f>'Etude de cas n°1'!D1543</f>
        <v>0</v>
      </c>
      <c r="H1543" s="17"/>
      <c r="I1543" s="17"/>
      <c r="J1543" s="17"/>
      <c r="K1543" s="17"/>
      <c r="L1543" s="17"/>
      <c r="M1543" s="17"/>
      <c r="N1543" s="17"/>
    </row>
    <row r="1544" spans="1:14" s="96" customFormat="1" ht="13.2" x14ac:dyDescent="0.25">
      <c r="A1544" s="202" t="s">
        <v>3597</v>
      </c>
      <c r="B1544" s="216" t="s">
        <v>3598</v>
      </c>
      <c r="C1544" s="217" t="s">
        <v>1011</v>
      </c>
      <c r="D1544" s="120"/>
      <c r="E1544" s="45">
        <f t="shared" si="83"/>
        <v>0</v>
      </c>
      <c r="F1544" s="127">
        <f t="shared" si="84"/>
        <v>0</v>
      </c>
      <c r="G1544" s="151">
        <f>'Etude de cas n°1'!D1544</f>
        <v>0</v>
      </c>
      <c r="H1544" s="17"/>
      <c r="I1544" s="17"/>
      <c r="J1544" s="17"/>
      <c r="K1544" s="17"/>
      <c r="L1544" s="17"/>
      <c r="M1544" s="17"/>
      <c r="N1544" s="17"/>
    </row>
    <row r="1545" spans="1:14" s="96" customFormat="1" ht="13.2" x14ac:dyDescent="0.25">
      <c r="A1545" s="202" t="s">
        <v>3599</v>
      </c>
      <c r="B1545" s="216" t="s">
        <v>3600</v>
      </c>
      <c r="C1545" s="217" t="s">
        <v>1011</v>
      </c>
      <c r="D1545" s="120"/>
      <c r="E1545" s="45">
        <f t="shared" si="83"/>
        <v>0</v>
      </c>
      <c r="F1545" s="127">
        <f t="shared" si="84"/>
        <v>0</v>
      </c>
      <c r="G1545" s="151">
        <f>'Etude de cas n°1'!D1545</f>
        <v>0</v>
      </c>
      <c r="H1545" s="17"/>
      <c r="I1545" s="17"/>
      <c r="J1545" s="17"/>
      <c r="K1545" s="17"/>
      <c r="L1545" s="17"/>
      <c r="M1545" s="17"/>
      <c r="N1545" s="17"/>
    </row>
    <row r="1546" spans="1:14" s="96" customFormat="1" ht="13.2" x14ac:dyDescent="0.25">
      <c r="A1546" s="202" t="s">
        <v>3601</v>
      </c>
      <c r="B1546" s="216" t="s">
        <v>3602</v>
      </c>
      <c r="C1546" s="217" t="s">
        <v>1011</v>
      </c>
      <c r="D1546" s="120"/>
      <c r="E1546" s="45">
        <f t="shared" si="83"/>
        <v>0</v>
      </c>
      <c r="F1546" s="127">
        <f t="shared" si="84"/>
        <v>0</v>
      </c>
      <c r="G1546" s="151">
        <f>'Etude de cas n°1'!D1546</f>
        <v>0</v>
      </c>
      <c r="H1546" s="17"/>
      <c r="I1546" s="17"/>
      <c r="J1546" s="17"/>
      <c r="K1546" s="17"/>
      <c r="L1546" s="17"/>
      <c r="M1546" s="17"/>
      <c r="N1546" s="17"/>
    </row>
    <row r="1547" spans="1:14" s="96" customFormat="1" ht="13.8" x14ac:dyDescent="0.25">
      <c r="A1547" s="202" t="s">
        <v>3603</v>
      </c>
      <c r="B1547" s="216" t="s">
        <v>3604</v>
      </c>
      <c r="C1547" s="217" t="s">
        <v>1011</v>
      </c>
      <c r="D1547" s="120"/>
      <c r="E1547" s="45">
        <f t="shared" si="83"/>
        <v>0</v>
      </c>
      <c r="F1547" s="127">
        <f t="shared" si="84"/>
        <v>0</v>
      </c>
      <c r="G1547" s="151">
        <f>'Etude de cas n°1'!D1547</f>
        <v>0</v>
      </c>
      <c r="H1547" s="17"/>
      <c r="I1547" s="17"/>
      <c r="J1547" s="17"/>
      <c r="K1547" s="17"/>
      <c r="L1547" s="17"/>
      <c r="M1547" s="17"/>
      <c r="N1547" s="17"/>
    </row>
    <row r="1548" spans="1:14" s="96" customFormat="1" ht="13.2" x14ac:dyDescent="0.25">
      <c r="A1548" s="202" t="s">
        <v>3605</v>
      </c>
      <c r="B1548" s="216" t="s">
        <v>3606</v>
      </c>
      <c r="C1548" s="217" t="s">
        <v>1011</v>
      </c>
      <c r="D1548" s="120"/>
      <c r="E1548" s="45">
        <f t="shared" si="83"/>
        <v>0</v>
      </c>
      <c r="F1548" s="127">
        <f t="shared" si="84"/>
        <v>0</v>
      </c>
      <c r="G1548" s="151">
        <f>'Etude de cas n°1'!D1548</f>
        <v>0</v>
      </c>
      <c r="H1548" s="17"/>
      <c r="I1548" s="17"/>
      <c r="J1548" s="17"/>
      <c r="K1548" s="17"/>
      <c r="L1548" s="17"/>
      <c r="M1548" s="17"/>
      <c r="N1548" s="17"/>
    </row>
    <row r="1549" spans="1:14" s="96" customFormat="1" ht="13.2" x14ac:dyDescent="0.25">
      <c r="A1549" s="202" t="s">
        <v>3607</v>
      </c>
      <c r="B1549" s="216" t="s">
        <v>3608</v>
      </c>
      <c r="C1549" s="217" t="s">
        <v>1011</v>
      </c>
      <c r="D1549" s="120"/>
      <c r="E1549" s="45">
        <f t="shared" si="83"/>
        <v>0</v>
      </c>
      <c r="F1549" s="127">
        <f t="shared" si="84"/>
        <v>0</v>
      </c>
      <c r="G1549" s="151">
        <f>'Etude de cas n°1'!D1549</f>
        <v>0</v>
      </c>
      <c r="H1549" s="17"/>
      <c r="I1549" s="17"/>
      <c r="J1549" s="17"/>
      <c r="K1549" s="17"/>
      <c r="L1549" s="17"/>
      <c r="M1549" s="17"/>
      <c r="N1549" s="17"/>
    </row>
    <row r="1550" spans="1:14" s="96" customFormat="1" ht="13.2" x14ac:dyDescent="0.25">
      <c r="A1550" s="202" t="s">
        <v>3609</v>
      </c>
      <c r="B1550" s="216" t="s">
        <v>3610</v>
      </c>
      <c r="C1550" s="217" t="s">
        <v>1011</v>
      </c>
      <c r="D1550" s="120"/>
      <c r="E1550" s="45">
        <f t="shared" si="83"/>
        <v>0</v>
      </c>
      <c r="F1550" s="127">
        <f t="shared" si="84"/>
        <v>0</v>
      </c>
      <c r="G1550" s="151">
        <f>'Etude de cas n°1'!D1550</f>
        <v>0</v>
      </c>
      <c r="H1550" s="17"/>
      <c r="I1550" s="17"/>
      <c r="J1550" s="17"/>
      <c r="K1550" s="17"/>
      <c r="L1550" s="17"/>
      <c r="M1550" s="17"/>
      <c r="N1550" s="17"/>
    </row>
    <row r="1551" spans="1:14" s="96" customFormat="1" ht="13.2" x14ac:dyDescent="0.25">
      <c r="A1551" s="202" t="s">
        <v>858</v>
      </c>
      <c r="B1551" s="216" t="s">
        <v>3611</v>
      </c>
      <c r="C1551" s="217" t="s">
        <v>1883</v>
      </c>
      <c r="D1551" s="120"/>
      <c r="E1551" s="45"/>
      <c r="F1551" s="127"/>
      <c r="G1551" s="151"/>
      <c r="H1551" s="17"/>
      <c r="I1551" s="17"/>
      <c r="J1551" s="17"/>
      <c r="K1551" s="17"/>
      <c r="L1551" s="17"/>
      <c r="M1551" s="17"/>
      <c r="N1551" s="17"/>
    </row>
    <row r="1552" spans="1:14" s="96" customFormat="1" ht="13.2" x14ac:dyDescent="0.25">
      <c r="A1552" s="202" t="s">
        <v>3612</v>
      </c>
      <c r="B1552" s="216" t="s">
        <v>3613</v>
      </c>
      <c r="C1552" s="217" t="s">
        <v>1011</v>
      </c>
      <c r="D1552" s="120"/>
      <c r="E1552" s="45">
        <f t="shared" si="83"/>
        <v>0</v>
      </c>
      <c r="F1552" s="127">
        <f t="shared" si="84"/>
        <v>0</v>
      </c>
      <c r="G1552" s="151">
        <f>'Etude de cas n°1'!D1552</f>
        <v>0</v>
      </c>
      <c r="H1552" s="17"/>
      <c r="I1552" s="17"/>
      <c r="J1552" s="17"/>
      <c r="K1552" s="17"/>
      <c r="L1552" s="17"/>
      <c r="M1552" s="17"/>
      <c r="N1552" s="17"/>
    </row>
    <row r="1553" spans="1:14" s="96" customFormat="1" ht="13.2" x14ac:dyDescent="0.25">
      <c r="A1553" s="202" t="s">
        <v>3614</v>
      </c>
      <c r="B1553" s="216" t="s">
        <v>3615</v>
      </c>
      <c r="C1553" s="217" t="s">
        <v>1011</v>
      </c>
      <c r="D1553" s="120"/>
      <c r="E1553" s="45">
        <f t="shared" si="83"/>
        <v>13</v>
      </c>
      <c r="F1553" s="127">
        <f t="shared" si="84"/>
        <v>0</v>
      </c>
      <c r="G1553" s="151">
        <f>'Etude de cas n°1'!D1553</f>
        <v>13</v>
      </c>
      <c r="H1553" s="17"/>
      <c r="I1553" s="17"/>
      <c r="J1553" s="17"/>
      <c r="K1553" s="17"/>
      <c r="L1553" s="17"/>
      <c r="M1553" s="17"/>
      <c r="N1553" s="17"/>
    </row>
    <row r="1554" spans="1:14" s="96" customFormat="1" ht="13.2" x14ac:dyDescent="0.25">
      <c r="A1554" s="202" t="s">
        <v>3616</v>
      </c>
      <c r="B1554" s="216" t="s">
        <v>3617</v>
      </c>
      <c r="C1554" s="217" t="s">
        <v>1011</v>
      </c>
      <c r="D1554" s="120"/>
      <c r="E1554" s="45">
        <f t="shared" si="83"/>
        <v>0</v>
      </c>
      <c r="F1554" s="127">
        <f t="shared" si="84"/>
        <v>0</v>
      </c>
      <c r="G1554" s="151">
        <f>'Etude de cas n°1'!D1554</f>
        <v>0</v>
      </c>
      <c r="H1554" s="17"/>
      <c r="I1554" s="17"/>
      <c r="J1554" s="17"/>
      <c r="K1554" s="17"/>
      <c r="L1554" s="17"/>
      <c r="M1554" s="17"/>
      <c r="N1554" s="17"/>
    </row>
    <row r="1555" spans="1:14" s="96" customFormat="1" ht="13.2" x14ac:dyDescent="0.25">
      <c r="A1555" s="202" t="s">
        <v>859</v>
      </c>
      <c r="B1555" s="216" t="s">
        <v>3618</v>
      </c>
      <c r="C1555" s="217" t="s">
        <v>1883</v>
      </c>
      <c r="D1555" s="120"/>
      <c r="E1555" s="45"/>
      <c r="F1555" s="127"/>
      <c r="G1555" s="151"/>
      <c r="H1555" s="17"/>
      <c r="I1555" s="17"/>
      <c r="J1555" s="17"/>
      <c r="K1555" s="17"/>
      <c r="L1555" s="17"/>
      <c r="M1555" s="17"/>
      <c r="N1555" s="17"/>
    </row>
    <row r="1556" spans="1:14" s="96" customFormat="1" ht="13.2" x14ac:dyDescent="0.25">
      <c r="A1556" s="202" t="s">
        <v>3619</v>
      </c>
      <c r="B1556" s="216" t="s">
        <v>3620</v>
      </c>
      <c r="C1556" s="217" t="s">
        <v>1011</v>
      </c>
      <c r="D1556" s="120"/>
      <c r="E1556" s="45">
        <f t="shared" si="83"/>
        <v>0</v>
      </c>
      <c r="F1556" s="127">
        <f t="shared" si="84"/>
        <v>0</v>
      </c>
      <c r="G1556" s="151">
        <f>'Etude de cas n°1'!D1556</f>
        <v>0</v>
      </c>
      <c r="H1556" s="17"/>
      <c r="I1556" s="17"/>
      <c r="J1556" s="17"/>
      <c r="K1556" s="17"/>
      <c r="L1556" s="17"/>
      <c r="M1556" s="17"/>
      <c r="N1556" s="17"/>
    </row>
    <row r="1557" spans="1:14" s="96" customFormat="1" ht="13.2" x14ac:dyDescent="0.25">
      <c r="A1557" s="202" t="s">
        <v>3621</v>
      </c>
      <c r="B1557" s="216" t="s">
        <v>3622</v>
      </c>
      <c r="C1557" s="217" t="s">
        <v>1011</v>
      </c>
      <c r="D1557" s="120"/>
      <c r="E1557" s="45">
        <f t="shared" si="83"/>
        <v>0</v>
      </c>
      <c r="F1557" s="127">
        <f t="shared" si="84"/>
        <v>0</v>
      </c>
      <c r="G1557" s="151">
        <f>'Etude de cas n°1'!D1557</f>
        <v>0</v>
      </c>
      <c r="H1557" s="17"/>
      <c r="I1557" s="17"/>
      <c r="J1557" s="17"/>
      <c r="K1557" s="17"/>
      <c r="L1557" s="17"/>
      <c r="M1557" s="17"/>
      <c r="N1557" s="17"/>
    </row>
    <row r="1558" spans="1:14" s="96" customFormat="1" ht="13.2" x14ac:dyDescent="0.25">
      <c r="A1558" s="202" t="s">
        <v>3623</v>
      </c>
      <c r="B1558" s="216" t="s">
        <v>3624</v>
      </c>
      <c r="C1558" s="217" t="s">
        <v>1011</v>
      </c>
      <c r="D1558" s="120"/>
      <c r="E1558" s="45">
        <f t="shared" si="83"/>
        <v>0</v>
      </c>
      <c r="F1558" s="127">
        <f t="shared" si="84"/>
        <v>0</v>
      </c>
      <c r="G1558" s="151">
        <f>'Etude de cas n°1'!D1558</f>
        <v>0</v>
      </c>
      <c r="H1558" s="17"/>
      <c r="I1558" s="17"/>
      <c r="J1558" s="17"/>
      <c r="K1558" s="17"/>
      <c r="L1558" s="17"/>
      <c r="M1558" s="17"/>
      <c r="N1558" s="17"/>
    </row>
    <row r="1559" spans="1:14" s="96" customFormat="1" ht="13.2" x14ac:dyDescent="0.25">
      <c r="A1559" s="202" t="s">
        <v>3625</v>
      </c>
      <c r="B1559" s="216" t="s">
        <v>3626</v>
      </c>
      <c r="C1559" s="217" t="s">
        <v>1011</v>
      </c>
      <c r="D1559" s="120"/>
      <c r="E1559" s="45">
        <f t="shared" si="83"/>
        <v>0</v>
      </c>
      <c r="F1559" s="127">
        <f t="shared" si="84"/>
        <v>0</v>
      </c>
      <c r="G1559" s="151">
        <f>'Etude de cas n°1'!D1559</f>
        <v>0</v>
      </c>
      <c r="H1559" s="17"/>
      <c r="I1559" s="17"/>
      <c r="J1559" s="17"/>
      <c r="K1559" s="17"/>
      <c r="L1559" s="17"/>
      <c r="M1559" s="17"/>
      <c r="N1559" s="17"/>
    </row>
    <row r="1560" spans="1:14" s="96" customFormat="1" ht="13.2" x14ac:dyDescent="0.25">
      <c r="A1560" s="202" t="s">
        <v>3627</v>
      </c>
      <c r="B1560" s="216" t="s">
        <v>3628</v>
      </c>
      <c r="C1560" s="217"/>
      <c r="D1560" s="120"/>
      <c r="E1560" s="45"/>
      <c r="F1560" s="127"/>
      <c r="G1560" s="151"/>
      <c r="H1560" s="17"/>
      <c r="I1560" s="17"/>
      <c r="J1560" s="17"/>
      <c r="K1560" s="17"/>
      <c r="L1560" s="17"/>
      <c r="M1560" s="17"/>
      <c r="N1560" s="17"/>
    </row>
    <row r="1561" spans="1:14" s="96" customFormat="1" ht="13.2" x14ac:dyDescent="0.25">
      <c r="A1561" s="202" t="s">
        <v>3629</v>
      </c>
      <c r="B1561" s="216" t="s">
        <v>3630</v>
      </c>
      <c r="C1561" s="217" t="s">
        <v>1011</v>
      </c>
      <c r="D1561" s="120"/>
      <c r="E1561" s="45">
        <f t="shared" si="83"/>
        <v>0</v>
      </c>
      <c r="F1561" s="127">
        <f t="shared" si="84"/>
        <v>0</v>
      </c>
      <c r="G1561" s="151">
        <f>'Etude de cas n°1'!D1561</f>
        <v>0</v>
      </c>
      <c r="H1561" s="17"/>
      <c r="I1561" s="17"/>
      <c r="J1561" s="17"/>
      <c r="K1561" s="17"/>
      <c r="L1561" s="17"/>
      <c r="M1561" s="17"/>
      <c r="N1561" s="17"/>
    </row>
    <row r="1562" spans="1:14" s="96" customFormat="1" ht="13.2" x14ac:dyDescent="0.25">
      <c r="A1562" s="202" t="s">
        <v>3631</v>
      </c>
      <c r="B1562" s="216" t="s">
        <v>3632</v>
      </c>
      <c r="C1562" s="217" t="s">
        <v>1011</v>
      </c>
      <c r="D1562" s="120"/>
      <c r="E1562" s="45">
        <f t="shared" si="83"/>
        <v>0</v>
      </c>
      <c r="F1562" s="127">
        <f t="shared" si="84"/>
        <v>0</v>
      </c>
      <c r="G1562" s="151">
        <f>'Etude de cas n°1'!D1562</f>
        <v>0</v>
      </c>
      <c r="H1562" s="17"/>
      <c r="I1562" s="17"/>
      <c r="J1562" s="17"/>
      <c r="K1562" s="17"/>
      <c r="L1562" s="17"/>
      <c r="M1562" s="17"/>
      <c r="N1562" s="17"/>
    </row>
    <row r="1563" spans="1:14" s="96" customFormat="1" ht="13.2" x14ac:dyDescent="0.25">
      <c r="A1563" s="202" t="s">
        <v>3633</v>
      </c>
      <c r="B1563" s="216" t="s">
        <v>3634</v>
      </c>
      <c r="C1563" s="217" t="s">
        <v>1011</v>
      </c>
      <c r="D1563" s="120"/>
      <c r="E1563" s="45">
        <f t="shared" si="83"/>
        <v>0</v>
      </c>
      <c r="F1563" s="127">
        <f t="shared" si="84"/>
        <v>0</v>
      </c>
      <c r="G1563" s="151">
        <f>'Etude de cas n°1'!D1563</f>
        <v>0</v>
      </c>
      <c r="H1563" s="17"/>
      <c r="I1563" s="17"/>
      <c r="J1563" s="17"/>
      <c r="K1563" s="17"/>
      <c r="L1563" s="17"/>
      <c r="M1563" s="17"/>
      <c r="N1563" s="17"/>
    </row>
    <row r="1564" spans="1:14" s="96" customFormat="1" ht="13.2" x14ac:dyDescent="0.25">
      <c r="A1564" s="202" t="s">
        <v>3635</v>
      </c>
      <c r="B1564" s="216" t="s">
        <v>3636</v>
      </c>
      <c r="C1564" s="217" t="s">
        <v>1011</v>
      </c>
      <c r="D1564" s="120"/>
      <c r="E1564" s="45">
        <f t="shared" si="83"/>
        <v>0</v>
      </c>
      <c r="F1564" s="127">
        <f t="shared" si="84"/>
        <v>0</v>
      </c>
      <c r="G1564" s="151">
        <f>'Etude de cas n°1'!D1564</f>
        <v>0</v>
      </c>
      <c r="H1564" s="17"/>
      <c r="I1564" s="17"/>
      <c r="J1564" s="17"/>
      <c r="K1564" s="17"/>
      <c r="L1564" s="17"/>
      <c r="M1564" s="17"/>
      <c r="N1564" s="17"/>
    </row>
    <row r="1565" spans="1:14" s="96" customFormat="1" ht="13.2" x14ac:dyDescent="0.25">
      <c r="A1565" s="202" t="s">
        <v>3637</v>
      </c>
      <c r="B1565" s="216" t="s">
        <v>3638</v>
      </c>
      <c r="C1565" s="217"/>
      <c r="D1565" s="120"/>
      <c r="E1565" s="45"/>
      <c r="F1565" s="127"/>
      <c r="G1565" s="151"/>
      <c r="H1565" s="17"/>
      <c r="I1565" s="17"/>
      <c r="J1565" s="17"/>
      <c r="K1565" s="17"/>
      <c r="L1565" s="17"/>
      <c r="M1565" s="17"/>
      <c r="N1565" s="17"/>
    </row>
    <row r="1566" spans="1:14" s="96" customFormat="1" ht="13.2" x14ac:dyDescent="0.25">
      <c r="A1566" s="202" t="s">
        <v>3639</v>
      </c>
      <c r="B1566" s="216" t="s">
        <v>3630</v>
      </c>
      <c r="C1566" s="217" t="s">
        <v>1011</v>
      </c>
      <c r="D1566" s="120"/>
      <c r="E1566" s="45">
        <f t="shared" si="83"/>
        <v>0</v>
      </c>
      <c r="F1566" s="127">
        <f t="shared" si="84"/>
        <v>0</v>
      </c>
      <c r="G1566" s="151">
        <f>'Etude de cas n°1'!D1566</f>
        <v>0</v>
      </c>
      <c r="H1566" s="17"/>
      <c r="I1566" s="17"/>
      <c r="J1566" s="17"/>
      <c r="K1566" s="17"/>
      <c r="L1566" s="17"/>
      <c r="M1566" s="17"/>
      <c r="N1566" s="17"/>
    </row>
    <row r="1567" spans="1:14" s="96" customFormat="1" ht="13.2" x14ac:dyDescent="0.25">
      <c r="A1567" s="202" t="s">
        <v>3640</v>
      </c>
      <c r="B1567" s="216" t="s">
        <v>3632</v>
      </c>
      <c r="C1567" s="217" t="s">
        <v>1011</v>
      </c>
      <c r="D1567" s="120"/>
      <c r="E1567" s="45">
        <f t="shared" si="83"/>
        <v>0</v>
      </c>
      <c r="F1567" s="127">
        <f t="shared" si="84"/>
        <v>0</v>
      </c>
      <c r="G1567" s="151">
        <f>'Etude de cas n°1'!D1567</f>
        <v>0</v>
      </c>
      <c r="H1567" s="17"/>
      <c r="I1567" s="17"/>
      <c r="J1567" s="17"/>
      <c r="K1567" s="17"/>
      <c r="L1567" s="17"/>
      <c r="M1567" s="17"/>
      <c r="N1567" s="17"/>
    </row>
    <row r="1568" spans="1:14" s="96" customFormat="1" ht="13.2" x14ac:dyDescent="0.25">
      <c r="A1568" s="202" t="s">
        <v>3641</v>
      </c>
      <c r="B1568" s="216" t="s">
        <v>3634</v>
      </c>
      <c r="C1568" s="217" t="s">
        <v>1011</v>
      </c>
      <c r="D1568" s="120"/>
      <c r="E1568" s="45">
        <f t="shared" si="83"/>
        <v>0</v>
      </c>
      <c r="F1568" s="127">
        <f t="shared" si="84"/>
        <v>0</v>
      </c>
      <c r="G1568" s="151">
        <f>'Etude de cas n°1'!D1568</f>
        <v>0</v>
      </c>
      <c r="H1568" s="17"/>
      <c r="I1568" s="17"/>
      <c r="J1568" s="17"/>
      <c r="K1568" s="17"/>
      <c r="L1568" s="17"/>
      <c r="M1568" s="17"/>
      <c r="N1568" s="17"/>
    </row>
    <row r="1569" spans="1:14" s="96" customFormat="1" ht="13.2" x14ac:dyDescent="0.25">
      <c r="A1569" s="202" t="s">
        <v>3642</v>
      </c>
      <c r="B1569" s="216" t="s">
        <v>3636</v>
      </c>
      <c r="C1569" s="217" t="s">
        <v>1011</v>
      </c>
      <c r="D1569" s="120"/>
      <c r="E1569" s="45">
        <f t="shared" si="83"/>
        <v>0</v>
      </c>
      <c r="F1569" s="127">
        <f t="shared" si="84"/>
        <v>0</v>
      </c>
      <c r="G1569" s="151">
        <f>'Etude de cas n°1'!D1569</f>
        <v>0</v>
      </c>
      <c r="H1569" s="17"/>
      <c r="I1569" s="17"/>
      <c r="J1569" s="17"/>
      <c r="K1569" s="17"/>
      <c r="L1569" s="17"/>
      <c r="M1569" s="17"/>
      <c r="N1569" s="17"/>
    </row>
    <row r="1570" spans="1:14" s="96" customFormat="1" ht="13.2" x14ac:dyDescent="0.25">
      <c r="A1570" s="202" t="s">
        <v>860</v>
      </c>
      <c r="B1570" s="216" t="s">
        <v>3643</v>
      </c>
      <c r="C1570" s="217" t="s">
        <v>1011</v>
      </c>
      <c r="D1570" s="120"/>
      <c r="E1570" s="45">
        <f t="shared" si="83"/>
        <v>0</v>
      </c>
      <c r="F1570" s="127">
        <f t="shared" si="84"/>
        <v>0</v>
      </c>
      <c r="G1570" s="151">
        <f>'Etude de cas n°1'!D1570</f>
        <v>0</v>
      </c>
      <c r="H1570" s="17"/>
      <c r="I1570" s="17"/>
      <c r="J1570" s="17"/>
      <c r="K1570" s="17"/>
      <c r="L1570" s="17"/>
      <c r="M1570" s="17"/>
      <c r="N1570" s="17"/>
    </row>
    <row r="1571" spans="1:14" s="96" customFormat="1" ht="13.2" x14ac:dyDescent="0.25">
      <c r="A1571" s="202" t="s">
        <v>861</v>
      </c>
      <c r="B1571" s="216" t="s">
        <v>3644</v>
      </c>
      <c r="C1571" s="217" t="s">
        <v>1883</v>
      </c>
      <c r="D1571" s="120"/>
      <c r="E1571" s="45"/>
      <c r="F1571" s="127"/>
      <c r="G1571" s="151"/>
      <c r="H1571" s="17"/>
      <c r="I1571" s="17"/>
      <c r="J1571" s="17"/>
      <c r="K1571" s="17"/>
      <c r="L1571" s="17"/>
      <c r="M1571" s="17"/>
      <c r="N1571" s="17"/>
    </row>
    <row r="1572" spans="1:14" s="96" customFormat="1" ht="13.2" x14ac:dyDescent="0.25">
      <c r="A1572" s="202" t="s">
        <v>3645</v>
      </c>
      <c r="B1572" s="216" t="s">
        <v>3646</v>
      </c>
      <c r="C1572" s="217" t="s">
        <v>1011</v>
      </c>
      <c r="D1572" s="120"/>
      <c r="E1572" s="45">
        <f t="shared" si="83"/>
        <v>0</v>
      </c>
      <c r="F1572" s="127">
        <f t="shared" si="84"/>
        <v>0</v>
      </c>
      <c r="G1572" s="151">
        <f>'Etude de cas n°1'!D1572</f>
        <v>0</v>
      </c>
      <c r="H1572" s="17"/>
      <c r="I1572" s="17"/>
      <c r="J1572" s="17"/>
      <c r="K1572" s="17"/>
      <c r="L1572" s="17"/>
      <c r="M1572" s="17"/>
      <c r="N1572" s="17"/>
    </row>
    <row r="1573" spans="1:14" s="96" customFormat="1" ht="13.2" x14ac:dyDescent="0.25">
      <c r="A1573" s="202" t="s">
        <v>3647</v>
      </c>
      <c r="B1573" s="216" t="s">
        <v>3648</v>
      </c>
      <c r="C1573" s="217" t="s">
        <v>1011</v>
      </c>
      <c r="D1573" s="120"/>
      <c r="E1573" s="45">
        <f t="shared" si="83"/>
        <v>0</v>
      </c>
      <c r="F1573" s="127">
        <f t="shared" si="84"/>
        <v>0</v>
      </c>
      <c r="G1573" s="151">
        <f>'Etude de cas n°1'!D1573</f>
        <v>0</v>
      </c>
      <c r="H1573" s="17"/>
      <c r="I1573" s="17"/>
      <c r="J1573" s="17"/>
      <c r="K1573" s="17"/>
      <c r="L1573" s="17"/>
      <c r="M1573" s="17"/>
      <c r="N1573" s="17"/>
    </row>
    <row r="1574" spans="1:14" s="96" customFormat="1" ht="13.2" x14ac:dyDescent="0.25">
      <c r="A1574" s="202" t="s">
        <v>3649</v>
      </c>
      <c r="B1574" s="216" t="s">
        <v>3650</v>
      </c>
      <c r="C1574" s="217" t="s">
        <v>1011</v>
      </c>
      <c r="D1574" s="120"/>
      <c r="E1574" s="45">
        <f t="shared" si="83"/>
        <v>0</v>
      </c>
      <c r="F1574" s="127">
        <f t="shared" si="84"/>
        <v>0</v>
      </c>
      <c r="G1574" s="151">
        <f>'Etude de cas n°1'!D1574</f>
        <v>0</v>
      </c>
      <c r="H1574" s="17"/>
      <c r="I1574" s="17"/>
      <c r="J1574" s="17"/>
      <c r="K1574" s="17"/>
      <c r="L1574" s="17"/>
      <c r="M1574" s="17"/>
      <c r="N1574" s="17"/>
    </row>
    <row r="1575" spans="1:14" s="96" customFormat="1" ht="13.2" x14ac:dyDescent="0.25">
      <c r="A1575" s="202" t="s">
        <v>3651</v>
      </c>
      <c r="B1575" s="216" t="s">
        <v>3652</v>
      </c>
      <c r="C1575" s="217" t="s">
        <v>1011</v>
      </c>
      <c r="D1575" s="120"/>
      <c r="E1575" s="45">
        <f t="shared" si="83"/>
        <v>0</v>
      </c>
      <c r="F1575" s="127">
        <f t="shared" si="84"/>
        <v>0</v>
      </c>
      <c r="G1575" s="151">
        <f>'Etude de cas n°1'!D1575</f>
        <v>0</v>
      </c>
      <c r="H1575" s="17"/>
      <c r="I1575" s="17"/>
      <c r="J1575" s="17"/>
      <c r="K1575" s="17"/>
      <c r="L1575" s="17"/>
      <c r="M1575" s="17"/>
      <c r="N1575" s="17"/>
    </row>
    <row r="1576" spans="1:14" s="96" customFormat="1" ht="13.2" x14ac:dyDescent="0.25">
      <c r="A1576" s="202" t="s">
        <v>3653</v>
      </c>
      <c r="B1576" s="216" t="s">
        <v>3654</v>
      </c>
      <c r="C1576" s="217" t="s">
        <v>1011</v>
      </c>
      <c r="D1576" s="120"/>
      <c r="E1576" s="45">
        <f t="shared" si="83"/>
        <v>0</v>
      </c>
      <c r="F1576" s="127">
        <f t="shared" si="84"/>
        <v>0</v>
      </c>
      <c r="G1576" s="151">
        <f>'Etude de cas n°1'!D1576</f>
        <v>0</v>
      </c>
      <c r="H1576" s="17"/>
      <c r="I1576" s="17"/>
      <c r="J1576" s="17"/>
      <c r="K1576" s="17"/>
      <c r="L1576" s="17"/>
      <c r="M1576" s="17"/>
      <c r="N1576" s="17"/>
    </row>
    <row r="1577" spans="1:14" s="96" customFormat="1" ht="13.2" x14ac:dyDescent="0.25">
      <c r="A1577" s="202" t="s">
        <v>3655</v>
      </c>
      <c r="B1577" s="216" t="s">
        <v>3656</v>
      </c>
      <c r="C1577" s="217" t="s">
        <v>1011</v>
      </c>
      <c r="D1577" s="120"/>
      <c r="E1577" s="45">
        <f t="shared" si="83"/>
        <v>0</v>
      </c>
      <c r="F1577" s="127">
        <f t="shared" si="84"/>
        <v>0</v>
      </c>
      <c r="G1577" s="151">
        <f>'Etude de cas n°1'!D1577</f>
        <v>0</v>
      </c>
      <c r="H1577" s="17"/>
      <c r="I1577" s="17"/>
      <c r="J1577" s="17"/>
      <c r="K1577" s="17"/>
      <c r="L1577" s="17"/>
      <c r="M1577" s="17"/>
      <c r="N1577" s="17"/>
    </row>
    <row r="1578" spans="1:14" s="96" customFormat="1" ht="13.2" x14ac:dyDescent="0.25">
      <c r="A1578" s="202" t="s">
        <v>3657</v>
      </c>
      <c r="B1578" s="216" t="s">
        <v>3658</v>
      </c>
      <c r="C1578" s="217" t="s">
        <v>1011</v>
      </c>
      <c r="D1578" s="120"/>
      <c r="E1578" s="45">
        <f t="shared" si="83"/>
        <v>0</v>
      </c>
      <c r="F1578" s="127">
        <f t="shared" si="84"/>
        <v>0</v>
      </c>
      <c r="G1578" s="151">
        <f>'Etude de cas n°1'!D1578</f>
        <v>0</v>
      </c>
      <c r="H1578" s="17"/>
      <c r="I1578" s="17"/>
      <c r="J1578" s="17"/>
      <c r="K1578" s="17"/>
      <c r="L1578" s="17"/>
      <c r="M1578" s="17"/>
      <c r="N1578" s="17"/>
    </row>
    <row r="1579" spans="1:14" s="96" customFormat="1" ht="13.2" x14ac:dyDescent="0.25">
      <c r="A1579" s="202" t="s">
        <v>862</v>
      </c>
      <c r="B1579" s="216" t="s">
        <v>3659</v>
      </c>
      <c r="C1579" s="217" t="s">
        <v>1883</v>
      </c>
      <c r="D1579" s="120"/>
      <c r="E1579" s="45"/>
      <c r="F1579" s="127"/>
      <c r="G1579" s="151"/>
      <c r="H1579" s="17"/>
      <c r="I1579" s="17"/>
      <c r="J1579" s="17"/>
      <c r="K1579" s="17"/>
      <c r="L1579" s="17"/>
      <c r="M1579" s="17"/>
      <c r="N1579" s="17"/>
    </row>
    <row r="1580" spans="1:14" s="96" customFormat="1" ht="13.2" x14ac:dyDescent="0.25">
      <c r="A1580" s="202" t="s">
        <v>3660</v>
      </c>
      <c r="B1580" s="216" t="s">
        <v>3661</v>
      </c>
      <c r="C1580" s="217" t="s">
        <v>1034</v>
      </c>
      <c r="D1580" s="120"/>
      <c r="E1580" s="45">
        <f t="shared" si="83"/>
        <v>0</v>
      </c>
      <c r="F1580" s="127">
        <f t="shared" si="84"/>
        <v>0</v>
      </c>
      <c r="G1580" s="151">
        <f>'Etude de cas n°1'!D1580</f>
        <v>0</v>
      </c>
      <c r="H1580" s="17"/>
      <c r="I1580" s="17"/>
      <c r="J1580" s="17"/>
      <c r="K1580" s="17"/>
      <c r="L1580" s="17"/>
      <c r="M1580" s="17"/>
      <c r="N1580" s="17"/>
    </row>
    <row r="1581" spans="1:14" s="96" customFormat="1" ht="13.2" x14ac:dyDescent="0.25">
      <c r="A1581" s="202" t="s">
        <v>3662</v>
      </c>
      <c r="B1581" s="216" t="s">
        <v>3663</v>
      </c>
      <c r="C1581" s="217" t="s">
        <v>1034</v>
      </c>
      <c r="D1581" s="120"/>
      <c r="E1581" s="45">
        <f t="shared" si="83"/>
        <v>0</v>
      </c>
      <c r="F1581" s="127">
        <f t="shared" si="84"/>
        <v>0</v>
      </c>
      <c r="G1581" s="151">
        <f>'Etude de cas n°1'!D1581</f>
        <v>0</v>
      </c>
      <c r="H1581" s="17"/>
      <c r="I1581" s="17"/>
      <c r="J1581" s="17"/>
      <c r="K1581" s="17"/>
      <c r="L1581" s="17"/>
      <c r="M1581" s="17"/>
      <c r="N1581" s="17"/>
    </row>
    <row r="1582" spans="1:14" s="96" customFormat="1" ht="13.2" x14ac:dyDescent="0.25">
      <c r="A1582" s="202" t="s">
        <v>3664</v>
      </c>
      <c r="B1582" s="216" t="s">
        <v>3665</v>
      </c>
      <c r="C1582" s="217" t="s">
        <v>1034</v>
      </c>
      <c r="D1582" s="120"/>
      <c r="E1582" s="45">
        <f t="shared" ref="E1582:E1601" si="85">G1582</f>
        <v>0</v>
      </c>
      <c r="F1582" s="127">
        <f t="shared" si="84"/>
        <v>0</v>
      </c>
      <c r="G1582" s="151">
        <f>'Etude de cas n°1'!D1582</f>
        <v>0</v>
      </c>
      <c r="H1582" s="17"/>
      <c r="I1582" s="17"/>
      <c r="J1582" s="17"/>
      <c r="K1582" s="17"/>
      <c r="L1582" s="17"/>
      <c r="M1582" s="17"/>
      <c r="N1582" s="17"/>
    </row>
    <row r="1583" spans="1:14" s="96" customFormat="1" ht="13.8" x14ac:dyDescent="0.25">
      <c r="A1583" s="202" t="s">
        <v>3666</v>
      </c>
      <c r="B1583" s="216" t="s">
        <v>3667</v>
      </c>
      <c r="C1583" s="217" t="s">
        <v>1011</v>
      </c>
      <c r="D1583" s="120"/>
      <c r="E1583" s="45">
        <f t="shared" si="85"/>
        <v>0</v>
      </c>
      <c r="F1583" s="127">
        <f t="shared" ref="F1583:F1601" si="86">D1583*E1583</f>
        <v>0</v>
      </c>
      <c r="G1583" s="151">
        <f>'Etude de cas n°1'!D1583</f>
        <v>0</v>
      </c>
      <c r="H1583" s="17"/>
      <c r="I1583" s="17"/>
      <c r="J1583" s="17"/>
      <c r="K1583" s="17"/>
      <c r="L1583" s="17"/>
      <c r="M1583" s="17"/>
      <c r="N1583" s="17"/>
    </row>
    <row r="1584" spans="1:14" s="96" customFormat="1" ht="13.8" x14ac:dyDescent="0.25">
      <c r="A1584" s="202" t="s">
        <v>3668</v>
      </c>
      <c r="B1584" s="216" t="s">
        <v>3669</v>
      </c>
      <c r="C1584" s="217" t="s">
        <v>1011</v>
      </c>
      <c r="D1584" s="120"/>
      <c r="E1584" s="45">
        <f t="shared" si="85"/>
        <v>0</v>
      </c>
      <c r="F1584" s="127">
        <f t="shared" si="86"/>
        <v>0</v>
      </c>
      <c r="G1584" s="151">
        <f>'Etude de cas n°1'!D1584</f>
        <v>0</v>
      </c>
      <c r="H1584" s="17"/>
      <c r="I1584" s="17"/>
      <c r="J1584" s="17"/>
      <c r="K1584" s="17"/>
      <c r="L1584" s="17"/>
      <c r="M1584" s="17"/>
      <c r="N1584" s="17"/>
    </row>
    <row r="1585" spans="1:14" s="96" customFormat="1" ht="13.8" x14ac:dyDescent="0.25">
      <c r="A1585" s="202" t="s">
        <v>3670</v>
      </c>
      <c r="B1585" s="216" t="s">
        <v>3671</v>
      </c>
      <c r="C1585" s="217" t="s">
        <v>1011</v>
      </c>
      <c r="D1585" s="120"/>
      <c r="E1585" s="45">
        <f t="shared" si="85"/>
        <v>0</v>
      </c>
      <c r="F1585" s="127">
        <f t="shared" si="86"/>
        <v>0</v>
      </c>
      <c r="G1585" s="151">
        <f>'Etude de cas n°1'!D1585</f>
        <v>0</v>
      </c>
      <c r="H1585" s="17"/>
      <c r="I1585" s="17"/>
      <c r="J1585" s="17"/>
      <c r="K1585" s="17"/>
      <c r="L1585" s="17"/>
      <c r="M1585" s="17"/>
      <c r="N1585" s="17"/>
    </row>
    <row r="1586" spans="1:14" s="96" customFormat="1" ht="13.8" x14ac:dyDescent="0.25">
      <c r="A1586" s="202" t="s">
        <v>3672</v>
      </c>
      <c r="B1586" s="216" t="s">
        <v>3673</v>
      </c>
      <c r="C1586" s="217" t="s">
        <v>1011</v>
      </c>
      <c r="D1586" s="120"/>
      <c r="E1586" s="45">
        <f t="shared" si="85"/>
        <v>0</v>
      </c>
      <c r="F1586" s="127">
        <f t="shared" si="86"/>
        <v>0</v>
      </c>
      <c r="G1586" s="151">
        <f>'Etude de cas n°1'!D1586</f>
        <v>0</v>
      </c>
      <c r="H1586" s="17"/>
      <c r="I1586" s="17"/>
      <c r="J1586" s="17"/>
      <c r="K1586" s="17"/>
      <c r="L1586" s="17"/>
      <c r="M1586" s="17"/>
      <c r="N1586" s="17"/>
    </row>
    <row r="1587" spans="1:14" s="96" customFormat="1" ht="13.2" x14ac:dyDescent="0.25">
      <c r="A1587" s="202" t="s">
        <v>863</v>
      </c>
      <c r="B1587" s="192" t="s">
        <v>3674</v>
      </c>
      <c r="C1587" s="217"/>
      <c r="D1587" s="120"/>
      <c r="E1587" s="45"/>
      <c r="F1587" s="127"/>
      <c r="G1587" s="151"/>
      <c r="H1587" s="17"/>
      <c r="I1587" s="17"/>
      <c r="J1587" s="17"/>
      <c r="K1587" s="17"/>
      <c r="L1587" s="17"/>
      <c r="M1587" s="17"/>
      <c r="N1587" s="17"/>
    </row>
    <row r="1588" spans="1:14" s="96" customFormat="1" ht="13.2" x14ac:dyDescent="0.25">
      <c r="A1588" s="202" t="s">
        <v>3675</v>
      </c>
      <c r="B1588" s="192" t="s">
        <v>3676</v>
      </c>
      <c r="C1588" s="217" t="s">
        <v>1034</v>
      </c>
      <c r="D1588" s="120"/>
      <c r="E1588" s="45">
        <f t="shared" si="85"/>
        <v>0</v>
      </c>
      <c r="F1588" s="127">
        <f t="shared" si="86"/>
        <v>0</v>
      </c>
      <c r="G1588" s="151">
        <f>'Etude de cas n°1'!D1588</f>
        <v>0</v>
      </c>
      <c r="H1588" s="17"/>
      <c r="I1588" s="17"/>
      <c r="J1588" s="17"/>
      <c r="K1588" s="17"/>
      <c r="L1588" s="17"/>
      <c r="M1588" s="17"/>
      <c r="N1588" s="17"/>
    </row>
    <row r="1589" spans="1:14" s="96" customFormat="1" ht="13.2" x14ac:dyDescent="0.25">
      <c r="A1589" s="202" t="s">
        <v>3677</v>
      </c>
      <c r="B1589" s="216" t="s">
        <v>3678</v>
      </c>
      <c r="C1589" s="217" t="s">
        <v>1011</v>
      </c>
      <c r="D1589" s="120"/>
      <c r="E1589" s="45">
        <f t="shared" si="85"/>
        <v>0</v>
      </c>
      <c r="F1589" s="127">
        <f t="shared" si="86"/>
        <v>0</v>
      </c>
      <c r="G1589" s="151">
        <f>'Etude de cas n°1'!D1589</f>
        <v>0</v>
      </c>
      <c r="H1589" s="17"/>
      <c r="I1589" s="17"/>
      <c r="J1589" s="17"/>
      <c r="K1589" s="17"/>
      <c r="L1589" s="17"/>
      <c r="M1589" s="17"/>
      <c r="N1589" s="17"/>
    </row>
    <row r="1590" spans="1:14" s="96" customFormat="1" ht="13.2" x14ac:dyDescent="0.25">
      <c r="A1590" s="202" t="s">
        <v>3679</v>
      </c>
      <c r="B1590" s="216" t="s">
        <v>3680</v>
      </c>
      <c r="C1590" s="217" t="s">
        <v>1011</v>
      </c>
      <c r="D1590" s="120"/>
      <c r="E1590" s="45">
        <f t="shared" si="85"/>
        <v>0</v>
      </c>
      <c r="F1590" s="127">
        <f t="shared" si="86"/>
        <v>0</v>
      </c>
      <c r="G1590" s="151">
        <f>'Etude de cas n°1'!D1590</f>
        <v>0</v>
      </c>
      <c r="H1590" s="17"/>
      <c r="I1590" s="17"/>
      <c r="J1590" s="17"/>
      <c r="K1590" s="17"/>
      <c r="L1590" s="17"/>
      <c r="M1590" s="17"/>
      <c r="N1590" s="17"/>
    </row>
    <row r="1591" spans="1:14" s="96" customFormat="1" ht="13.2" x14ac:dyDescent="0.25">
      <c r="A1591" s="202" t="s">
        <v>3681</v>
      </c>
      <c r="B1591" s="216" t="s">
        <v>3682</v>
      </c>
      <c r="C1591" s="217" t="s">
        <v>1034</v>
      </c>
      <c r="D1591" s="120"/>
      <c r="E1591" s="45">
        <f t="shared" si="85"/>
        <v>0</v>
      </c>
      <c r="F1591" s="127">
        <f t="shared" ref="F1591" si="87">D1591*E1591</f>
        <v>0</v>
      </c>
      <c r="G1591" s="151">
        <f>'Etude de cas n°1'!D1591</f>
        <v>0</v>
      </c>
      <c r="H1591" s="17"/>
      <c r="I1591" s="17"/>
      <c r="J1591" s="17"/>
      <c r="K1591" s="17"/>
      <c r="L1591" s="17"/>
      <c r="M1591" s="17"/>
      <c r="N1591" s="17"/>
    </row>
    <row r="1592" spans="1:14" s="96" customFormat="1" ht="13.2" x14ac:dyDescent="0.25">
      <c r="A1592" s="202" t="s">
        <v>3683</v>
      </c>
      <c r="B1592" s="216" t="s">
        <v>3684</v>
      </c>
      <c r="C1592" s="217" t="s">
        <v>1034</v>
      </c>
      <c r="D1592" s="120"/>
      <c r="E1592" s="45">
        <f t="shared" si="85"/>
        <v>0</v>
      </c>
      <c r="F1592" s="127">
        <f t="shared" si="86"/>
        <v>0</v>
      </c>
      <c r="G1592" s="151">
        <f>'Etude de cas n°1'!D1592</f>
        <v>0</v>
      </c>
      <c r="H1592" s="17"/>
      <c r="I1592" s="17"/>
      <c r="J1592" s="17"/>
      <c r="K1592" s="17"/>
      <c r="L1592" s="17"/>
      <c r="M1592" s="17"/>
      <c r="N1592" s="17"/>
    </row>
    <row r="1593" spans="1:14" s="96" customFormat="1" ht="13.2" x14ac:dyDescent="0.25">
      <c r="A1593" s="202" t="s">
        <v>3685</v>
      </c>
      <c r="B1593" s="216" t="s">
        <v>3686</v>
      </c>
      <c r="C1593" s="217" t="s">
        <v>1034</v>
      </c>
      <c r="D1593" s="120"/>
      <c r="E1593" s="45">
        <f t="shared" si="85"/>
        <v>0</v>
      </c>
      <c r="F1593" s="127">
        <f t="shared" si="86"/>
        <v>0</v>
      </c>
      <c r="G1593" s="151">
        <f>'Etude de cas n°1'!D1593</f>
        <v>0</v>
      </c>
      <c r="H1593" s="17"/>
      <c r="I1593" s="17"/>
      <c r="J1593" s="17"/>
      <c r="K1593" s="17"/>
      <c r="L1593" s="17"/>
      <c r="M1593" s="17"/>
      <c r="N1593" s="17"/>
    </row>
    <row r="1594" spans="1:14" s="97" customFormat="1" ht="13.2" x14ac:dyDescent="0.25">
      <c r="A1594" s="202" t="s">
        <v>3687</v>
      </c>
      <c r="B1594" s="216" t="s">
        <v>3688</v>
      </c>
      <c r="C1594" s="217" t="s">
        <v>1034</v>
      </c>
      <c r="D1594" s="120"/>
      <c r="E1594" s="45">
        <f t="shared" si="85"/>
        <v>0</v>
      </c>
      <c r="F1594" s="127">
        <f t="shared" si="86"/>
        <v>0</v>
      </c>
      <c r="G1594" s="151">
        <f>'Etude de cas n°1'!D1594</f>
        <v>0</v>
      </c>
      <c r="H1594" s="218"/>
      <c r="I1594" s="218"/>
      <c r="J1594" s="218"/>
      <c r="K1594" s="218"/>
      <c r="L1594" s="218"/>
      <c r="M1594" s="218"/>
      <c r="N1594" s="218"/>
    </row>
    <row r="1595" spans="1:14" s="97" customFormat="1" ht="13.2" x14ac:dyDescent="0.25">
      <c r="A1595" s="202" t="s">
        <v>3689</v>
      </c>
      <c r="B1595" s="216" t="s">
        <v>3690</v>
      </c>
      <c r="C1595" s="217" t="s">
        <v>1011</v>
      </c>
      <c r="D1595" s="120"/>
      <c r="E1595" s="45">
        <f t="shared" si="85"/>
        <v>0</v>
      </c>
      <c r="F1595" s="127">
        <f t="shared" si="86"/>
        <v>0</v>
      </c>
      <c r="G1595" s="151">
        <f>'Etude de cas n°1'!D1595</f>
        <v>0</v>
      </c>
      <c r="H1595" s="218"/>
      <c r="I1595" s="218"/>
      <c r="J1595" s="218"/>
      <c r="K1595" s="218"/>
      <c r="L1595" s="218"/>
      <c r="M1595" s="218"/>
      <c r="N1595" s="218"/>
    </row>
    <row r="1596" spans="1:14" s="97" customFormat="1" ht="13.2" x14ac:dyDescent="0.25">
      <c r="A1596" s="202" t="s">
        <v>3691</v>
      </c>
      <c r="B1596" s="216" t="s">
        <v>3692</v>
      </c>
      <c r="C1596" s="217" t="s">
        <v>1011</v>
      </c>
      <c r="D1596" s="120"/>
      <c r="E1596" s="45">
        <f t="shared" si="85"/>
        <v>0</v>
      </c>
      <c r="F1596" s="127">
        <f t="shared" si="86"/>
        <v>0</v>
      </c>
      <c r="G1596" s="151">
        <f>'Etude de cas n°1'!D1596</f>
        <v>0</v>
      </c>
      <c r="H1596" s="218"/>
      <c r="I1596" s="218"/>
      <c r="J1596" s="218"/>
      <c r="K1596" s="218"/>
      <c r="L1596" s="218"/>
      <c r="M1596" s="218"/>
      <c r="N1596" s="218"/>
    </row>
    <row r="1597" spans="1:14" s="94" customFormat="1" ht="13.2" x14ac:dyDescent="0.25">
      <c r="A1597" s="202" t="s">
        <v>864</v>
      </c>
      <c r="B1597" s="192" t="s">
        <v>3693</v>
      </c>
      <c r="C1597" s="217"/>
      <c r="D1597" s="120"/>
      <c r="E1597" s="45"/>
      <c r="F1597" s="127"/>
      <c r="G1597" s="151"/>
      <c r="H1597" s="19"/>
      <c r="I1597" s="19"/>
      <c r="J1597" s="19"/>
      <c r="K1597" s="19"/>
      <c r="L1597" s="19"/>
      <c r="M1597" s="19"/>
      <c r="N1597" s="19"/>
    </row>
    <row r="1598" spans="1:14" s="94" customFormat="1" ht="13.2" x14ac:dyDescent="0.25">
      <c r="A1598" s="202" t="s">
        <v>3694</v>
      </c>
      <c r="B1598" s="216" t="s">
        <v>3695</v>
      </c>
      <c r="C1598" s="217" t="s">
        <v>1011</v>
      </c>
      <c r="D1598" s="120"/>
      <c r="E1598" s="45">
        <f t="shared" si="85"/>
        <v>32</v>
      </c>
      <c r="F1598" s="127">
        <f t="shared" si="86"/>
        <v>0</v>
      </c>
      <c r="G1598" s="151">
        <f>'Etude de cas n°1'!D1598</f>
        <v>32</v>
      </c>
      <c r="H1598" s="19"/>
      <c r="I1598" s="19"/>
      <c r="J1598" s="19"/>
      <c r="K1598" s="19"/>
      <c r="L1598" s="19"/>
      <c r="M1598" s="19"/>
      <c r="N1598" s="19"/>
    </row>
    <row r="1599" spans="1:14" s="97" customFormat="1" ht="13.2" x14ac:dyDescent="0.25">
      <c r="A1599" s="202" t="s">
        <v>3696</v>
      </c>
      <c r="B1599" s="216" t="s">
        <v>3697</v>
      </c>
      <c r="C1599" s="217" t="s">
        <v>1034</v>
      </c>
      <c r="D1599" s="120"/>
      <c r="E1599" s="45">
        <f t="shared" si="85"/>
        <v>0</v>
      </c>
      <c r="F1599" s="127">
        <f t="shared" si="86"/>
        <v>0</v>
      </c>
      <c r="G1599" s="151">
        <f>'Etude de cas n°1'!D1599</f>
        <v>0</v>
      </c>
      <c r="H1599" s="218"/>
      <c r="I1599" s="218"/>
      <c r="J1599" s="218"/>
      <c r="K1599" s="218"/>
      <c r="L1599" s="218"/>
      <c r="M1599" s="218"/>
      <c r="N1599" s="218"/>
    </row>
    <row r="1600" spans="1:14" s="97" customFormat="1" ht="13.2" x14ac:dyDescent="0.25">
      <c r="A1600" s="202" t="s">
        <v>3698</v>
      </c>
      <c r="B1600" s="216" t="s">
        <v>3699</v>
      </c>
      <c r="C1600" s="217" t="s">
        <v>1011</v>
      </c>
      <c r="D1600" s="120"/>
      <c r="E1600" s="45">
        <f t="shared" si="85"/>
        <v>5</v>
      </c>
      <c r="F1600" s="127">
        <f t="shared" si="86"/>
        <v>0</v>
      </c>
      <c r="G1600" s="151">
        <f>'Etude de cas n°1'!D1600</f>
        <v>5</v>
      </c>
      <c r="H1600" s="218"/>
      <c r="I1600" s="218"/>
      <c r="J1600" s="218"/>
      <c r="K1600" s="218"/>
      <c r="L1600" s="218"/>
      <c r="M1600" s="218"/>
      <c r="N1600" s="218"/>
    </row>
    <row r="1601" spans="1:14" s="97" customFormat="1" ht="13.2" x14ac:dyDescent="0.25">
      <c r="A1601" s="202" t="s">
        <v>3700</v>
      </c>
      <c r="B1601" s="216" t="s">
        <v>3701</v>
      </c>
      <c r="C1601" s="217" t="s">
        <v>2109</v>
      </c>
      <c r="D1601" s="120"/>
      <c r="E1601" s="45">
        <f t="shared" si="85"/>
        <v>0</v>
      </c>
      <c r="F1601" s="127">
        <f t="shared" si="86"/>
        <v>0</v>
      </c>
      <c r="G1601" s="151">
        <f>'Etude de cas n°1'!D1601</f>
        <v>0</v>
      </c>
      <c r="H1601" s="218"/>
      <c r="I1601" s="218"/>
      <c r="J1601" s="218"/>
      <c r="K1601" s="218"/>
      <c r="L1601" s="218"/>
      <c r="M1601" s="218"/>
      <c r="N1601" s="218"/>
    </row>
    <row r="1602" spans="1:14" s="97" customFormat="1" ht="13.2" x14ac:dyDescent="0.25">
      <c r="A1602" s="202"/>
      <c r="B1602" s="216"/>
      <c r="C1602" s="217"/>
      <c r="D1602" s="136"/>
      <c r="E1602" s="217"/>
      <c r="F1602" s="217"/>
      <c r="G1602" s="151"/>
      <c r="H1602" s="218"/>
      <c r="I1602" s="218"/>
      <c r="J1602" s="218"/>
      <c r="K1602" s="218"/>
      <c r="L1602" s="218"/>
      <c r="M1602" s="218"/>
      <c r="N1602" s="218"/>
    </row>
    <row r="1603" spans="1:14" s="97" customFormat="1" ht="13.2" x14ac:dyDescent="0.25">
      <c r="A1603" s="202"/>
      <c r="B1603" s="122" t="s">
        <v>3702</v>
      </c>
      <c r="C1603" s="217"/>
      <c r="D1603" s="136"/>
      <c r="E1603" s="217"/>
      <c r="F1603" s="158">
        <f>SUM(F1517:F1602)</f>
        <v>0</v>
      </c>
      <c r="G1603" s="151"/>
      <c r="H1603" s="218"/>
      <c r="I1603" s="218"/>
      <c r="J1603" s="218"/>
      <c r="K1603" s="218"/>
      <c r="L1603" s="218"/>
      <c r="M1603" s="218"/>
      <c r="N1603" s="218"/>
    </row>
    <row r="1604" spans="1:14" s="97" customFormat="1" ht="13.2" x14ac:dyDescent="0.25">
      <c r="A1604" s="202"/>
      <c r="B1604" s="216"/>
      <c r="C1604" s="217"/>
      <c r="D1604" s="136"/>
      <c r="E1604" s="217"/>
      <c r="F1604" s="217"/>
      <c r="G1604" s="151"/>
      <c r="H1604" s="218"/>
      <c r="I1604" s="218"/>
      <c r="J1604" s="218"/>
      <c r="K1604" s="218"/>
      <c r="L1604" s="218"/>
      <c r="M1604" s="218"/>
      <c r="N1604" s="218"/>
    </row>
    <row r="1605" spans="1:14" s="97" customFormat="1" ht="13.2" x14ac:dyDescent="0.25">
      <c r="A1605" s="29">
        <v>14</v>
      </c>
      <c r="B1605" s="30" t="s">
        <v>3703</v>
      </c>
      <c r="C1605" s="224"/>
      <c r="D1605" s="123"/>
      <c r="E1605" s="224"/>
      <c r="F1605" s="224"/>
      <c r="G1605" s="224"/>
      <c r="H1605" s="218"/>
      <c r="I1605" s="218"/>
      <c r="J1605" s="218"/>
      <c r="K1605" s="218"/>
      <c r="L1605" s="218"/>
      <c r="M1605" s="218"/>
      <c r="N1605" s="218"/>
    </row>
    <row r="1606" spans="1:14" s="97" customFormat="1" ht="13.2" x14ac:dyDescent="0.25">
      <c r="A1606" s="28" t="s">
        <v>3704</v>
      </c>
      <c r="B1606" s="6" t="s">
        <v>3705</v>
      </c>
      <c r="C1606" s="217"/>
      <c r="D1606" s="136"/>
      <c r="E1606" s="217"/>
      <c r="F1606" s="217"/>
      <c r="G1606" s="151"/>
      <c r="H1606" s="218"/>
      <c r="I1606" s="218"/>
      <c r="J1606" s="218"/>
      <c r="K1606" s="218"/>
      <c r="L1606" s="218"/>
      <c r="M1606" s="218"/>
      <c r="N1606" s="218"/>
    </row>
    <row r="1607" spans="1:14" s="97" customFormat="1" ht="13.2" x14ac:dyDescent="0.25">
      <c r="A1607" s="235" t="s">
        <v>3706</v>
      </c>
      <c r="B1607" s="223" t="s">
        <v>3707</v>
      </c>
      <c r="C1607" s="217"/>
      <c r="D1607" s="136"/>
      <c r="E1607" s="217"/>
      <c r="F1607" s="217"/>
      <c r="G1607" s="151"/>
      <c r="H1607" s="218"/>
      <c r="I1607" s="218"/>
      <c r="J1607" s="218"/>
      <c r="K1607" s="218"/>
      <c r="L1607" s="218"/>
      <c r="M1607" s="218"/>
      <c r="N1607" s="218"/>
    </row>
    <row r="1608" spans="1:14" s="97" customFormat="1" ht="13.2" x14ac:dyDescent="0.25">
      <c r="A1608" s="235" t="s">
        <v>3708</v>
      </c>
      <c r="B1608" s="223" t="s">
        <v>3709</v>
      </c>
      <c r="C1608" s="217" t="s">
        <v>1011</v>
      </c>
      <c r="D1608" s="120"/>
      <c r="E1608" s="45">
        <f t="shared" ref="E1608:E1671" si="88">G1608</f>
        <v>0</v>
      </c>
      <c r="F1608" s="127">
        <f>D1608*E1608</f>
        <v>0</v>
      </c>
      <c r="G1608" s="151">
        <f>'Etude de cas n°1'!D1608</f>
        <v>0</v>
      </c>
      <c r="H1608" s="218"/>
      <c r="I1608" s="218"/>
      <c r="J1608" s="218"/>
      <c r="K1608" s="218"/>
      <c r="L1608" s="218"/>
      <c r="M1608" s="218"/>
      <c r="N1608" s="218"/>
    </row>
    <row r="1609" spans="1:14" s="97" customFormat="1" ht="13.2" x14ac:dyDescent="0.25">
      <c r="A1609" s="235" t="s">
        <v>3710</v>
      </c>
      <c r="B1609" s="223" t="s">
        <v>3711</v>
      </c>
      <c r="C1609" s="217" t="s">
        <v>1034</v>
      </c>
      <c r="D1609" s="120"/>
      <c r="E1609" s="45">
        <f t="shared" si="88"/>
        <v>0</v>
      </c>
      <c r="F1609" s="127">
        <f t="shared" ref="F1609:F1671" si="89">D1609*E1609</f>
        <v>0</v>
      </c>
      <c r="G1609" s="151">
        <f>'Etude de cas n°1'!D1609</f>
        <v>0</v>
      </c>
      <c r="H1609" s="218"/>
      <c r="I1609" s="218"/>
      <c r="J1609" s="218"/>
      <c r="K1609" s="218"/>
      <c r="L1609" s="218"/>
      <c r="M1609" s="218"/>
      <c r="N1609" s="218"/>
    </row>
    <row r="1610" spans="1:14" s="97" customFormat="1" ht="13.2" x14ac:dyDescent="0.25">
      <c r="A1610" s="235" t="s">
        <v>3712</v>
      </c>
      <c r="B1610" s="223" t="s">
        <v>3713</v>
      </c>
      <c r="C1610" s="217" t="s">
        <v>1011</v>
      </c>
      <c r="D1610" s="120"/>
      <c r="E1610" s="45">
        <f t="shared" si="88"/>
        <v>0</v>
      </c>
      <c r="F1610" s="127">
        <f t="shared" si="89"/>
        <v>0</v>
      </c>
      <c r="G1610" s="151">
        <f>'Etude de cas n°1'!D1610</f>
        <v>0</v>
      </c>
      <c r="H1610" s="218"/>
      <c r="I1610" s="218"/>
      <c r="J1610" s="218"/>
      <c r="K1610" s="218"/>
      <c r="L1610" s="218"/>
      <c r="M1610" s="218"/>
      <c r="N1610" s="218"/>
    </row>
    <row r="1611" spans="1:14" s="97" customFormat="1" ht="13.2" x14ac:dyDescent="0.25">
      <c r="A1611" s="235" t="s">
        <v>3714</v>
      </c>
      <c r="B1611" s="223" t="s">
        <v>3715</v>
      </c>
      <c r="C1611" s="217"/>
      <c r="D1611" s="120"/>
      <c r="E1611" s="45"/>
      <c r="F1611" s="127"/>
      <c r="G1611" s="151"/>
      <c r="H1611" s="218"/>
      <c r="I1611" s="218"/>
      <c r="J1611" s="218"/>
      <c r="K1611" s="218"/>
      <c r="L1611" s="218"/>
      <c r="M1611" s="218"/>
      <c r="N1611" s="218"/>
    </row>
    <row r="1612" spans="1:14" s="97" customFormat="1" ht="13.2" x14ac:dyDescent="0.25">
      <c r="A1612" s="235" t="s">
        <v>3716</v>
      </c>
      <c r="B1612" s="223" t="s">
        <v>3709</v>
      </c>
      <c r="C1612" s="217" t="s">
        <v>1011</v>
      </c>
      <c r="D1612" s="120"/>
      <c r="E1612" s="45">
        <f t="shared" si="88"/>
        <v>0</v>
      </c>
      <c r="F1612" s="127">
        <f t="shared" si="89"/>
        <v>0</v>
      </c>
      <c r="G1612" s="151">
        <f>'Etude de cas n°1'!D1612</f>
        <v>0</v>
      </c>
      <c r="H1612" s="218"/>
      <c r="I1612" s="218"/>
      <c r="J1612" s="218"/>
      <c r="K1612" s="218"/>
      <c r="L1612" s="218"/>
      <c r="M1612" s="218"/>
      <c r="N1612" s="218"/>
    </row>
    <row r="1613" spans="1:14" s="97" customFormat="1" ht="13.2" x14ac:dyDescent="0.25">
      <c r="A1613" s="235" t="s">
        <v>3717</v>
      </c>
      <c r="B1613" s="223" t="s">
        <v>3711</v>
      </c>
      <c r="C1613" s="217" t="s">
        <v>1034</v>
      </c>
      <c r="D1613" s="120"/>
      <c r="E1613" s="45">
        <f t="shared" si="88"/>
        <v>0</v>
      </c>
      <c r="F1613" s="127">
        <f t="shared" si="89"/>
        <v>0</v>
      </c>
      <c r="G1613" s="151">
        <f>'Etude de cas n°1'!D1613</f>
        <v>0</v>
      </c>
      <c r="H1613" s="218"/>
      <c r="I1613" s="218"/>
      <c r="J1613" s="218"/>
      <c r="K1613" s="218"/>
      <c r="L1613" s="218"/>
      <c r="M1613" s="218"/>
      <c r="N1613" s="218"/>
    </row>
    <row r="1614" spans="1:14" s="97" customFormat="1" ht="13.2" x14ac:dyDescent="0.25">
      <c r="A1614" s="235" t="s">
        <v>3718</v>
      </c>
      <c r="B1614" s="223" t="s">
        <v>3713</v>
      </c>
      <c r="C1614" s="217" t="s">
        <v>1011</v>
      </c>
      <c r="D1614" s="120"/>
      <c r="E1614" s="45">
        <f t="shared" si="88"/>
        <v>0</v>
      </c>
      <c r="F1614" s="127">
        <f t="shared" si="89"/>
        <v>0</v>
      </c>
      <c r="G1614" s="151">
        <f>'Etude de cas n°1'!D1614</f>
        <v>0</v>
      </c>
      <c r="H1614" s="218"/>
      <c r="I1614" s="218"/>
      <c r="J1614" s="218"/>
      <c r="K1614" s="218"/>
      <c r="L1614" s="218"/>
      <c r="M1614" s="218"/>
      <c r="N1614" s="218"/>
    </row>
    <row r="1615" spans="1:14" s="97" customFormat="1" ht="13.2" x14ac:dyDescent="0.25">
      <c r="A1615" s="235" t="s">
        <v>3719</v>
      </c>
      <c r="B1615" s="223" t="s">
        <v>3720</v>
      </c>
      <c r="C1615" s="217"/>
      <c r="D1615" s="136"/>
      <c r="E1615" s="45"/>
      <c r="F1615" s="127"/>
      <c r="G1615" s="151"/>
      <c r="H1615" s="218"/>
      <c r="I1615" s="218"/>
      <c r="J1615" s="218"/>
      <c r="K1615" s="218"/>
      <c r="L1615" s="218"/>
      <c r="M1615" s="218"/>
      <c r="N1615" s="218"/>
    </row>
    <row r="1616" spans="1:14" s="97" customFormat="1" ht="13.2" x14ac:dyDescent="0.25">
      <c r="A1616" s="235" t="s">
        <v>3721</v>
      </c>
      <c r="B1616" s="223" t="s">
        <v>3709</v>
      </c>
      <c r="C1616" s="217" t="s">
        <v>1011</v>
      </c>
      <c r="D1616" s="120"/>
      <c r="E1616" s="45">
        <f t="shared" si="88"/>
        <v>0</v>
      </c>
      <c r="F1616" s="127">
        <f t="shared" si="89"/>
        <v>0</v>
      </c>
      <c r="G1616" s="151">
        <f>'Etude de cas n°1'!D1616</f>
        <v>0</v>
      </c>
      <c r="H1616" s="218"/>
      <c r="I1616" s="218"/>
      <c r="J1616" s="218"/>
      <c r="K1616" s="218"/>
      <c r="L1616" s="218"/>
      <c r="M1616" s="218"/>
      <c r="N1616" s="218"/>
    </row>
    <row r="1617" spans="1:14" s="97" customFormat="1" ht="13.2" x14ac:dyDescent="0.25">
      <c r="A1617" s="235" t="s">
        <v>3722</v>
      </c>
      <c r="B1617" s="223" t="s">
        <v>3711</v>
      </c>
      <c r="C1617" s="217" t="s">
        <v>1034</v>
      </c>
      <c r="D1617" s="120"/>
      <c r="E1617" s="45">
        <f t="shared" si="88"/>
        <v>0</v>
      </c>
      <c r="F1617" s="127">
        <f t="shared" si="89"/>
        <v>0</v>
      </c>
      <c r="G1617" s="151">
        <f>'Etude de cas n°1'!D1617</f>
        <v>0</v>
      </c>
      <c r="H1617" s="218"/>
      <c r="I1617" s="218"/>
      <c r="J1617" s="218"/>
      <c r="K1617" s="218"/>
      <c r="L1617" s="218"/>
      <c r="M1617" s="218"/>
      <c r="N1617" s="218"/>
    </row>
    <row r="1618" spans="1:14" s="97" customFormat="1" ht="13.2" x14ac:dyDescent="0.25">
      <c r="A1618" s="235" t="s">
        <v>3723</v>
      </c>
      <c r="B1618" s="223" t="s">
        <v>3713</v>
      </c>
      <c r="C1618" s="217" t="s">
        <v>1011</v>
      </c>
      <c r="D1618" s="120"/>
      <c r="E1618" s="45">
        <f t="shared" si="88"/>
        <v>0</v>
      </c>
      <c r="F1618" s="127">
        <f t="shared" si="89"/>
        <v>0</v>
      </c>
      <c r="G1618" s="151">
        <f>'Etude de cas n°1'!D1618</f>
        <v>0</v>
      </c>
      <c r="H1618" s="218"/>
      <c r="I1618" s="218"/>
      <c r="J1618" s="218"/>
      <c r="K1618" s="218"/>
      <c r="L1618" s="218"/>
      <c r="M1618" s="218"/>
      <c r="N1618" s="218"/>
    </row>
    <row r="1619" spans="1:14" s="97" customFormat="1" ht="13.2" x14ac:dyDescent="0.25">
      <c r="A1619" s="235" t="s">
        <v>3724</v>
      </c>
      <c r="B1619" s="223" t="s">
        <v>3725</v>
      </c>
      <c r="C1619" s="217"/>
      <c r="D1619" s="136"/>
      <c r="E1619" s="45"/>
      <c r="F1619" s="127"/>
      <c r="G1619" s="151"/>
      <c r="H1619" s="218"/>
      <c r="I1619" s="218"/>
      <c r="J1619" s="218"/>
      <c r="K1619" s="218"/>
      <c r="L1619" s="218"/>
      <c r="M1619" s="218"/>
      <c r="N1619" s="218"/>
    </row>
    <row r="1620" spans="1:14" s="97" customFormat="1" ht="13.2" x14ac:dyDescent="0.25">
      <c r="A1620" s="235" t="s">
        <v>3726</v>
      </c>
      <c r="B1620" s="223" t="s">
        <v>3709</v>
      </c>
      <c r="C1620" s="217" t="s">
        <v>1011</v>
      </c>
      <c r="D1620" s="120"/>
      <c r="E1620" s="45">
        <f t="shared" si="88"/>
        <v>0</v>
      </c>
      <c r="F1620" s="127">
        <f t="shared" si="89"/>
        <v>0</v>
      </c>
      <c r="G1620" s="151">
        <f>'Etude de cas n°1'!D1620</f>
        <v>0</v>
      </c>
      <c r="H1620" s="218"/>
      <c r="I1620" s="218"/>
      <c r="J1620" s="218"/>
      <c r="K1620" s="218"/>
      <c r="L1620" s="218"/>
      <c r="M1620" s="218"/>
      <c r="N1620" s="218"/>
    </row>
    <row r="1621" spans="1:14" s="97" customFormat="1" ht="13.2" x14ac:dyDescent="0.25">
      <c r="A1621" s="235" t="s">
        <v>3727</v>
      </c>
      <c r="B1621" s="223" t="s">
        <v>3711</v>
      </c>
      <c r="C1621" s="217" t="s">
        <v>1034</v>
      </c>
      <c r="D1621" s="120"/>
      <c r="E1621" s="45">
        <f t="shared" si="88"/>
        <v>0</v>
      </c>
      <c r="F1621" s="127">
        <f t="shared" si="89"/>
        <v>0</v>
      </c>
      <c r="G1621" s="151">
        <f>'Etude de cas n°1'!D1621</f>
        <v>0</v>
      </c>
      <c r="H1621" s="218"/>
      <c r="I1621" s="218"/>
      <c r="J1621" s="218"/>
      <c r="K1621" s="218"/>
      <c r="L1621" s="218"/>
      <c r="M1621" s="218"/>
      <c r="N1621" s="218"/>
    </row>
    <row r="1622" spans="1:14" s="97" customFormat="1" ht="13.2" x14ac:dyDescent="0.25">
      <c r="A1622" s="235" t="s">
        <v>3728</v>
      </c>
      <c r="B1622" s="223" t="s">
        <v>3713</v>
      </c>
      <c r="C1622" s="217" t="s">
        <v>1011</v>
      </c>
      <c r="D1622" s="120"/>
      <c r="E1622" s="45">
        <f t="shared" si="88"/>
        <v>0</v>
      </c>
      <c r="F1622" s="127">
        <f t="shared" si="89"/>
        <v>0</v>
      </c>
      <c r="G1622" s="151">
        <f>'Etude de cas n°1'!D1622</f>
        <v>0</v>
      </c>
      <c r="H1622" s="218"/>
      <c r="I1622" s="218"/>
      <c r="J1622" s="218"/>
      <c r="K1622" s="218"/>
      <c r="L1622" s="218"/>
      <c r="M1622" s="218"/>
      <c r="N1622" s="218"/>
    </row>
    <row r="1623" spans="1:14" s="97" customFormat="1" ht="13.2" x14ac:dyDescent="0.25">
      <c r="A1623" s="235" t="s">
        <v>3729</v>
      </c>
      <c r="B1623" s="223" t="s">
        <v>3730</v>
      </c>
      <c r="C1623" s="217"/>
      <c r="D1623" s="120"/>
      <c r="E1623" s="45"/>
      <c r="F1623" s="127"/>
      <c r="G1623" s="151"/>
      <c r="H1623" s="218"/>
      <c r="I1623" s="218"/>
      <c r="J1623" s="218"/>
      <c r="K1623" s="218"/>
      <c r="L1623" s="218"/>
      <c r="M1623" s="218"/>
      <c r="N1623" s="218"/>
    </row>
    <row r="1624" spans="1:14" s="97" customFormat="1" ht="13.2" x14ac:dyDescent="0.25">
      <c r="A1624" s="235" t="s">
        <v>3731</v>
      </c>
      <c r="B1624" s="223" t="s">
        <v>3709</v>
      </c>
      <c r="C1624" s="217" t="s">
        <v>1011</v>
      </c>
      <c r="D1624" s="120"/>
      <c r="E1624" s="45">
        <f t="shared" si="88"/>
        <v>0</v>
      </c>
      <c r="F1624" s="127">
        <f t="shared" si="89"/>
        <v>0</v>
      </c>
      <c r="G1624" s="151">
        <f>'Etude de cas n°1'!D1624</f>
        <v>0</v>
      </c>
      <c r="H1624" s="218"/>
      <c r="I1624" s="218"/>
      <c r="J1624" s="218"/>
      <c r="K1624" s="218"/>
      <c r="L1624" s="218"/>
      <c r="M1624" s="218"/>
      <c r="N1624" s="218"/>
    </row>
    <row r="1625" spans="1:14" s="97" customFormat="1" ht="13.2" x14ac:dyDescent="0.25">
      <c r="A1625" s="235" t="s">
        <v>3732</v>
      </c>
      <c r="B1625" s="223" t="s">
        <v>3711</v>
      </c>
      <c r="C1625" s="217" t="s">
        <v>1034</v>
      </c>
      <c r="D1625" s="120"/>
      <c r="E1625" s="45">
        <f t="shared" si="88"/>
        <v>0</v>
      </c>
      <c r="F1625" s="127">
        <f t="shared" si="89"/>
        <v>0</v>
      </c>
      <c r="G1625" s="151">
        <f>'Etude de cas n°1'!D1625</f>
        <v>0</v>
      </c>
      <c r="H1625" s="218"/>
      <c r="I1625" s="218"/>
      <c r="J1625" s="218"/>
      <c r="K1625" s="218"/>
      <c r="L1625" s="218"/>
      <c r="M1625" s="218"/>
      <c r="N1625" s="218"/>
    </row>
    <row r="1626" spans="1:14" s="97" customFormat="1" ht="13.2" x14ac:dyDescent="0.25">
      <c r="A1626" s="235" t="s">
        <v>3733</v>
      </c>
      <c r="B1626" s="223" t="s">
        <v>3713</v>
      </c>
      <c r="C1626" s="217" t="s">
        <v>1011</v>
      </c>
      <c r="D1626" s="120"/>
      <c r="E1626" s="45">
        <f t="shared" si="88"/>
        <v>0</v>
      </c>
      <c r="F1626" s="127">
        <f t="shared" si="89"/>
        <v>0</v>
      </c>
      <c r="G1626" s="151">
        <f>'Etude de cas n°1'!D1626</f>
        <v>0</v>
      </c>
      <c r="H1626" s="218"/>
      <c r="I1626" s="218"/>
      <c r="J1626" s="218"/>
      <c r="K1626" s="218"/>
      <c r="L1626" s="218"/>
      <c r="M1626" s="218"/>
      <c r="N1626" s="218"/>
    </row>
    <row r="1627" spans="1:14" s="97" customFormat="1" ht="13.2" x14ac:dyDescent="0.25">
      <c r="A1627" s="235" t="s">
        <v>3734</v>
      </c>
      <c r="B1627" s="223" t="s">
        <v>3735</v>
      </c>
      <c r="C1627" s="217"/>
      <c r="D1627" s="120"/>
      <c r="E1627" s="45"/>
      <c r="F1627" s="127"/>
      <c r="G1627" s="151"/>
      <c r="H1627" s="218"/>
      <c r="I1627" s="218"/>
      <c r="J1627" s="218"/>
      <c r="K1627" s="218"/>
      <c r="L1627" s="218"/>
      <c r="M1627" s="218"/>
      <c r="N1627" s="218"/>
    </row>
    <row r="1628" spans="1:14" s="97" customFormat="1" ht="13.2" x14ac:dyDescent="0.25">
      <c r="A1628" s="235" t="s">
        <v>3736</v>
      </c>
      <c r="B1628" s="223" t="s">
        <v>3709</v>
      </c>
      <c r="C1628" s="217" t="s">
        <v>1011</v>
      </c>
      <c r="D1628" s="120"/>
      <c r="E1628" s="45">
        <f t="shared" si="88"/>
        <v>0</v>
      </c>
      <c r="F1628" s="127">
        <f t="shared" si="89"/>
        <v>0</v>
      </c>
      <c r="G1628" s="151">
        <f>'Etude de cas n°1'!D1628</f>
        <v>0</v>
      </c>
      <c r="H1628" s="218"/>
      <c r="I1628" s="218"/>
      <c r="J1628" s="218"/>
      <c r="K1628" s="218"/>
      <c r="L1628" s="218"/>
      <c r="M1628" s="218"/>
      <c r="N1628" s="218"/>
    </row>
    <row r="1629" spans="1:14" s="97" customFormat="1" ht="13.2" x14ac:dyDescent="0.25">
      <c r="A1629" s="235" t="s">
        <v>3737</v>
      </c>
      <c r="B1629" s="223" t="s">
        <v>3711</v>
      </c>
      <c r="C1629" s="217" t="s">
        <v>1034</v>
      </c>
      <c r="D1629" s="120"/>
      <c r="E1629" s="45">
        <f t="shared" si="88"/>
        <v>0</v>
      </c>
      <c r="F1629" s="127">
        <f t="shared" si="89"/>
        <v>0</v>
      </c>
      <c r="G1629" s="151">
        <f>'Etude de cas n°1'!D1629</f>
        <v>0</v>
      </c>
      <c r="H1629" s="218"/>
      <c r="I1629" s="218"/>
      <c r="J1629" s="218"/>
      <c r="K1629" s="218"/>
      <c r="L1629" s="218"/>
      <c r="M1629" s="218"/>
      <c r="N1629" s="218"/>
    </row>
    <row r="1630" spans="1:14" s="97" customFormat="1" ht="13.2" x14ac:dyDescent="0.25">
      <c r="A1630" s="235" t="s">
        <v>3738</v>
      </c>
      <c r="B1630" s="223" t="s">
        <v>3713</v>
      </c>
      <c r="C1630" s="217" t="s">
        <v>1011</v>
      </c>
      <c r="D1630" s="120"/>
      <c r="E1630" s="45">
        <f t="shared" si="88"/>
        <v>0</v>
      </c>
      <c r="F1630" s="127">
        <f t="shared" si="89"/>
        <v>0</v>
      </c>
      <c r="G1630" s="151">
        <f>'Etude de cas n°1'!D1630</f>
        <v>0</v>
      </c>
      <c r="H1630" s="218"/>
      <c r="I1630" s="218"/>
      <c r="J1630" s="218"/>
      <c r="K1630" s="218"/>
      <c r="L1630" s="218"/>
      <c r="M1630" s="218"/>
      <c r="N1630" s="218"/>
    </row>
    <row r="1631" spans="1:14" s="97" customFormat="1" ht="13.2" x14ac:dyDescent="0.25">
      <c r="A1631" s="28" t="s">
        <v>3739</v>
      </c>
      <c r="B1631" s="6" t="s">
        <v>3740</v>
      </c>
      <c r="C1631" s="217"/>
      <c r="D1631" s="120"/>
      <c r="E1631" s="45"/>
      <c r="F1631" s="127"/>
      <c r="G1631" s="151"/>
      <c r="H1631" s="218"/>
      <c r="I1631" s="218"/>
      <c r="J1631" s="218"/>
      <c r="K1631" s="218"/>
      <c r="L1631" s="218"/>
      <c r="M1631" s="218"/>
      <c r="N1631" s="218"/>
    </row>
    <row r="1632" spans="1:14" s="94" customFormat="1" ht="13.2" x14ac:dyDescent="0.25">
      <c r="A1632" s="235" t="s">
        <v>3741</v>
      </c>
      <c r="B1632" s="223" t="s">
        <v>3742</v>
      </c>
      <c r="C1632" s="217"/>
      <c r="D1632" s="120"/>
      <c r="E1632" s="45"/>
      <c r="F1632" s="127"/>
      <c r="G1632" s="151"/>
      <c r="H1632" s="19"/>
      <c r="I1632" s="19"/>
      <c r="J1632" s="19"/>
      <c r="K1632" s="19"/>
      <c r="L1632" s="19"/>
      <c r="M1632" s="19"/>
      <c r="N1632" s="19"/>
    </row>
    <row r="1633" spans="1:14" s="97" customFormat="1" ht="13.2" x14ac:dyDescent="0.25">
      <c r="A1633" s="235" t="s">
        <v>3743</v>
      </c>
      <c r="B1633" s="223" t="s">
        <v>3709</v>
      </c>
      <c r="C1633" s="217" t="s">
        <v>1011</v>
      </c>
      <c r="D1633" s="120"/>
      <c r="E1633" s="45">
        <f t="shared" si="88"/>
        <v>0</v>
      </c>
      <c r="F1633" s="127">
        <f t="shared" si="89"/>
        <v>0</v>
      </c>
      <c r="G1633" s="151">
        <f>'Etude de cas n°1'!D1633</f>
        <v>0</v>
      </c>
      <c r="H1633" s="218"/>
      <c r="I1633" s="218"/>
      <c r="J1633" s="218"/>
      <c r="K1633" s="218"/>
      <c r="L1633" s="218"/>
      <c r="M1633" s="218"/>
      <c r="N1633" s="218"/>
    </row>
    <row r="1634" spans="1:14" s="97" customFormat="1" ht="13.2" x14ac:dyDescent="0.25">
      <c r="A1634" s="235" t="s">
        <v>3744</v>
      </c>
      <c r="B1634" s="223" t="s">
        <v>3711</v>
      </c>
      <c r="C1634" s="217" t="s">
        <v>1034</v>
      </c>
      <c r="D1634" s="120"/>
      <c r="E1634" s="45">
        <f t="shared" si="88"/>
        <v>0</v>
      </c>
      <c r="F1634" s="127">
        <f t="shared" si="89"/>
        <v>0</v>
      </c>
      <c r="G1634" s="151">
        <f>'Etude de cas n°1'!D1634</f>
        <v>0</v>
      </c>
      <c r="H1634" s="218"/>
      <c r="I1634" s="218"/>
      <c r="J1634" s="218"/>
      <c r="K1634" s="218"/>
      <c r="L1634" s="218"/>
      <c r="M1634" s="218"/>
      <c r="N1634" s="218"/>
    </row>
    <row r="1635" spans="1:14" s="97" customFormat="1" ht="13.2" x14ac:dyDescent="0.25">
      <c r="A1635" s="235" t="s">
        <v>3745</v>
      </c>
      <c r="B1635" s="223" t="s">
        <v>3713</v>
      </c>
      <c r="C1635" s="217" t="s">
        <v>1011</v>
      </c>
      <c r="D1635" s="120"/>
      <c r="E1635" s="45">
        <f t="shared" si="88"/>
        <v>0</v>
      </c>
      <c r="F1635" s="127">
        <f t="shared" si="89"/>
        <v>0</v>
      </c>
      <c r="G1635" s="151">
        <f>'Etude de cas n°1'!D1635</f>
        <v>0</v>
      </c>
      <c r="H1635" s="218"/>
      <c r="I1635" s="218"/>
      <c r="J1635" s="218"/>
      <c r="K1635" s="218"/>
      <c r="L1635" s="218"/>
      <c r="M1635" s="218"/>
      <c r="N1635" s="218"/>
    </row>
    <row r="1636" spans="1:14" s="97" customFormat="1" ht="13.2" x14ac:dyDescent="0.25">
      <c r="A1636" s="235" t="s">
        <v>3746</v>
      </c>
      <c r="B1636" s="223" t="s">
        <v>3747</v>
      </c>
      <c r="C1636" s="217"/>
      <c r="D1636" s="120"/>
      <c r="E1636" s="45"/>
      <c r="F1636" s="127"/>
      <c r="G1636" s="151"/>
      <c r="H1636" s="218"/>
      <c r="I1636" s="218"/>
      <c r="J1636" s="218"/>
      <c r="K1636" s="218"/>
      <c r="L1636" s="218"/>
      <c r="M1636" s="218"/>
      <c r="N1636" s="218"/>
    </row>
    <row r="1637" spans="1:14" s="94" customFormat="1" ht="13.2" x14ac:dyDescent="0.25">
      <c r="A1637" s="235" t="s">
        <v>3748</v>
      </c>
      <c r="B1637" s="223" t="s">
        <v>3709</v>
      </c>
      <c r="C1637" s="217" t="s">
        <v>1011</v>
      </c>
      <c r="D1637" s="120"/>
      <c r="E1637" s="45">
        <f t="shared" si="88"/>
        <v>0</v>
      </c>
      <c r="F1637" s="127">
        <f t="shared" si="89"/>
        <v>0</v>
      </c>
      <c r="G1637" s="151">
        <f>'Etude de cas n°1'!D1637</f>
        <v>0</v>
      </c>
      <c r="H1637" s="19"/>
      <c r="I1637" s="19"/>
      <c r="J1637" s="19"/>
      <c r="K1637" s="19"/>
      <c r="L1637" s="19"/>
      <c r="M1637" s="19"/>
      <c r="N1637" s="19"/>
    </row>
    <row r="1638" spans="1:14" s="97" customFormat="1" ht="13.2" x14ac:dyDescent="0.25">
      <c r="A1638" s="235" t="s">
        <v>3749</v>
      </c>
      <c r="B1638" s="223" t="s">
        <v>3711</v>
      </c>
      <c r="C1638" s="217" t="s">
        <v>1034</v>
      </c>
      <c r="D1638" s="120"/>
      <c r="E1638" s="45">
        <f t="shared" si="88"/>
        <v>0</v>
      </c>
      <c r="F1638" s="127">
        <f t="shared" si="89"/>
        <v>0</v>
      </c>
      <c r="G1638" s="151">
        <f>'Etude de cas n°1'!D1638</f>
        <v>0</v>
      </c>
      <c r="H1638" s="218"/>
      <c r="I1638" s="218"/>
      <c r="J1638" s="218"/>
      <c r="K1638" s="218"/>
      <c r="L1638" s="218"/>
      <c r="M1638" s="218"/>
      <c r="N1638" s="218"/>
    </row>
    <row r="1639" spans="1:14" s="97" customFormat="1" ht="13.2" x14ac:dyDescent="0.25">
      <c r="A1639" s="235" t="s">
        <v>3750</v>
      </c>
      <c r="B1639" s="223" t="s">
        <v>3713</v>
      </c>
      <c r="C1639" s="217" t="s">
        <v>1011</v>
      </c>
      <c r="D1639" s="120"/>
      <c r="E1639" s="45">
        <f t="shared" si="88"/>
        <v>0</v>
      </c>
      <c r="F1639" s="127">
        <f t="shared" si="89"/>
        <v>0</v>
      </c>
      <c r="G1639" s="151">
        <f>'Etude de cas n°1'!D1639</f>
        <v>0</v>
      </c>
      <c r="H1639" s="218"/>
      <c r="I1639" s="218"/>
      <c r="J1639" s="218"/>
      <c r="K1639" s="218"/>
      <c r="L1639" s="218"/>
      <c r="M1639" s="218"/>
      <c r="N1639" s="218"/>
    </row>
    <row r="1640" spans="1:14" s="97" customFormat="1" ht="13.2" x14ac:dyDescent="0.25">
      <c r="A1640" s="235" t="s">
        <v>3751</v>
      </c>
      <c r="B1640" s="223" t="s">
        <v>3752</v>
      </c>
      <c r="C1640" s="217"/>
      <c r="D1640" s="120"/>
      <c r="E1640" s="45"/>
      <c r="F1640" s="127"/>
      <c r="G1640" s="151"/>
      <c r="H1640" s="218"/>
      <c r="I1640" s="218"/>
      <c r="J1640" s="218"/>
      <c r="K1640" s="218"/>
      <c r="L1640" s="218"/>
      <c r="M1640" s="218"/>
      <c r="N1640" s="218"/>
    </row>
    <row r="1641" spans="1:14" s="97" customFormat="1" ht="13.2" x14ac:dyDescent="0.25">
      <c r="A1641" s="235" t="s">
        <v>3753</v>
      </c>
      <c r="B1641" s="223" t="s">
        <v>3709</v>
      </c>
      <c r="C1641" s="217" t="s">
        <v>1011</v>
      </c>
      <c r="D1641" s="120"/>
      <c r="E1641" s="45">
        <f t="shared" si="88"/>
        <v>0</v>
      </c>
      <c r="F1641" s="127">
        <f t="shared" si="89"/>
        <v>0</v>
      </c>
      <c r="G1641" s="151">
        <f>'Etude de cas n°1'!D1641</f>
        <v>0</v>
      </c>
      <c r="H1641" s="218"/>
      <c r="I1641" s="218"/>
      <c r="J1641" s="218"/>
      <c r="K1641" s="218"/>
      <c r="L1641" s="218"/>
      <c r="M1641" s="218"/>
      <c r="N1641" s="218"/>
    </row>
    <row r="1642" spans="1:14" s="97" customFormat="1" ht="13.2" x14ac:dyDescent="0.25">
      <c r="A1642" s="235" t="s">
        <v>3754</v>
      </c>
      <c r="B1642" s="223" t="s">
        <v>3711</v>
      </c>
      <c r="C1642" s="217" t="s">
        <v>1034</v>
      </c>
      <c r="D1642" s="120"/>
      <c r="E1642" s="45">
        <f t="shared" si="88"/>
        <v>0</v>
      </c>
      <c r="F1642" s="127">
        <f t="shared" si="89"/>
        <v>0</v>
      </c>
      <c r="G1642" s="151">
        <f>'Etude de cas n°1'!D1642</f>
        <v>0</v>
      </c>
      <c r="H1642" s="218"/>
      <c r="I1642" s="218"/>
      <c r="J1642" s="218"/>
      <c r="K1642" s="218"/>
      <c r="L1642" s="218"/>
      <c r="M1642" s="218"/>
      <c r="N1642" s="218"/>
    </row>
    <row r="1643" spans="1:14" s="97" customFormat="1" ht="13.2" x14ac:dyDescent="0.25">
      <c r="A1643" s="235" t="s">
        <v>3755</v>
      </c>
      <c r="B1643" s="223" t="s">
        <v>3713</v>
      </c>
      <c r="C1643" s="217" t="s">
        <v>1011</v>
      </c>
      <c r="D1643" s="120"/>
      <c r="E1643" s="45">
        <f t="shared" si="88"/>
        <v>0</v>
      </c>
      <c r="F1643" s="127">
        <f t="shared" si="89"/>
        <v>0</v>
      </c>
      <c r="G1643" s="151">
        <f>'Etude de cas n°1'!D1643</f>
        <v>0</v>
      </c>
      <c r="H1643" s="218"/>
      <c r="I1643" s="218"/>
      <c r="J1643" s="218"/>
      <c r="K1643" s="218"/>
      <c r="L1643" s="218"/>
      <c r="M1643" s="218"/>
      <c r="N1643" s="218"/>
    </row>
    <row r="1644" spans="1:14" s="97" customFormat="1" ht="13.2" x14ac:dyDescent="0.25">
      <c r="A1644" s="235" t="s">
        <v>3756</v>
      </c>
      <c r="B1644" s="223" t="s">
        <v>3757</v>
      </c>
      <c r="C1644" s="217"/>
      <c r="D1644" s="120"/>
      <c r="E1644" s="45"/>
      <c r="F1644" s="127"/>
      <c r="G1644" s="151"/>
      <c r="H1644" s="218"/>
      <c r="I1644" s="218"/>
      <c r="J1644" s="218"/>
      <c r="K1644" s="218"/>
      <c r="L1644" s="218"/>
      <c r="M1644" s="218"/>
      <c r="N1644" s="218"/>
    </row>
    <row r="1645" spans="1:14" s="96" customFormat="1" ht="13.2" x14ac:dyDescent="0.25">
      <c r="A1645" s="235" t="s">
        <v>3758</v>
      </c>
      <c r="B1645" s="223" t="s">
        <v>3709</v>
      </c>
      <c r="C1645" s="217" t="s">
        <v>1011</v>
      </c>
      <c r="D1645" s="120"/>
      <c r="E1645" s="45">
        <f t="shared" si="88"/>
        <v>0</v>
      </c>
      <c r="F1645" s="127">
        <f t="shared" si="89"/>
        <v>0</v>
      </c>
      <c r="G1645" s="151">
        <f>'Etude de cas n°1'!D1645</f>
        <v>0</v>
      </c>
      <c r="H1645" s="17"/>
      <c r="I1645" s="17"/>
      <c r="J1645" s="17"/>
      <c r="K1645" s="17"/>
      <c r="L1645" s="17"/>
      <c r="M1645" s="17"/>
      <c r="N1645" s="17"/>
    </row>
    <row r="1646" spans="1:14" s="96" customFormat="1" ht="13.2" x14ac:dyDescent="0.25">
      <c r="A1646" s="235" t="s">
        <v>3759</v>
      </c>
      <c r="B1646" s="223" t="s">
        <v>3711</v>
      </c>
      <c r="C1646" s="217" t="s">
        <v>1034</v>
      </c>
      <c r="D1646" s="120"/>
      <c r="E1646" s="45">
        <f t="shared" si="88"/>
        <v>0</v>
      </c>
      <c r="F1646" s="127">
        <f t="shared" si="89"/>
        <v>0</v>
      </c>
      <c r="G1646" s="151">
        <f>'Etude de cas n°1'!D1646</f>
        <v>0</v>
      </c>
      <c r="H1646" s="17"/>
      <c r="I1646" s="17"/>
      <c r="J1646" s="17"/>
      <c r="K1646" s="17"/>
      <c r="L1646" s="17"/>
      <c r="M1646" s="17"/>
      <c r="N1646" s="17"/>
    </row>
    <row r="1647" spans="1:14" s="96" customFormat="1" ht="13.2" x14ac:dyDescent="0.25">
      <c r="A1647" s="235" t="s">
        <v>3760</v>
      </c>
      <c r="B1647" s="223" t="s">
        <v>3713</v>
      </c>
      <c r="C1647" s="217" t="s">
        <v>1011</v>
      </c>
      <c r="D1647" s="120"/>
      <c r="E1647" s="45">
        <f t="shared" si="88"/>
        <v>0</v>
      </c>
      <c r="F1647" s="127">
        <f t="shared" si="89"/>
        <v>0</v>
      </c>
      <c r="G1647" s="151">
        <f>'Etude de cas n°1'!D1647</f>
        <v>0</v>
      </c>
      <c r="H1647" s="17"/>
      <c r="I1647" s="17"/>
      <c r="J1647" s="17"/>
      <c r="K1647" s="17"/>
      <c r="L1647" s="17"/>
      <c r="M1647" s="17"/>
      <c r="N1647" s="17"/>
    </row>
    <row r="1648" spans="1:14" s="96" customFormat="1" ht="13.2" x14ac:dyDescent="0.25">
      <c r="A1648" s="235" t="s">
        <v>3761</v>
      </c>
      <c r="B1648" s="223" t="s">
        <v>3762</v>
      </c>
      <c r="C1648" s="217"/>
      <c r="D1648" s="120"/>
      <c r="E1648" s="45"/>
      <c r="F1648" s="127"/>
      <c r="G1648" s="151"/>
      <c r="H1648" s="17"/>
      <c r="I1648" s="17"/>
      <c r="J1648" s="17"/>
      <c r="K1648" s="17"/>
      <c r="L1648" s="17"/>
      <c r="M1648" s="17"/>
      <c r="N1648" s="17"/>
    </row>
    <row r="1649" spans="1:14" s="97" customFormat="1" ht="13.2" x14ac:dyDescent="0.25">
      <c r="A1649" s="235" t="s">
        <v>3763</v>
      </c>
      <c r="B1649" s="223" t="s">
        <v>3709</v>
      </c>
      <c r="C1649" s="217" t="s">
        <v>1011</v>
      </c>
      <c r="D1649" s="120"/>
      <c r="E1649" s="45">
        <f t="shared" si="88"/>
        <v>0</v>
      </c>
      <c r="F1649" s="127">
        <f t="shared" si="89"/>
        <v>0</v>
      </c>
      <c r="G1649" s="151">
        <f>'Etude de cas n°1'!D1649</f>
        <v>0</v>
      </c>
      <c r="H1649" s="218"/>
      <c r="I1649" s="218"/>
      <c r="J1649" s="218"/>
      <c r="K1649" s="218"/>
      <c r="L1649" s="218"/>
      <c r="M1649" s="218"/>
      <c r="N1649" s="218"/>
    </row>
    <row r="1650" spans="1:14" s="97" customFormat="1" ht="13.2" x14ac:dyDescent="0.25">
      <c r="A1650" s="235" t="s">
        <v>3764</v>
      </c>
      <c r="B1650" s="223" t="s">
        <v>3711</v>
      </c>
      <c r="C1650" s="217" t="s">
        <v>1034</v>
      </c>
      <c r="D1650" s="120"/>
      <c r="E1650" s="45">
        <f t="shared" si="88"/>
        <v>0</v>
      </c>
      <c r="F1650" s="127">
        <f t="shared" si="89"/>
        <v>0</v>
      </c>
      <c r="G1650" s="151">
        <f>'Etude de cas n°1'!D1650</f>
        <v>0</v>
      </c>
      <c r="H1650" s="218"/>
      <c r="I1650" s="218"/>
      <c r="J1650" s="218"/>
      <c r="K1650" s="218"/>
      <c r="L1650" s="218"/>
      <c r="M1650" s="218"/>
      <c r="N1650" s="218"/>
    </row>
    <row r="1651" spans="1:14" s="97" customFormat="1" ht="13.2" x14ac:dyDescent="0.25">
      <c r="A1651" s="235" t="s">
        <v>3765</v>
      </c>
      <c r="B1651" s="223" t="s">
        <v>3713</v>
      </c>
      <c r="C1651" s="217" t="s">
        <v>1011</v>
      </c>
      <c r="D1651" s="120"/>
      <c r="E1651" s="45">
        <f t="shared" si="88"/>
        <v>0</v>
      </c>
      <c r="F1651" s="127">
        <f t="shared" si="89"/>
        <v>0</v>
      </c>
      <c r="G1651" s="151">
        <f>'Etude de cas n°1'!D1651</f>
        <v>0</v>
      </c>
      <c r="H1651" s="218"/>
      <c r="I1651" s="218"/>
      <c r="J1651" s="218"/>
      <c r="K1651" s="218"/>
      <c r="L1651" s="218"/>
      <c r="M1651" s="218"/>
      <c r="N1651" s="218"/>
    </row>
    <row r="1652" spans="1:14" s="94" customFormat="1" ht="13.2" x14ac:dyDescent="0.25">
      <c r="A1652" s="235" t="s">
        <v>3766</v>
      </c>
      <c r="B1652" s="223" t="s">
        <v>3767</v>
      </c>
      <c r="C1652" s="217"/>
      <c r="D1652" s="120"/>
      <c r="E1652" s="45"/>
      <c r="F1652" s="127"/>
      <c r="G1652" s="151"/>
      <c r="H1652" s="19"/>
      <c r="I1652" s="19"/>
      <c r="J1652" s="19"/>
      <c r="K1652" s="19"/>
      <c r="L1652" s="19"/>
      <c r="M1652" s="19"/>
      <c r="N1652" s="19"/>
    </row>
    <row r="1653" spans="1:14" s="97" customFormat="1" ht="13.2" x14ac:dyDescent="0.25">
      <c r="A1653" s="235" t="s">
        <v>3768</v>
      </c>
      <c r="B1653" s="223" t="s">
        <v>3709</v>
      </c>
      <c r="C1653" s="217" t="s">
        <v>1011</v>
      </c>
      <c r="D1653" s="120"/>
      <c r="E1653" s="45">
        <f t="shared" si="88"/>
        <v>0</v>
      </c>
      <c r="F1653" s="127">
        <f t="shared" si="89"/>
        <v>0</v>
      </c>
      <c r="G1653" s="151">
        <f>'Etude de cas n°1'!D1653</f>
        <v>0</v>
      </c>
      <c r="H1653" s="218"/>
      <c r="I1653" s="218"/>
      <c r="J1653" s="218"/>
      <c r="K1653" s="218"/>
      <c r="L1653" s="218"/>
      <c r="M1653" s="218"/>
      <c r="N1653" s="218"/>
    </row>
    <row r="1654" spans="1:14" s="97" customFormat="1" ht="13.2" x14ac:dyDescent="0.25">
      <c r="A1654" s="235" t="s">
        <v>3769</v>
      </c>
      <c r="B1654" s="223" t="s">
        <v>3711</v>
      </c>
      <c r="C1654" s="217" t="s">
        <v>1034</v>
      </c>
      <c r="D1654" s="120"/>
      <c r="E1654" s="45">
        <f t="shared" si="88"/>
        <v>0</v>
      </c>
      <c r="F1654" s="127">
        <f t="shared" si="89"/>
        <v>0</v>
      </c>
      <c r="G1654" s="151">
        <f>'Etude de cas n°1'!D1654</f>
        <v>0</v>
      </c>
      <c r="H1654" s="218"/>
      <c r="I1654" s="218"/>
      <c r="J1654" s="218"/>
      <c r="K1654" s="218"/>
      <c r="L1654" s="218"/>
      <c r="M1654" s="218"/>
      <c r="N1654" s="218"/>
    </row>
    <row r="1655" spans="1:14" s="97" customFormat="1" ht="13.2" x14ac:dyDescent="0.25">
      <c r="A1655" s="235" t="s">
        <v>3770</v>
      </c>
      <c r="B1655" s="223" t="s">
        <v>3713</v>
      </c>
      <c r="C1655" s="217" t="s">
        <v>1011</v>
      </c>
      <c r="D1655" s="120"/>
      <c r="E1655" s="45">
        <f t="shared" si="88"/>
        <v>0</v>
      </c>
      <c r="F1655" s="127">
        <f t="shared" si="89"/>
        <v>0</v>
      </c>
      <c r="G1655" s="151">
        <f>'Etude de cas n°1'!D1655</f>
        <v>0</v>
      </c>
      <c r="H1655" s="218"/>
      <c r="I1655" s="218"/>
      <c r="J1655" s="218"/>
      <c r="K1655" s="218"/>
      <c r="L1655" s="218"/>
      <c r="M1655" s="218"/>
      <c r="N1655" s="218"/>
    </row>
    <row r="1656" spans="1:14" s="97" customFormat="1" ht="13.2" x14ac:dyDescent="0.25">
      <c r="A1656" s="235" t="s">
        <v>3771</v>
      </c>
      <c r="B1656" s="223" t="s">
        <v>3772</v>
      </c>
      <c r="C1656" s="217"/>
      <c r="D1656" s="120"/>
      <c r="E1656" s="45"/>
      <c r="F1656" s="127"/>
      <c r="G1656" s="151"/>
      <c r="H1656" s="218"/>
      <c r="I1656" s="218"/>
      <c r="J1656" s="218"/>
      <c r="K1656" s="218"/>
      <c r="L1656" s="218"/>
      <c r="M1656" s="218"/>
      <c r="N1656" s="218"/>
    </row>
    <row r="1657" spans="1:14" s="97" customFormat="1" ht="13.2" x14ac:dyDescent="0.25">
      <c r="A1657" s="235" t="s">
        <v>3773</v>
      </c>
      <c r="B1657" s="223" t="s">
        <v>3709</v>
      </c>
      <c r="C1657" s="217" t="s">
        <v>1011</v>
      </c>
      <c r="D1657" s="120"/>
      <c r="E1657" s="45">
        <f t="shared" si="88"/>
        <v>0</v>
      </c>
      <c r="F1657" s="127">
        <f t="shared" si="89"/>
        <v>0</v>
      </c>
      <c r="G1657" s="151">
        <f>'Etude de cas n°1'!D1657</f>
        <v>0</v>
      </c>
      <c r="H1657" s="218"/>
      <c r="I1657" s="218"/>
      <c r="J1657" s="218"/>
      <c r="K1657" s="218"/>
      <c r="L1657" s="218"/>
      <c r="M1657" s="218"/>
      <c r="N1657" s="218"/>
    </row>
    <row r="1658" spans="1:14" s="97" customFormat="1" ht="13.2" x14ac:dyDescent="0.25">
      <c r="A1658" s="235" t="s">
        <v>3774</v>
      </c>
      <c r="B1658" s="223" t="s">
        <v>3711</v>
      </c>
      <c r="C1658" s="217" t="s">
        <v>1034</v>
      </c>
      <c r="D1658" s="120"/>
      <c r="E1658" s="45">
        <f t="shared" si="88"/>
        <v>0</v>
      </c>
      <c r="F1658" s="127">
        <f t="shared" si="89"/>
        <v>0</v>
      </c>
      <c r="G1658" s="151">
        <f>'Etude de cas n°1'!D1658</f>
        <v>0</v>
      </c>
      <c r="H1658" s="218"/>
      <c r="I1658" s="218"/>
      <c r="J1658" s="218"/>
      <c r="K1658" s="218"/>
      <c r="L1658" s="218"/>
      <c r="M1658" s="218"/>
      <c r="N1658" s="218"/>
    </row>
    <row r="1659" spans="1:14" s="97" customFormat="1" ht="13.2" x14ac:dyDescent="0.25">
      <c r="A1659" s="235" t="s">
        <v>3775</v>
      </c>
      <c r="B1659" s="223" t="s">
        <v>3713</v>
      </c>
      <c r="C1659" s="217" t="s">
        <v>1011</v>
      </c>
      <c r="D1659" s="120"/>
      <c r="E1659" s="45">
        <f t="shared" si="88"/>
        <v>0</v>
      </c>
      <c r="F1659" s="127">
        <f t="shared" si="89"/>
        <v>0</v>
      </c>
      <c r="G1659" s="151">
        <f>'Etude de cas n°1'!D1659</f>
        <v>0</v>
      </c>
      <c r="H1659" s="218"/>
      <c r="I1659" s="218"/>
      <c r="J1659" s="218"/>
      <c r="K1659" s="218"/>
      <c r="L1659" s="218"/>
      <c r="M1659" s="218"/>
      <c r="N1659" s="218"/>
    </row>
    <row r="1660" spans="1:14" s="97" customFormat="1" ht="13.2" x14ac:dyDescent="0.25">
      <c r="A1660" s="28" t="s">
        <v>3776</v>
      </c>
      <c r="B1660" s="6" t="s">
        <v>3777</v>
      </c>
      <c r="C1660" s="217"/>
      <c r="D1660" s="120"/>
      <c r="E1660" s="45"/>
      <c r="F1660" s="127"/>
      <c r="G1660" s="151"/>
      <c r="H1660" s="218"/>
      <c r="I1660" s="218"/>
      <c r="J1660" s="218"/>
      <c r="K1660" s="218"/>
      <c r="L1660" s="218"/>
      <c r="M1660" s="218"/>
      <c r="N1660" s="218"/>
    </row>
    <row r="1661" spans="1:14" s="97" customFormat="1" ht="13.8" x14ac:dyDescent="0.25">
      <c r="A1661" s="235" t="s">
        <v>3778</v>
      </c>
      <c r="B1661" s="223" t="s">
        <v>3779</v>
      </c>
      <c r="C1661" s="217" t="s">
        <v>1011</v>
      </c>
      <c r="D1661" s="120"/>
      <c r="E1661" s="45">
        <f t="shared" si="88"/>
        <v>0</v>
      </c>
      <c r="F1661" s="127">
        <f t="shared" si="89"/>
        <v>0</v>
      </c>
      <c r="G1661" s="151">
        <f>'Etude de cas n°1'!D1661</f>
        <v>0</v>
      </c>
      <c r="H1661" s="218"/>
      <c r="I1661" s="218"/>
      <c r="J1661" s="218"/>
      <c r="K1661" s="218"/>
      <c r="L1661" s="218"/>
      <c r="M1661" s="218"/>
      <c r="N1661" s="218"/>
    </row>
    <row r="1662" spans="1:14" s="97" customFormat="1" ht="13.8" x14ac:dyDescent="0.25">
      <c r="A1662" s="235" t="s">
        <v>3780</v>
      </c>
      <c r="B1662" s="223" t="s">
        <v>3781</v>
      </c>
      <c r="C1662" s="217" t="s">
        <v>1011</v>
      </c>
      <c r="D1662" s="120"/>
      <c r="E1662" s="45">
        <f t="shared" si="88"/>
        <v>0</v>
      </c>
      <c r="F1662" s="127">
        <f t="shared" si="89"/>
        <v>0</v>
      </c>
      <c r="G1662" s="151">
        <f>'Etude de cas n°1'!D1662</f>
        <v>0</v>
      </c>
      <c r="H1662" s="218"/>
      <c r="I1662" s="218"/>
      <c r="J1662" s="218"/>
      <c r="K1662" s="218"/>
      <c r="L1662" s="218"/>
      <c r="M1662" s="218"/>
      <c r="N1662" s="218"/>
    </row>
    <row r="1663" spans="1:14" s="97" customFormat="1" ht="13.8" x14ac:dyDescent="0.25">
      <c r="A1663" s="235" t="s">
        <v>3782</v>
      </c>
      <c r="B1663" s="223" t="s">
        <v>3783</v>
      </c>
      <c r="C1663" s="217" t="s">
        <v>1011</v>
      </c>
      <c r="D1663" s="120"/>
      <c r="E1663" s="45">
        <f t="shared" si="88"/>
        <v>0</v>
      </c>
      <c r="F1663" s="127">
        <f t="shared" si="89"/>
        <v>0</v>
      </c>
      <c r="G1663" s="151">
        <f>'Etude de cas n°1'!D1663</f>
        <v>0</v>
      </c>
      <c r="H1663" s="218"/>
      <c r="I1663" s="218"/>
      <c r="J1663" s="218"/>
      <c r="K1663" s="218"/>
      <c r="L1663" s="218"/>
      <c r="M1663" s="218"/>
      <c r="N1663" s="218"/>
    </row>
    <row r="1664" spans="1:14" s="97" customFormat="1" ht="12" customHeight="1" x14ac:dyDescent="0.25">
      <c r="A1664" s="235" t="s">
        <v>3784</v>
      </c>
      <c r="B1664" s="223" t="s">
        <v>3785</v>
      </c>
      <c r="C1664" s="217" t="s">
        <v>1011</v>
      </c>
      <c r="D1664" s="120"/>
      <c r="E1664" s="45">
        <f t="shared" si="88"/>
        <v>0</v>
      </c>
      <c r="F1664" s="127">
        <f t="shared" si="89"/>
        <v>0</v>
      </c>
      <c r="G1664" s="151">
        <f>'Etude de cas n°1'!D1664</f>
        <v>0</v>
      </c>
      <c r="H1664" s="218"/>
      <c r="I1664" s="218"/>
      <c r="J1664" s="218"/>
      <c r="K1664" s="218"/>
      <c r="L1664" s="218"/>
      <c r="M1664" s="218"/>
      <c r="N1664" s="218"/>
    </row>
    <row r="1665" spans="1:14" s="97" customFormat="1" ht="13.8" x14ac:dyDescent="0.25">
      <c r="A1665" s="235" t="s">
        <v>3786</v>
      </c>
      <c r="B1665" s="223" t="s">
        <v>3787</v>
      </c>
      <c r="C1665" s="217" t="s">
        <v>1011</v>
      </c>
      <c r="D1665" s="120"/>
      <c r="E1665" s="45">
        <f t="shared" si="88"/>
        <v>0</v>
      </c>
      <c r="F1665" s="127">
        <f t="shared" si="89"/>
        <v>0</v>
      </c>
      <c r="G1665" s="151">
        <f>'Etude de cas n°1'!D1665</f>
        <v>0</v>
      </c>
      <c r="H1665" s="218"/>
      <c r="I1665" s="218"/>
      <c r="J1665" s="218"/>
      <c r="K1665" s="218"/>
      <c r="L1665" s="218"/>
      <c r="M1665" s="218"/>
      <c r="N1665" s="218"/>
    </row>
    <row r="1666" spans="1:14" s="97" customFormat="1" ht="13.2" x14ac:dyDescent="0.25">
      <c r="A1666" s="28" t="s">
        <v>3788</v>
      </c>
      <c r="B1666" s="6" t="s">
        <v>3789</v>
      </c>
      <c r="C1666" s="217"/>
      <c r="D1666" s="120"/>
      <c r="E1666" s="45"/>
      <c r="F1666" s="127"/>
      <c r="G1666" s="151"/>
      <c r="H1666" s="218"/>
      <c r="I1666" s="218"/>
      <c r="J1666" s="218"/>
      <c r="K1666" s="218"/>
      <c r="L1666" s="218"/>
      <c r="M1666" s="218"/>
      <c r="N1666" s="218"/>
    </row>
    <row r="1667" spans="1:14" s="94" customFormat="1" ht="13.2" x14ac:dyDescent="0.25">
      <c r="A1667" s="235" t="s">
        <v>3790</v>
      </c>
      <c r="B1667" s="223" t="s">
        <v>3791</v>
      </c>
      <c r="C1667" s="217"/>
      <c r="D1667" s="120"/>
      <c r="E1667" s="45"/>
      <c r="F1667" s="127"/>
      <c r="G1667" s="151"/>
      <c r="H1667" s="19"/>
      <c r="I1667" s="19"/>
      <c r="J1667" s="19"/>
      <c r="K1667" s="19"/>
      <c r="L1667" s="19"/>
      <c r="M1667" s="19"/>
      <c r="N1667" s="19"/>
    </row>
    <row r="1668" spans="1:14" s="97" customFormat="1" ht="13.2" x14ac:dyDescent="0.25">
      <c r="A1668" s="235" t="s">
        <v>3792</v>
      </c>
      <c r="B1668" s="223" t="s">
        <v>3793</v>
      </c>
      <c r="C1668" s="217" t="s">
        <v>1034</v>
      </c>
      <c r="D1668" s="120"/>
      <c r="E1668" s="45">
        <f t="shared" si="88"/>
        <v>0</v>
      </c>
      <c r="F1668" s="127">
        <f t="shared" si="89"/>
        <v>0</v>
      </c>
      <c r="G1668" s="151">
        <f>'Etude de cas n°1'!D1668</f>
        <v>0</v>
      </c>
      <c r="H1668" s="218"/>
      <c r="I1668" s="218"/>
      <c r="J1668" s="218"/>
      <c r="K1668" s="218"/>
      <c r="L1668" s="218"/>
      <c r="M1668" s="218"/>
      <c r="N1668" s="218"/>
    </row>
    <row r="1669" spans="1:14" s="97" customFormat="1" ht="13.2" x14ac:dyDescent="0.25">
      <c r="A1669" s="235" t="s">
        <v>3794</v>
      </c>
      <c r="B1669" s="223" t="s">
        <v>3795</v>
      </c>
      <c r="C1669" s="217" t="s">
        <v>1034</v>
      </c>
      <c r="D1669" s="120"/>
      <c r="E1669" s="45">
        <f t="shared" si="88"/>
        <v>0</v>
      </c>
      <c r="F1669" s="127">
        <f t="shared" si="89"/>
        <v>0</v>
      </c>
      <c r="G1669" s="151">
        <f>'Etude de cas n°1'!D1669</f>
        <v>0</v>
      </c>
      <c r="H1669" s="218"/>
      <c r="I1669" s="218"/>
      <c r="J1669" s="218"/>
      <c r="K1669" s="218"/>
      <c r="L1669" s="218"/>
      <c r="M1669" s="218"/>
      <c r="N1669" s="218"/>
    </row>
    <row r="1670" spans="1:14" s="97" customFormat="1" ht="13.2" x14ac:dyDescent="0.25">
      <c r="A1670" s="235" t="s">
        <v>3796</v>
      </c>
      <c r="B1670" s="223" t="s">
        <v>3797</v>
      </c>
      <c r="C1670" s="217" t="s">
        <v>1034</v>
      </c>
      <c r="D1670" s="120"/>
      <c r="E1670" s="45">
        <f t="shared" si="88"/>
        <v>0</v>
      </c>
      <c r="F1670" s="127">
        <f t="shared" si="89"/>
        <v>0</v>
      </c>
      <c r="G1670" s="151">
        <f>'Etude de cas n°1'!D1670</f>
        <v>0</v>
      </c>
      <c r="H1670" s="218"/>
      <c r="I1670" s="218"/>
      <c r="J1670" s="218"/>
      <c r="K1670" s="218"/>
      <c r="L1670" s="218"/>
      <c r="M1670" s="218"/>
      <c r="N1670" s="218"/>
    </row>
    <row r="1671" spans="1:14" s="97" customFormat="1" ht="13.2" x14ac:dyDescent="0.25">
      <c r="A1671" s="235" t="s">
        <v>3798</v>
      </c>
      <c r="B1671" s="223" t="s">
        <v>3799</v>
      </c>
      <c r="C1671" s="217" t="s">
        <v>1034</v>
      </c>
      <c r="D1671" s="120"/>
      <c r="E1671" s="45">
        <f t="shared" si="88"/>
        <v>0</v>
      </c>
      <c r="F1671" s="127">
        <f t="shared" si="89"/>
        <v>0</v>
      </c>
      <c r="G1671" s="151">
        <f>'Etude de cas n°1'!D1671</f>
        <v>0</v>
      </c>
      <c r="H1671" s="218"/>
      <c r="I1671" s="218"/>
      <c r="J1671" s="218"/>
      <c r="K1671" s="218"/>
      <c r="L1671" s="218"/>
      <c r="M1671" s="218"/>
      <c r="N1671" s="218"/>
    </row>
    <row r="1672" spans="1:14" s="97" customFormat="1" ht="13.2" x14ac:dyDescent="0.25">
      <c r="A1672" s="235" t="s">
        <v>3800</v>
      </c>
      <c r="B1672" s="223" t="s">
        <v>3801</v>
      </c>
      <c r="C1672" s="217"/>
      <c r="D1672" s="120"/>
      <c r="E1672" s="45"/>
      <c r="F1672" s="127"/>
      <c r="G1672" s="151"/>
      <c r="H1672" s="218"/>
      <c r="I1672" s="218"/>
      <c r="J1672" s="218"/>
      <c r="K1672" s="218"/>
      <c r="L1672" s="218"/>
      <c r="M1672" s="218"/>
      <c r="N1672" s="218"/>
    </row>
    <row r="1673" spans="1:14" s="97" customFormat="1" ht="13.2" x14ac:dyDescent="0.25">
      <c r="A1673" s="235" t="s">
        <v>3802</v>
      </c>
      <c r="B1673" s="223" t="s">
        <v>3793</v>
      </c>
      <c r="C1673" s="217" t="s">
        <v>1034</v>
      </c>
      <c r="D1673" s="120"/>
      <c r="E1673" s="45">
        <f t="shared" ref="E1673:E1733" si="90">G1673</f>
        <v>0</v>
      </c>
      <c r="F1673" s="127">
        <f t="shared" ref="F1673:F1736" si="91">D1673*E1673</f>
        <v>0</v>
      </c>
      <c r="G1673" s="151">
        <f>'Etude de cas n°1'!D1673</f>
        <v>0</v>
      </c>
      <c r="H1673" s="218"/>
      <c r="I1673" s="218"/>
      <c r="J1673" s="218"/>
      <c r="K1673" s="218"/>
      <c r="L1673" s="218"/>
      <c r="M1673" s="218"/>
      <c r="N1673" s="218"/>
    </row>
    <row r="1674" spans="1:14" s="97" customFormat="1" ht="13.2" x14ac:dyDescent="0.25">
      <c r="A1674" s="235" t="s">
        <v>3803</v>
      </c>
      <c r="B1674" s="223" t="s">
        <v>3795</v>
      </c>
      <c r="C1674" s="217" t="s">
        <v>1034</v>
      </c>
      <c r="D1674" s="120"/>
      <c r="E1674" s="45">
        <f t="shared" si="90"/>
        <v>0</v>
      </c>
      <c r="F1674" s="127">
        <f t="shared" si="91"/>
        <v>0</v>
      </c>
      <c r="G1674" s="151">
        <f>'Etude de cas n°1'!D1674</f>
        <v>0</v>
      </c>
      <c r="H1674" s="218"/>
      <c r="I1674" s="218"/>
      <c r="J1674" s="218"/>
      <c r="K1674" s="218"/>
      <c r="L1674" s="218"/>
      <c r="M1674" s="218"/>
      <c r="N1674" s="218"/>
    </row>
    <row r="1675" spans="1:14" s="97" customFormat="1" ht="13.2" x14ac:dyDescent="0.25">
      <c r="A1675" s="235" t="s">
        <v>3804</v>
      </c>
      <c r="B1675" s="223" t="s">
        <v>3797</v>
      </c>
      <c r="C1675" s="217" t="s">
        <v>1034</v>
      </c>
      <c r="D1675" s="120"/>
      <c r="E1675" s="45">
        <f t="shared" si="90"/>
        <v>0</v>
      </c>
      <c r="F1675" s="127">
        <f t="shared" si="91"/>
        <v>0</v>
      </c>
      <c r="G1675" s="151">
        <f>'Etude de cas n°1'!D1675</f>
        <v>0</v>
      </c>
      <c r="H1675" s="218"/>
      <c r="I1675" s="218"/>
      <c r="J1675" s="218"/>
      <c r="K1675" s="218"/>
      <c r="L1675" s="218"/>
      <c r="M1675" s="218"/>
      <c r="N1675" s="218"/>
    </row>
    <row r="1676" spans="1:14" s="97" customFormat="1" ht="13.2" x14ac:dyDescent="0.25">
      <c r="A1676" s="235" t="s">
        <v>3805</v>
      </c>
      <c r="B1676" s="223" t="s">
        <v>3799</v>
      </c>
      <c r="C1676" s="217" t="s">
        <v>1034</v>
      </c>
      <c r="D1676" s="120"/>
      <c r="E1676" s="45">
        <f t="shared" si="90"/>
        <v>0</v>
      </c>
      <c r="F1676" s="127">
        <f t="shared" si="91"/>
        <v>0</v>
      </c>
      <c r="G1676" s="151">
        <f>'Etude de cas n°1'!D1676</f>
        <v>0</v>
      </c>
      <c r="H1676" s="218"/>
      <c r="I1676" s="218"/>
      <c r="J1676" s="218"/>
      <c r="K1676" s="218"/>
      <c r="L1676" s="218"/>
      <c r="M1676" s="218"/>
      <c r="N1676" s="218"/>
    </row>
    <row r="1677" spans="1:14" s="97" customFormat="1" ht="13.2" x14ac:dyDescent="0.25">
      <c r="A1677" s="235" t="s">
        <v>3806</v>
      </c>
      <c r="B1677" s="223" t="s">
        <v>3807</v>
      </c>
      <c r="C1677" s="217"/>
      <c r="D1677" s="120"/>
      <c r="E1677" s="45"/>
      <c r="F1677" s="127"/>
      <c r="G1677" s="151"/>
      <c r="H1677" s="218"/>
      <c r="I1677" s="218"/>
      <c r="J1677" s="218"/>
      <c r="K1677" s="218"/>
      <c r="L1677" s="218"/>
      <c r="M1677" s="218"/>
      <c r="N1677" s="218"/>
    </row>
    <row r="1678" spans="1:14" s="97" customFormat="1" ht="13.2" x14ac:dyDescent="0.25">
      <c r="A1678" s="235" t="s">
        <v>3808</v>
      </c>
      <c r="B1678" s="223" t="s">
        <v>3793</v>
      </c>
      <c r="C1678" s="217" t="s">
        <v>1034</v>
      </c>
      <c r="D1678" s="120"/>
      <c r="E1678" s="45">
        <f t="shared" si="90"/>
        <v>0</v>
      </c>
      <c r="F1678" s="127">
        <f t="shared" si="91"/>
        <v>0</v>
      </c>
      <c r="G1678" s="151">
        <f>'Etude de cas n°1'!D1678</f>
        <v>0</v>
      </c>
      <c r="H1678" s="218"/>
      <c r="I1678" s="218"/>
      <c r="J1678" s="218"/>
      <c r="K1678" s="218"/>
      <c r="L1678" s="218"/>
      <c r="M1678" s="218"/>
      <c r="N1678" s="218"/>
    </row>
    <row r="1679" spans="1:14" s="97" customFormat="1" ht="13.2" x14ac:dyDescent="0.25">
      <c r="A1679" s="235" t="s">
        <v>3809</v>
      </c>
      <c r="B1679" s="223" t="s">
        <v>3795</v>
      </c>
      <c r="C1679" s="217" t="s">
        <v>1034</v>
      </c>
      <c r="D1679" s="120"/>
      <c r="E1679" s="45">
        <f t="shared" si="90"/>
        <v>0</v>
      </c>
      <c r="F1679" s="127">
        <f t="shared" si="91"/>
        <v>0</v>
      </c>
      <c r="G1679" s="151">
        <f>'Etude de cas n°1'!D1679</f>
        <v>0</v>
      </c>
      <c r="H1679" s="218"/>
      <c r="I1679" s="218"/>
      <c r="J1679" s="218"/>
      <c r="K1679" s="218"/>
      <c r="L1679" s="218"/>
      <c r="M1679" s="218"/>
      <c r="N1679" s="218"/>
    </row>
    <row r="1680" spans="1:14" s="97" customFormat="1" ht="13.2" x14ac:dyDescent="0.25">
      <c r="A1680" s="235" t="s">
        <v>3810</v>
      </c>
      <c r="B1680" s="223" t="s">
        <v>3797</v>
      </c>
      <c r="C1680" s="217" t="s">
        <v>1034</v>
      </c>
      <c r="D1680" s="120"/>
      <c r="E1680" s="45">
        <f t="shared" si="90"/>
        <v>0</v>
      </c>
      <c r="F1680" s="127">
        <f t="shared" si="91"/>
        <v>0</v>
      </c>
      <c r="G1680" s="151">
        <f>'Etude de cas n°1'!D1680</f>
        <v>0</v>
      </c>
      <c r="H1680" s="218"/>
      <c r="I1680" s="218"/>
      <c r="J1680" s="218"/>
      <c r="K1680" s="218"/>
      <c r="L1680" s="218"/>
      <c r="M1680" s="218"/>
      <c r="N1680" s="218"/>
    </row>
    <row r="1681" spans="1:14" s="97" customFormat="1" ht="13.2" x14ac:dyDescent="0.25">
      <c r="A1681" s="235" t="s">
        <v>3811</v>
      </c>
      <c r="B1681" s="223" t="s">
        <v>3799</v>
      </c>
      <c r="C1681" s="217" t="s">
        <v>1034</v>
      </c>
      <c r="D1681" s="120"/>
      <c r="E1681" s="45">
        <f t="shared" si="90"/>
        <v>0</v>
      </c>
      <c r="F1681" s="127">
        <f t="shared" si="91"/>
        <v>0</v>
      </c>
      <c r="G1681" s="151">
        <f>'Etude de cas n°1'!D1681</f>
        <v>0</v>
      </c>
      <c r="H1681" s="218"/>
      <c r="I1681" s="218"/>
      <c r="J1681" s="218"/>
      <c r="K1681" s="218"/>
      <c r="L1681" s="218"/>
      <c r="M1681" s="218"/>
      <c r="N1681" s="218"/>
    </row>
    <row r="1682" spans="1:14" s="97" customFormat="1" ht="13.2" x14ac:dyDescent="0.25">
      <c r="A1682" s="235" t="s">
        <v>3812</v>
      </c>
      <c r="B1682" s="223" t="s">
        <v>3813</v>
      </c>
      <c r="C1682" s="217"/>
      <c r="D1682" s="120"/>
      <c r="E1682" s="45"/>
      <c r="F1682" s="127"/>
      <c r="G1682" s="151"/>
      <c r="H1682" s="218"/>
      <c r="I1682" s="218"/>
      <c r="J1682" s="218"/>
      <c r="K1682" s="218"/>
      <c r="L1682" s="218"/>
      <c r="M1682" s="218"/>
      <c r="N1682" s="218"/>
    </row>
    <row r="1683" spans="1:14" s="97" customFormat="1" ht="13.2" x14ac:dyDescent="0.25">
      <c r="A1683" s="235" t="s">
        <v>3814</v>
      </c>
      <c r="B1683" s="223" t="s">
        <v>3793</v>
      </c>
      <c r="C1683" s="217" t="s">
        <v>1034</v>
      </c>
      <c r="D1683" s="120"/>
      <c r="E1683" s="45">
        <f t="shared" si="90"/>
        <v>0</v>
      </c>
      <c r="F1683" s="127">
        <f t="shared" si="91"/>
        <v>0</v>
      </c>
      <c r="G1683" s="151">
        <f>'Etude de cas n°1'!D1683</f>
        <v>0</v>
      </c>
      <c r="H1683" s="218"/>
      <c r="I1683" s="218"/>
      <c r="J1683" s="218"/>
      <c r="K1683" s="218"/>
      <c r="L1683" s="218"/>
      <c r="M1683" s="218"/>
      <c r="N1683" s="218"/>
    </row>
    <row r="1684" spans="1:14" s="97" customFormat="1" ht="13.2" x14ac:dyDescent="0.25">
      <c r="A1684" s="235" t="s">
        <v>3815</v>
      </c>
      <c r="B1684" s="223" t="s">
        <v>3795</v>
      </c>
      <c r="C1684" s="217" t="s">
        <v>1034</v>
      </c>
      <c r="D1684" s="120"/>
      <c r="E1684" s="45">
        <f t="shared" si="90"/>
        <v>0</v>
      </c>
      <c r="F1684" s="127">
        <f t="shared" si="91"/>
        <v>0</v>
      </c>
      <c r="G1684" s="151">
        <f>'Etude de cas n°1'!D1684</f>
        <v>0</v>
      </c>
      <c r="H1684" s="218"/>
      <c r="I1684" s="218"/>
      <c r="J1684" s="218"/>
      <c r="K1684" s="218"/>
      <c r="L1684" s="218"/>
      <c r="M1684" s="218"/>
      <c r="N1684" s="218"/>
    </row>
    <row r="1685" spans="1:14" s="97" customFormat="1" ht="13.2" x14ac:dyDescent="0.25">
      <c r="A1685" s="235" t="s">
        <v>3816</v>
      </c>
      <c r="B1685" s="223" t="s">
        <v>3797</v>
      </c>
      <c r="C1685" s="217" t="s">
        <v>1034</v>
      </c>
      <c r="D1685" s="120"/>
      <c r="E1685" s="45">
        <f t="shared" si="90"/>
        <v>0</v>
      </c>
      <c r="F1685" s="127">
        <f t="shared" si="91"/>
        <v>0</v>
      </c>
      <c r="G1685" s="151">
        <f>'Etude de cas n°1'!D1685</f>
        <v>0</v>
      </c>
      <c r="H1685" s="218"/>
      <c r="I1685" s="218"/>
      <c r="J1685" s="218"/>
      <c r="K1685" s="218"/>
      <c r="L1685" s="218"/>
      <c r="M1685" s="218"/>
      <c r="N1685" s="218"/>
    </row>
    <row r="1686" spans="1:14" s="94" customFormat="1" ht="13.2" x14ac:dyDescent="0.25">
      <c r="A1686" s="235" t="s">
        <v>3817</v>
      </c>
      <c r="B1686" s="223" t="s">
        <v>3799</v>
      </c>
      <c r="C1686" s="217" t="s">
        <v>1034</v>
      </c>
      <c r="D1686" s="120"/>
      <c r="E1686" s="45">
        <f t="shared" si="90"/>
        <v>0</v>
      </c>
      <c r="F1686" s="127">
        <f t="shared" si="91"/>
        <v>0</v>
      </c>
      <c r="G1686" s="151">
        <f>'Etude de cas n°1'!D1686</f>
        <v>0</v>
      </c>
      <c r="H1686" s="19"/>
      <c r="I1686" s="19"/>
      <c r="J1686" s="19"/>
      <c r="K1686" s="19"/>
      <c r="L1686" s="19"/>
      <c r="M1686" s="19"/>
      <c r="N1686" s="19"/>
    </row>
    <row r="1687" spans="1:14" s="97" customFormat="1" ht="13.2" x14ac:dyDescent="0.25">
      <c r="A1687" s="235" t="s">
        <v>3818</v>
      </c>
      <c r="B1687" s="223" t="s">
        <v>3819</v>
      </c>
      <c r="C1687" s="217"/>
      <c r="D1687" s="120"/>
      <c r="E1687" s="45"/>
      <c r="F1687" s="127"/>
      <c r="G1687" s="151"/>
      <c r="H1687" s="218"/>
      <c r="I1687" s="218"/>
      <c r="J1687" s="218"/>
      <c r="K1687" s="218"/>
      <c r="L1687" s="218"/>
      <c r="M1687" s="218"/>
      <c r="N1687" s="218"/>
    </row>
    <row r="1688" spans="1:14" s="97" customFormat="1" ht="13.2" x14ac:dyDescent="0.25">
      <c r="A1688" s="235" t="s">
        <v>3820</v>
      </c>
      <c r="B1688" s="223" t="s">
        <v>3793</v>
      </c>
      <c r="C1688" s="217" t="s">
        <v>1034</v>
      </c>
      <c r="D1688" s="120"/>
      <c r="E1688" s="45">
        <f t="shared" si="90"/>
        <v>0</v>
      </c>
      <c r="F1688" s="127">
        <f t="shared" si="91"/>
        <v>0</v>
      </c>
      <c r="G1688" s="151">
        <f>'Etude de cas n°1'!D1688</f>
        <v>0</v>
      </c>
      <c r="H1688" s="218"/>
      <c r="I1688" s="218"/>
      <c r="J1688" s="218"/>
      <c r="K1688" s="218"/>
      <c r="L1688" s="218"/>
      <c r="M1688" s="218"/>
      <c r="N1688" s="218"/>
    </row>
    <row r="1689" spans="1:14" s="97" customFormat="1" ht="13.2" x14ac:dyDescent="0.25">
      <c r="A1689" s="235" t="s">
        <v>3821</v>
      </c>
      <c r="B1689" s="223" t="s">
        <v>3795</v>
      </c>
      <c r="C1689" s="217" t="s">
        <v>1034</v>
      </c>
      <c r="D1689" s="120"/>
      <c r="E1689" s="45">
        <f t="shared" si="90"/>
        <v>0</v>
      </c>
      <c r="F1689" s="127">
        <f t="shared" si="91"/>
        <v>0</v>
      </c>
      <c r="G1689" s="151">
        <f>'Etude de cas n°1'!D1689</f>
        <v>0</v>
      </c>
      <c r="H1689" s="218"/>
      <c r="I1689" s="218"/>
      <c r="J1689" s="218"/>
      <c r="K1689" s="218"/>
      <c r="L1689" s="218"/>
      <c r="M1689" s="218"/>
      <c r="N1689" s="218"/>
    </row>
    <row r="1690" spans="1:14" s="97" customFormat="1" ht="13.2" x14ac:dyDescent="0.25">
      <c r="A1690" s="235" t="s">
        <v>3822</v>
      </c>
      <c r="B1690" s="223" t="s">
        <v>3797</v>
      </c>
      <c r="C1690" s="217" t="s">
        <v>1034</v>
      </c>
      <c r="D1690" s="120"/>
      <c r="E1690" s="45">
        <f t="shared" si="90"/>
        <v>0</v>
      </c>
      <c r="F1690" s="127">
        <f t="shared" si="91"/>
        <v>0</v>
      </c>
      <c r="G1690" s="151">
        <f>'Etude de cas n°1'!D1690</f>
        <v>0</v>
      </c>
      <c r="H1690" s="218"/>
      <c r="I1690" s="218"/>
      <c r="J1690" s="218"/>
      <c r="K1690" s="218"/>
      <c r="L1690" s="218"/>
      <c r="M1690" s="218"/>
      <c r="N1690" s="218"/>
    </row>
    <row r="1691" spans="1:14" s="97" customFormat="1" ht="13.2" x14ac:dyDescent="0.25">
      <c r="A1691" s="235" t="s">
        <v>3823</v>
      </c>
      <c r="B1691" s="223" t="s">
        <v>3799</v>
      </c>
      <c r="C1691" s="217" t="s">
        <v>1034</v>
      </c>
      <c r="D1691" s="120"/>
      <c r="E1691" s="45">
        <f t="shared" si="90"/>
        <v>0</v>
      </c>
      <c r="F1691" s="127">
        <f t="shared" si="91"/>
        <v>0</v>
      </c>
      <c r="G1691" s="151">
        <f>'Etude de cas n°1'!D1691</f>
        <v>0</v>
      </c>
      <c r="H1691" s="218"/>
      <c r="I1691" s="218"/>
      <c r="J1691" s="218"/>
      <c r="K1691" s="218"/>
      <c r="L1691" s="218"/>
      <c r="M1691" s="218"/>
      <c r="N1691" s="218"/>
    </row>
    <row r="1692" spans="1:14" s="97" customFormat="1" ht="13.2" x14ac:dyDescent="0.25">
      <c r="A1692" s="235" t="s">
        <v>3824</v>
      </c>
      <c r="B1692" s="223" t="s">
        <v>3825</v>
      </c>
      <c r="C1692" s="217"/>
      <c r="D1692" s="120"/>
      <c r="E1692" s="45"/>
      <c r="F1692" s="127"/>
      <c r="G1692" s="151"/>
      <c r="H1692" s="218"/>
      <c r="I1692" s="218"/>
      <c r="J1692" s="218"/>
      <c r="K1692" s="218"/>
      <c r="L1692" s="218"/>
      <c r="M1692" s="218"/>
      <c r="N1692" s="218"/>
    </row>
    <row r="1693" spans="1:14" s="97" customFormat="1" ht="13.2" x14ac:dyDescent="0.25">
      <c r="A1693" s="235" t="s">
        <v>3826</v>
      </c>
      <c r="B1693" s="223" t="s">
        <v>3793</v>
      </c>
      <c r="C1693" s="217" t="s">
        <v>1034</v>
      </c>
      <c r="D1693" s="120"/>
      <c r="E1693" s="45">
        <f t="shared" si="90"/>
        <v>0</v>
      </c>
      <c r="F1693" s="127">
        <f t="shared" si="91"/>
        <v>0</v>
      </c>
      <c r="G1693" s="151">
        <f>'Etude de cas n°1'!D1693</f>
        <v>0</v>
      </c>
      <c r="H1693" s="218"/>
      <c r="I1693" s="218"/>
      <c r="J1693" s="218"/>
      <c r="K1693" s="218"/>
      <c r="L1693" s="218"/>
      <c r="M1693" s="218"/>
      <c r="N1693" s="218"/>
    </row>
    <row r="1694" spans="1:14" s="94" customFormat="1" ht="13.2" x14ac:dyDescent="0.25">
      <c r="A1694" s="235" t="s">
        <v>3827</v>
      </c>
      <c r="B1694" s="223" t="s">
        <v>3795</v>
      </c>
      <c r="C1694" s="217" t="s">
        <v>1034</v>
      </c>
      <c r="D1694" s="120"/>
      <c r="E1694" s="45">
        <f t="shared" si="90"/>
        <v>0</v>
      </c>
      <c r="F1694" s="127">
        <f t="shared" si="91"/>
        <v>0</v>
      </c>
      <c r="G1694" s="151">
        <f>'Etude de cas n°1'!D1694</f>
        <v>0</v>
      </c>
      <c r="H1694" s="19"/>
      <c r="I1694" s="19"/>
      <c r="J1694" s="19"/>
      <c r="K1694" s="19"/>
      <c r="L1694" s="19"/>
      <c r="M1694" s="19"/>
      <c r="N1694" s="19"/>
    </row>
    <row r="1695" spans="1:14" s="97" customFormat="1" ht="13.2" x14ac:dyDescent="0.25">
      <c r="A1695" s="235" t="s">
        <v>3828</v>
      </c>
      <c r="B1695" s="223" t="s">
        <v>3797</v>
      </c>
      <c r="C1695" s="217" t="s">
        <v>1034</v>
      </c>
      <c r="D1695" s="120"/>
      <c r="E1695" s="45">
        <f t="shared" si="90"/>
        <v>0</v>
      </c>
      <c r="F1695" s="127">
        <f t="shared" si="91"/>
        <v>0</v>
      </c>
      <c r="G1695" s="151">
        <f>'Etude de cas n°1'!D1695</f>
        <v>0</v>
      </c>
      <c r="H1695" s="218"/>
      <c r="I1695" s="218"/>
      <c r="J1695" s="218"/>
      <c r="K1695" s="218"/>
      <c r="L1695" s="218"/>
      <c r="M1695" s="218"/>
      <c r="N1695" s="218"/>
    </row>
    <row r="1696" spans="1:14" s="97" customFormat="1" ht="13.2" x14ac:dyDescent="0.25">
      <c r="A1696" s="235" t="s">
        <v>3829</v>
      </c>
      <c r="B1696" s="223" t="s">
        <v>3799</v>
      </c>
      <c r="C1696" s="217" t="s">
        <v>1034</v>
      </c>
      <c r="D1696" s="120"/>
      <c r="E1696" s="45">
        <f t="shared" si="90"/>
        <v>0</v>
      </c>
      <c r="F1696" s="127">
        <f t="shared" si="91"/>
        <v>0</v>
      </c>
      <c r="G1696" s="151">
        <f>'Etude de cas n°1'!D1696</f>
        <v>0</v>
      </c>
      <c r="H1696" s="218"/>
      <c r="I1696" s="218"/>
      <c r="J1696" s="218"/>
      <c r="K1696" s="218"/>
      <c r="L1696" s="218"/>
      <c r="M1696" s="218"/>
      <c r="N1696" s="218"/>
    </row>
    <row r="1697" spans="1:14" s="97" customFormat="1" ht="13.2" x14ac:dyDescent="0.25">
      <c r="A1697" s="28" t="s">
        <v>3830</v>
      </c>
      <c r="B1697" s="6" t="s">
        <v>3831</v>
      </c>
      <c r="C1697" s="217"/>
      <c r="D1697" s="120"/>
      <c r="E1697" s="45"/>
      <c r="F1697" s="127"/>
      <c r="G1697" s="151"/>
      <c r="H1697" s="218"/>
      <c r="I1697" s="218"/>
      <c r="J1697" s="218"/>
      <c r="K1697" s="218"/>
      <c r="L1697" s="218"/>
      <c r="M1697" s="218"/>
      <c r="N1697" s="218"/>
    </row>
    <row r="1698" spans="1:14" s="97" customFormat="1" ht="13.2" x14ac:dyDescent="0.25">
      <c r="A1698" s="235" t="s">
        <v>3832</v>
      </c>
      <c r="B1698" s="223" t="s">
        <v>3791</v>
      </c>
      <c r="C1698" s="217"/>
      <c r="D1698" s="120"/>
      <c r="E1698" s="45"/>
      <c r="F1698" s="127"/>
      <c r="G1698" s="151"/>
      <c r="H1698" s="218"/>
      <c r="I1698" s="218"/>
      <c r="J1698" s="218"/>
      <c r="K1698" s="218"/>
      <c r="L1698" s="218"/>
      <c r="M1698" s="218"/>
      <c r="N1698" s="218"/>
    </row>
    <row r="1699" spans="1:14" s="97" customFormat="1" ht="13.2" x14ac:dyDescent="0.25">
      <c r="A1699" s="235" t="s">
        <v>3833</v>
      </c>
      <c r="B1699" s="223" t="s">
        <v>3793</v>
      </c>
      <c r="C1699" s="217" t="s">
        <v>1034</v>
      </c>
      <c r="D1699" s="120"/>
      <c r="E1699" s="45">
        <f t="shared" si="90"/>
        <v>0</v>
      </c>
      <c r="F1699" s="127">
        <f t="shared" si="91"/>
        <v>0</v>
      </c>
      <c r="G1699" s="151">
        <f>'Etude de cas n°1'!D1699</f>
        <v>0</v>
      </c>
      <c r="H1699" s="218"/>
      <c r="I1699" s="218"/>
      <c r="J1699" s="218"/>
      <c r="K1699" s="218"/>
      <c r="L1699" s="218"/>
      <c r="M1699" s="218"/>
      <c r="N1699" s="218"/>
    </row>
    <row r="1700" spans="1:14" s="94" customFormat="1" ht="13.2" x14ac:dyDescent="0.25">
      <c r="A1700" s="235" t="s">
        <v>3834</v>
      </c>
      <c r="B1700" s="223" t="s">
        <v>3795</v>
      </c>
      <c r="C1700" s="217" t="s">
        <v>1034</v>
      </c>
      <c r="D1700" s="120"/>
      <c r="E1700" s="45">
        <f t="shared" si="90"/>
        <v>0</v>
      </c>
      <c r="F1700" s="127">
        <f t="shared" si="91"/>
        <v>0</v>
      </c>
      <c r="G1700" s="151">
        <f>'Etude de cas n°1'!D1700</f>
        <v>0</v>
      </c>
      <c r="H1700" s="19"/>
      <c r="I1700" s="19"/>
      <c r="J1700" s="19"/>
      <c r="K1700" s="19"/>
      <c r="L1700" s="19"/>
      <c r="M1700" s="19"/>
      <c r="N1700" s="19"/>
    </row>
    <row r="1701" spans="1:14" s="97" customFormat="1" ht="13.2" x14ac:dyDescent="0.25">
      <c r="A1701" s="235" t="s">
        <v>3835</v>
      </c>
      <c r="B1701" s="223" t="s">
        <v>3797</v>
      </c>
      <c r="C1701" s="217" t="s">
        <v>1034</v>
      </c>
      <c r="D1701" s="120"/>
      <c r="E1701" s="45">
        <f t="shared" si="90"/>
        <v>0</v>
      </c>
      <c r="F1701" s="127">
        <f t="shared" si="91"/>
        <v>0</v>
      </c>
      <c r="G1701" s="151">
        <f>'Etude de cas n°1'!D1701</f>
        <v>0</v>
      </c>
      <c r="H1701" s="218"/>
      <c r="I1701" s="218"/>
      <c r="J1701" s="218"/>
      <c r="K1701" s="218"/>
      <c r="L1701" s="218"/>
      <c r="M1701" s="218"/>
      <c r="N1701" s="218"/>
    </row>
    <row r="1702" spans="1:14" s="97" customFormat="1" ht="13.2" x14ac:dyDescent="0.25">
      <c r="A1702" s="235" t="s">
        <v>3836</v>
      </c>
      <c r="B1702" s="223" t="s">
        <v>3799</v>
      </c>
      <c r="C1702" s="217" t="s">
        <v>1034</v>
      </c>
      <c r="D1702" s="120"/>
      <c r="E1702" s="45">
        <f t="shared" si="90"/>
        <v>0</v>
      </c>
      <c r="F1702" s="127">
        <f t="shared" si="91"/>
        <v>0</v>
      </c>
      <c r="G1702" s="151">
        <f>'Etude de cas n°1'!D1702</f>
        <v>0</v>
      </c>
      <c r="H1702" s="218"/>
      <c r="I1702" s="218"/>
      <c r="J1702" s="218"/>
      <c r="K1702" s="218"/>
      <c r="L1702" s="218"/>
      <c r="M1702" s="218"/>
      <c r="N1702" s="218"/>
    </row>
    <row r="1703" spans="1:14" s="97" customFormat="1" ht="13.2" x14ac:dyDescent="0.25">
      <c r="A1703" s="235" t="s">
        <v>3837</v>
      </c>
      <c r="B1703" s="223" t="s">
        <v>3838</v>
      </c>
      <c r="C1703" s="217" t="s">
        <v>1034</v>
      </c>
      <c r="D1703" s="120"/>
      <c r="E1703" s="45">
        <f t="shared" si="90"/>
        <v>0</v>
      </c>
      <c r="F1703" s="127">
        <f t="shared" si="91"/>
        <v>0</v>
      </c>
      <c r="G1703" s="151">
        <f>'Etude de cas n°1'!D1703</f>
        <v>0</v>
      </c>
      <c r="H1703" s="218"/>
      <c r="I1703" s="218"/>
      <c r="J1703" s="218"/>
      <c r="K1703" s="218"/>
      <c r="L1703" s="218"/>
      <c r="M1703" s="218"/>
      <c r="N1703" s="218"/>
    </row>
    <row r="1704" spans="1:14" s="97" customFormat="1" ht="13.2" x14ac:dyDescent="0.25">
      <c r="A1704" s="235" t="s">
        <v>3839</v>
      </c>
      <c r="B1704" s="223" t="s">
        <v>3801</v>
      </c>
      <c r="C1704" s="217"/>
      <c r="D1704" s="120"/>
      <c r="E1704" s="45"/>
      <c r="F1704" s="127"/>
      <c r="G1704" s="151"/>
      <c r="H1704" s="218"/>
      <c r="I1704" s="218"/>
      <c r="J1704" s="218"/>
      <c r="K1704" s="218"/>
      <c r="L1704" s="218"/>
      <c r="M1704" s="218"/>
      <c r="N1704" s="218"/>
    </row>
    <row r="1705" spans="1:14" s="97" customFormat="1" ht="13.2" x14ac:dyDescent="0.25">
      <c r="A1705" s="235" t="s">
        <v>3840</v>
      </c>
      <c r="B1705" s="223" t="s">
        <v>3793</v>
      </c>
      <c r="C1705" s="217" t="s">
        <v>1034</v>
      </c>
      <c r="D1705" s="120"/>
      <c r="E1705" s="45">
        <f t="shared" si="90"/>
        <v>0</v>
      </c>
      <c r="F1705" s="127">
        <f t="shared" si="91"/>
        <v>0</v>
      </c>
      <c r="G1705" s="151">
        <f>'Etude de cas n°1'!D1705</f>
        <v>0</v>
      </c>
      <c r="H1705" s="218"/>
      <c r="I1705" s="218"/>
      <c r="J1705" s="218"/>
      <c r="K1705" s="218"/>
      <c r="L1705" s="218"/>
      <c r="M1705" s="218"/>
      <c r="N1705" s="218"/>
    </row>
    <row r="1706" spans="1:14" s="97" customFormat="1" ht="13.2" x14ac:dyDescent="0.25">
      <c r="A1706" s="235" t="s">
        <v>3841</v>
      </c>
      <c r="B1706" s="223" t="s">
        <v>3795</v>
      </c>
      <c r="C1706" s="217" t="s">
        <v>1034</v>
      </c>
      <c r="D1706" s="120"/>
      <c r="E1706" s="45">
        <f t="shared" si="90"/>
        <v>0</v>
      </c>
      <c r="F1706" s="127">
        <f t="shared" si="91"/>
        <v>0</v>
      </c>
      <c r="G1706" s="151">
        <f>'Etude de cas n°1'!D1706</f>
        <v>0</v>
      </c>
      <c r="H1706" s="218"/>
      <c r="I1706" s="218"/>
      <c r="J1706" s="218"/>
      <c r="K1706" s="218"/>
      <c r="L1706" s="218"/>
      <c r="M1706" s="218"/>
      <c r="N1706" s="218"/>
    </row>
    <row r="1707" spans="1:14" s="97" customFormat="1" ht="13.2" x14ac:dyDescent="0.25">
      <c r="A1707" s="235" t="s">
        <v>3842</v>
      </c>
      <c r="B1707" s="223" t="s">
        <v>3797</v>
      </c>
      <c r="C1707" s="217" t="s">
        <v>1034</v>
      </c>
      <c r="D1707" s="120"/>
      <c r="E1707" s="45">
        <f t="shared" si="90"/>
        <v>0</v>
      </c>
      <c r="F1707" s="127">
        <f t="shared" si="91"/>
        <v>0</v>
      </c>
      <c r="G1707" s="151">
        <f>'Etude de cas n°1'!D1707</f>
        <v>0</v>
      </c>
      <c r="H1707" s="218"/>
      <c r="I1707" s="218"/>
      <c r="J1707" s="218"/>
      <c r="K1707" s="218"/>
      <c r="L1707" s="218"/>
      <c r="M1707" s="218"/>
      <c r="N1707" s="218"/>
    </row>
    <row r="1708" spans="1:14" s="94" customFormat="1" ht="13.2" x14ac:dyDescent="0.25">
      <c r="A1708" s="235" t="s">
        <v>3843</v>
      </c>
      <c r="B1708" s="223" t="s">
        <v>3799</v>
      </c>
      <c r="C1708" s="217" t="s">
        <v>1034</v>
      </c>
      <c r="D1708" s="120"/>
      <c r="E1708" s="45">
        <f t="shared" si="90"/>
        <v>0</v>
      </c>
      <c r="F1708" s="127">
        <f t="shared" si="91"/>
        <v>0</v>
      </c>
      <c r="G1708" s="151">
        <f>'Etude de cas n°1'!D1708</f>
        <v>0</v>
      </c>
      <c r="H1708" s="19"/>
      <c r="I1708" s="19"/>
      <c r="J1708" s="19"/>
      <c r="K1708" s="19"/>
      <c r="L1708" s="19"/>
      <c r="M1708" s="19"/>
      <c r="N1708" s="19"/>
    </row>
    <row r="1709" spans="1:14" s="97" customFormat="1" ht="13.2" x14ac:dyDescent="0.25">
      <c r="A1709" s="235" t="s">
        <v>3844</v>
      </c>
      <c r="B1709" s="223" t="s">
        <v>3838</v>
      </c>
      <c r="C1709" s="217" t="s">
        <v>1034</v>
      </c>
      <c r="D1709" s="120"/>
      <c r="E1709" s="45">
        <f t="shared" si="90"/>
        <v>0</v>
      </c>
      <c r="F1709" s="127">
        <f t="shared" si="91"/>
        <v>0</v>
      </c>
      <c r="G1709" s="151">
        <f>'Etude de cas n°1'!D1709</f>
        <v>0</v>
      </c>
      <c r="H1709" s="218"/>
      <c r="I1709" s="218"/>
      <c r="J1709" s="218"/>
      <c r="K1709" s="218"/>
      <c r="L1709" s="218"/>
      <c r="M1709" s="218"/>
      <c r="N1709" s="218"/>
    </row>
    <row r="1710" spans="1:14" s="97" customFormat="1" ht="13.2" x14ac:dyDescent="0.25">
      <c r="A1710" s="235" t="s">
        <v>3845</v>
      </c>
      <c r="B1710" s="223" t="s">
        <v>3807</v>
      </c>
      <c r="C1710" s="217"/>
      <c r="D1710" s="120"/>
      <c r="E1710" s="45"/>
      <c r="F1710" s="127"/>
      <c r="G1710" s="151"/>
      <c r="H1710" s="218"/>
      <c r="I1710" s="218"/>
      <c r="J1710" s="218"/>
      <c r="K1710" s="218"/>
      <c r="L1710" s="218"/>
      <c r="M1710" s="218"/>
      <c r="N1710" s="218"/>
    </row>
    <row r="1711" spans="1:14" s="97" customFormat="1" ht="13.2" x14ac:dyDescent="0.25">
      <c r="A1711" s="235" t="s">
        <v>3846</v>
      </c>
      <c r="B1711" s="223" t="s">
        <v>3793</v>
      </c>
      <c r="C1711" s="217" t="s">
        <v>1034</v>
      </c>
      <c r="D1711" s="120"/>
      <c r="E1711" s="45">
        <f t="shared" si="90"/>
        <v>0</v>
      </c>
      <c r="F1711" s="127">
        <f t="shared" si="91"/>
        <v>0</v>
      </c>
      <c r="G1711" s="151">
        <f>'Etude de cas n°1'!D1711</f>
        <v>0</v>
      </c>
      <c r="H1711" s="218"/>
      <c r="I1711" s="218"/>
      <c r="J1711" s="218"/>
      <c r="K1711" s="218"/>
      <c r="L1711" s="218"/>
      <c r="M1711" s="218"/>
      <c r="N1711" s="218"/>
    </row>
    <row r="1712" spans="1:14" s="97" customFormat="1" ht="13.2" x14ac:dyDescent="0.25">
      <c r="A1712" s="235" t="s">
        <v>3847</v>
      </c>
      <c r="B1712" s="223" t="s">
        <v>3795</v>
      </c>
      <c r="C1712" s="217" t="s">
        <v>1034</v>
      </c>
      <c r="D1712" s="120"/>
      <c r="E1712" s="45">
        <f t="shared" si="90"/>
        <v>0</v>
      </c>
      <c r="F1712" s="127">
        <f t="shared" si="91"/>
        <v>0</v>
      </c>
      <c r="G1712" s="151">
        <f>'Etude de cas n°1'!D1712</f>
        <v>0</v>
      </c>
      <c r="H1712" s="218"/>
      <c r="I1712" s="218"/>
      <c r="J1712" s="218"/>
      <c r="K1712" s="218"/>
      <c r="L1712" s="218"/>
      <c r="M1712" s="218"/>
      <c r="N1712" s="218"/>
    </row>
    <row r="1713" spans="1:14" s="97" customFormat="1" ht="13.2" x14ac:dyDescent="0.25">
      <c r="A1713" s="235" t="s">
        <v>3848</v>
      </c>
      <c r="B1713" s="223" t="s">
        <v>3797</v>
      </c>
      <c r="C1713" s="217" t="s">
        <v>1034</v>
      </c>
      <c r="D1713" s="120"/>
      <c r="E1713" s="45">
        <f t="shared" si="90"/>
        <v>0</v>
      </c>
      <c r="F1713" s="127">
        <f t="shared" si="91"/>
        <v>0</v>
      </c>
      <c r="G1713" s="151">
        <f>'Etude de cas n°1'!D1713</f>
        <v>0</v>
      </c>
      <c r="H1713" s="218"/>
      <c r="I1713" s="218"/>
      <c r="J1713" s="218"/>
      <c r="K1713" s="218"/>
      <c r="L1713" s="218"/>
      <c r="M1713" s="218"/>
      <c r="N1713" s="218"/>
    </row>
    <row r="1714" spans="1:14" s="97" customFormat="1" ht="13.2" x14ac:dyDescent="0.25">
      <c r="A1714" s="235" t="s">
        <v>3849</v>
      </c>
      <c r="B1714" s="223" t="s">
        <v>3799</v>
      </c>
      <c r="C1714" s="217" t="s">
        <v>1034</v>
      </c>
      <c r="D1714" s="120"/>
      <c r="E1714" s="45">
        <f t="shared" si="90"/>
        <v>0</v>
      </c>
      <c r="F1714" s="127">
        <f t="shared" si="91"/>
        <v>0</v>
      </c>
      <c r="G1714" s="151">
        <f>'Etude de cas n°1'!D1714</f>
        <v>0</v>
      </c>
      <c r="H1714" s="218"/>
      <c r="I1714" s="218"/>
      <c r="J1714" s="218"/>
      <c r="K1714" s="218"/>
      <c r="L1714" s="218"/>
      <c r="M1714" s="218"/>
      <c r="N1714" s="218"/>
    </row>
    <row r="1715" spans="1:14" s="97" customFormat="1" ht="13.2" x14ac:dyDescent="0.25">
      <c r="A1715" s="235" t="s">
        <v>3850</v>
      </c>
      <c r="B1715" s="223" t="s">
        <v>3838</v>
      </c>
      <c r="C1715" s="217" t="s">
        <v>1034</v>
      </c>
      <c r="D1715" s="120"/>
      <c r="E1715" s="45">
        <f t="shared" si="90"/>
        <v>0</v>
      </c>
      <c r="F1715" s="127">
        <f t="shared" si="91"/>
        <v>0</v>
      </c>
      <c r="G1715" s="151">
        <f>'Etude de cas n°1'!D1715</f>
        <v>0</v>
      </c>
      <c r="H1715" s="218"/>
      <c r="I1715" s="218"/>
      <c r="J1715" s="218"/>
      <c r="K1715" s="218"/>
      <c r="L1715" s="218"/>
      <c r="M1715" s="218"/>
      <c r="N1715" s="218"/>
    </row>
    <row r="1716" spans="1:14" s="97" customFormat="1" ht="13.2" x14ac:dyDescent="0.25">
      <c r="A1716" s="235" t="s">
        <v>3851</v>
      </c>
      <c r="B1716" s="223" t="s">
        <v>3813</v>
      </c>
      <c r="C1716" s="217"/>
      <c r="D1716" s="120"/>
      <c r="E1716" s="45"/>
      <c r="F1716" s="127"/>
      <c r="G1716" s="151"/>
      <c r="H1716" s="218"/>
      <c r="I1716" s="218"/>
      <c r="J1716" s="218"/>
      <c r="K1716" s="218"/>
      <c r="L1716" s="218"/>
      <c r="M1716" s="218"/>
      <c r="N1716" s="218"/>
    </row>
    <row r="1717" spans="1:14" s="97" customFormat="1" ht="13.2" x14ac:dyDescent="0.25">
      <c r="A1717" s="235" t="s">
        <v>3852</v>
      </c>
      <c r="B1717" s="223" t="s">
        <v>3793</v>
      </c>
      <c r="C1717" s="217" t="s">
        <v>1034</v>
      </c>
      <c r="D1717" s="120"/>
      <c r="E1717" s="45">
        <f t="shared" si="90"/>
        <v>0</v>
      </c>
      <c r="F1717" s="127">
        <f t="shared" si="91"/>
        <v>0</v>
      </c>
      <c r="G1717" s="151">
        <f>'Etude de cas n°1'!D1717</f>
        <v>0</v>
      </c>
      <c r="H1717" s="218"/>
      <c r="I1717" s="218"/>
      <c r="J1717" s="218"/>
      <c r="K1717" s="218"/>
      <c r="L1717" s="218"/>
      <c r="M1717" s="218"/>
      <c r="N1717" s="218"/>
    </row>
    <row r="1718" spans="1:14" s="97" customFormat="1" ht="13.2" x14ac:dyDescent="0.25">
      <c r="A1718" s="235" t="s">
        <v>3853</v>
      </c>
      <c r="B1718" s="223" t="s">
        <v>3795</v>
      </c>
      <c r="C1718" s="217" t="s">
        <v>1034</v>
      </c>
      <c r="D1718" s="120"/>
      <c r="E1718" s="45">
        <f t="shared" si="90"/>
        <v>0</v>
      </c>
      <c r="F1718" s="127">
        <f t="shared" si="91"/>
        <v>0</v>
      </c>
      <c r="G1718" s="151">
        <f>'Etude de cas n°1'!D1718</f>
        <v>0</v>
      </c>
      <c r="H1718" s="218"/>
      <c r="I1718" s="218"/>
      <c r="J1718" s="218"/>
      <c r="K1718" s="218"/>
      <c r="L1718" s="218"/>
      <c r="M1718" s="218"/>
      <c r="N1718" s="218"/>
    </row>
    <row r="1719" spans="1:14" s="97" customFormat="1" ht="13.2" x14ac:dyDescent="0.25">
      <c r="A1719" s="235" t="s">
        <v>3854</v>
      </c>
      <c r="B1719" s="223" t="s">
        <v>3797</v>
      </c>
      <c r="C1719" s="217" t="s">
        <v>1034</v>
      </c>
      <c r="D1719" s="120"/>
      <c r="E1719" s="45">
        <f t="shared" si="90"/>
        <v>0</v>
      </c>
      <c r="F1719" s="127">
        <f t="shared" si="91"/>
        <v>0</v>
      </c>
      <c r="G1719" s="151">
        <f>'Etude de cas n°1'!D1719</f>
        <v>0</v>
      </c>
      <c r="H1719" s="218"/>
      <c r="I1719" s="218"/>
      <c r="J1719" s="218"/>
      <c r="K1719" s="218"/>
      <c r="L1719" s="218"/>
      <c r="M1719" s="218"/>
      <c r="N1719" s="218"/>
    </row>
    <row r="1720" spans="1:14" s="97" customFormat="1" ht="13.2" x14ac:dyDescent="0.25">
      <c r="A1720" s="235" t="s">
        <v>3855</v>
      </c>
      <c r="B1720" s="223" t="s">
        <v>3799</v>
      </c>
      <c r="C1720" s="217" t="s">
        <v>1034</v>
      </c>
      <c r="D1720" s="120"/>
      <c r="E1720" s="45">
        <f t="shared" si="90"/>
        <v>0</v>
      </c>
      <c r="F1720" s="127">
        <f t="shared" si="91"/>
        <v>0</v>
      </c>
      <c r="G1720" s="151">
        <f>'Etude de cas n°1'!D1720</f>
        <v>0</v>
      </c>
      <c r="H1720" s="218"/>
      <c r="I1720" s="218"/>
      <c r="J1720" s="218"/>
      <c r="K1720" s="218"/>
      <c r="L1720" s="218"/>
      <c r="M1720" s="218"/>
      <c r="N1720" s="218"/>
    </row>
    <row r="1721" spans="1:14" s="97" customFormat="1" ht="13.2" x14ac:dyDescent="0.25">
      <c r="A1721" s="235" t="s">
        <v>3856</v>
      </c>
      <c r="B1721" s="223" t="s">
        <v>3838</v>
      </c>
      <c r="C1721" s="217" t="s">
        <v>1034</v>
      </c>
      <c r="D1721" s="120"/>
      <c r="E1721" s="45">
        <f t="shared" si="90"/>
        <v>0</v>
      </c>
      <c r="F1721" s="127">
        <f t="shared" si="91"/>
        <v>0</v>
      </c>
      <c r="G1721" s="151">
        <f>'Etude de cas n°1'!D1721</f>
        <v>0</v>
      </c>
      <c r="H1721" s="218"/>
      <c r="I1721" s="218"/>
      <c r="J1721" s="218"/>
      <c r="K1721" s="218"/>
      <c r="L1721" s="218"/>
      <c r="M1721" s="218"/>
      <c r="N1721" s="218"/>
    </row>
    <row r="1722" spans="1:14" s="97" customFormat="1" ht="13.2" x14ac:dyDescent="0.25">
      <c r="A1722" s="235" t="s">
        <v>3857</v>
      </c>
      <c r="B1722" s="223" t="s">
        <v>3858</v>
      </c>
      <c r="C1722" s="217"/>
      <c r="D1722" s="120"/>
      <c r="E1722" s="45"/>
      <c r="F1722" s="127"/>
      <c r="G1722" s="151"/>
      <c r="H1722" s="218"/>
      <c r="I1722" s="218"/>
      <c r="J1722" s="218"/>
      <c r="K1722" s="218"/>
      <c r="L1722" s="218"/>
      <c r="M1722" s="218"/>
      <c r="N1722" s="218"/>
    </row>
    <row r="1723" spans="1:14" s="94" customFormat="1" ht="13.2" x14ac:dyDescent="0.25">
      <c r="A1723" s="235" t="s">
        <v>3859</v>
      </c>
      <c r="B1723" s="223" t="s">
        <v>3793</v>
      </c>
      <c r="C1723" s="217" t="s">
        <v>1034</v>
      </c>
      <c r="D1723" s="120"/>
      <c r="E1723" s="45">
        <f t="shared" si="90"/>
        <v>0</v>
      </c>
      <c r="F1723" s="127">
        <f t="shared" si="91"/>
        <v>0</v>
      </c>
      <c r="G1723" s="151">
        <f>'Etude de cas n°1'!D1723</f>
        <v>0</v>
      </c>
      <c r="H1723" s="19"/>
      <c r="I1723" s="19"/>
      <c r="J1723" s="19"/>
      <c r="K1723" s="19"/>
      <c r="L1723" s="19"/>
      <c r="M1723" s="19"/>
      <c r="N1723" s="19"/>
    </row>
    <row r="1724" spans="1:14" s="97" customFormat="1" ht="13.2" x14ac:dyDescent="0.25">
      <c r="A1724" s="235" t="s">
        <v>3860</v>
      </c>
      <c r="B1724" s="223" t="s">
        <v>3795</v>
      </c>
      <c r="C1724" s="217" t="s">
        <v>1034</v>
      </c>
      <c r="D1724" s="120"/>
      <c r="E1724" s="45">
        <f t="shared" si="90"/>
        <v>0</v>
      </c>
      <c r="F1724" s="127">
        <f t="shared" si="91"/>
        <v>0</v>
      </c>
      <c r="G1724" s="151">
        <f>'Etude de cas n°1'!D1724</f>
        <v>0</v>
      </c>
      <c r="H1724" s="218"/>
      <c r="I1724" s="218"/>
      <c r="J1724" s="218"/>
      <c r="K1724" s="218"/>
      <c r="L1724" s="218"/>
      <c r="M1724" s="218"/>
      <c r="N1724" s="218"/>
    </row>
    <row r="1725" spans="1:14" s="97" customFormat="1" ht="13.2" x14ac:dyDescent="0.25">
      <c r="A1725" s="235" t="s">
        <v>3861</v>
      </c>
      <c r="B1725" s="223" t="s">
        <v>3797</v>
      </c>
      <c r="C1725" s="217" t="s">
        <v>1034</v>
      </c>
      <c r="D1725" s="120"/>
      <c r="E1725" s="45">
        <f t="shared" si="90"/>
        <v>0</v>
      </c>
      <c r="F1725" s="127">
        <f t="shared" si="91"/>
        <v>0</v>
      </c>
      <c r="G1725" s="151">
        <f>'Etude de cas n°1'!D1725</f>
        <v>0</v>
      </c>
      <c r="H1725" s="218"/>
      <c r="I1725" s="218"/>
      <c r="J1725" s="218"/>
      <c r="K1725" s="218"/>
      <c r="L1725" s="218"/>
      <c r="M1725" s="218"/>
      <c r="N1725" s="218"/>
    </row>
    <row r="1726" spans="1:14" s="97" customFormat="1" ht="13.2" x14ac:dyDescent="0.25">
      <c r="A1726" s="235" t="s">
        <v>3862</v>
      </c>
      <c r="B1726" s="223" t="s">
        <v>3863</v>
      </c>
      <c r="C1726" s="217" t="s">
        <v>1034</v>
      </c>
      <c r="D1726" s="120"/>
      <c r="E1726" s="45">
        <f t="shared" si="90"/>
        <v>0</v>
      </c>
      <c r="F1726" s="127">
        <f t="shared" si="91"/>
        <v>0</v>
      </c>
      <c r="G1726" s="151">
        <f>'Etude de cas n°1'!D1726</f>
        <v>0</v>
      </c>
      <c r="H1726" s="218"/>
      <c r="I1726" s="218"/>
      <c r="J1726" s="218"/>
      <c r="K1726" s="218"/>
      <c r="L1726" s="218"/>
      <c r="M1726" s="218"/>
      <c r="N1726" s="218"/>
    </row>
    <row r="1727" spans="1:14" s="97" customFormat="1" ht="13.2" x14ac:dyDescent="0.25">
      <c r="A1727" s="235" t="s">
        <v>3864</v>
      </c>
      <c r="B1727" s="223" t="s">
        <v>3838</v>
      </c>
      <c r="C1727" s="217" t="s">
        <v>1034</v>
      </c>
      <c r="D1727" s="120"/>
      <c r="E1727" s="45">
        <f t="shared" si="90"/>
        <v>0</v>
      </c>
      <c r="F1727" s="127">
        <f t="shared" si="91"/>
        <v>0</v>
      </c>
      <c r="G1727" s="151">
        <f>'Etude de cas n°1'!D1727</f>
        <v>0</v>
      </c>
      <c r="H1727" s="218"/>
      <c r="I1727" s="218"/>
      <c r="J1727" s="218"/>
      <c r="K1727" s="218"/>
      <c r="L1727" s="218"/>
      <c r="M1727" s="218"/>
      <c r="N1727" s="218"/>
    </row>
    <row r="1728" spans="1:14" s="97" customFormat="1" ht="13.2" x14ac:dyDescent="0.25">
      <c r="A1728" s="235" t="s">
        <v>3865</v>
      </c>
      <c r="B1728" s="223" t="s">
        <v>3866</v>
      </c>
      <c r="C1728" s="217"/>
      <c r="D1728" s="120"/>
      <c r="E1728" s="45"/>
      <c r="F1728" s="127"/>
      <c r="G1728" s="151"/>
      <c r="H1728" s="218"/>
      <c r="I1728" s="218"/>
      <c r="J1728" s="218"/>
      <c r="K1728" s="218"/>
      <c r="L1728" s="218"/>
      <c r="M1728" s="218"/>
      <c r="N1728" s="218"/>
    </row>
    <row r="1729" spans="1:14" s="97" customFormat="1" ht="13.2" x14ac:dyDescent="0.25">
      <c r="A1729" s="235" t="s">
        <v>3867</v>
      </c>
      <c r="B1729" s="223" t="s">
        <v>3793</v>
      </c>
      <c r="C1729" s="217" t="s">
        <v>1034</v>
      </c>
      <c r="D1729" s="120"/>
      <c r="E1729" s="45">
        <f t="shared" si="90"/>
        <v>0</v>
      </c>
      <c r="F1729" s="127">
        <f t="shared" si="91"/>
        <v>0</v>
      </c>
      <c r="G1729" s="151">
        <f>'Etude de cas n°1'!D1729</f>
        <v>0</v>
      </c>
      <c r="H1729" s="218"/>
      <c r="I1729" s="218"/>
      <c r="J1729" s="218"/>
      <c r="K1729" s="218"/>
      <c r="L1729" s="218"/>
      <c r="M1729" s="218"/>
      <c r="N1729" s="218"/>
    </row>
    <row r="1730" spans="1:14" s="97" customFormat="1" ht="13.2" x14ac:dyDescent="0.25">
      <c r="A1730" s="235" t="s">
        <v>3868</v>
      </c>
      <c r="B1730" s="223" t="s">
        <v>3795</v>
      </c>
      <c r="C1730" s="217" t="s">
        <v>1034</v>
      </c>
      <c r="D1730" s="120"/>
      <c r="E1730" s="45">
        <f t="shared" si="90"/>
        <v>0</v>
      </c>
      <c r="F1730" s="127">
        <f t="shared" si="91"/>
        <v>0</v>
      </c>
      <c r="G1730" s="151">
        <f>'Etude de cas n°1'!D1730</f>
        <v>0</v>
      </c>
      <c r="H1730" s="218"/>
      <c r="I1730" s="218"/>
      <c r="J1730" s="218"/>
      <c r="K1730" s="218"/>
      <c r="L1730" s="218"/>
      <c r="M1730" s="218"/>
      <c r="N1730" s="218"/>
    </row>
    <row r="1731" spans="1:14" s="97" customFormat="1" ht="13.2" x14ac:dyDescent="0.25">
      <c r="A1731" s="235" t="s">
        <v>3869</v>
      </c>
      <c r="B1731" s="223" t="s">
        <v>3797</v>
      </c>
      <c r="C1731" s="217" t="s">
        <v>1034</v>
      </c>
      <c r="D1731" s="120"/>
      <c r="E1731" s="45">
        <f t="shared" si="90"/>
        <v>0</v>
      </c>
      <c r="F1731" s="127">
        <f t="shared" si="91"/>
        <v>0</v>
      </c>
      <c r="G1731" s="151">
        <f>'Etude de cas n°1'!D1731</f>
        <v>0</v>
      </c>
      <c r="H1731" s="218"/>
      <c r="I1731" s="218"/>
      <c r="J1731" s="218"/>
      <c r="K1731" s="218"/>
      <c r="L1731" s="218"/>
      <c r="M1731" s="218"/>
      <c r="N1731" s="218"/>
    </row>
    <row r="1732" spans="1:14" s="97" customFormat="1" ht="13.2" x14ac:dyDescent="0.25">
      <c r="A1732" s="235" t="s">
        <v>3870</v>
      </c>
      <c r="B1732" s="223" t="s">
        <v>3863</v>
      </c>
      <c r="C1732" s="217" t="s">
        <v>1034</v>
      </c>
      <c r="D1732" s="120"/>
      <c r="E1732" s="45">
        <f t="shared" si="90"/>
        <v>0</v>
      </c>
      <c r="F1732" s="127">
        <f t="shared" si="91"/>
        <v>0</v>
      </c>
      <c r="G1732" s="151">
        <f>'Etude de cas n°1'!D1732</f>
        <v>0</v>
      </c>
      <c r="H1732" s="218"/>
      <c r="I1732" s="218"/>
      <c r="J1732" s="218"/>
      <c r="K1732" s="218"/>
      <c r="L1732" s="218"/>
      <c r="M1732" s="218"/>
      <c r="N1732" s="218"/>
    </row>
    <row r="1733" spans="1:14" s="97" customFormat="1" ht="13.2" x14ac:dyDescent="0.25">
      <c r="A1733" s="235" t="s">
        <v>3871</v>
      </c>
      <c r="B1733" s="223" t="s">
        <v>3838</v>
      </c>
      <c r="C1733" s="217" t="s">
        <v>1034</v>
      </c>
      <c r="D1733" s="120"/>
      <c r="E1733" s="45">
        <f t="shared" si="90"/>
        <v>0</v>
      </c>
      <c r="F1733" s="127">
        <f t="shared" si="91"/>
        <v>0</v>
      </c>
      <c r="G1733" s="151">
        <f>'Etude de cas n°1'!D1733</f>
        <v>0</v>
      </c>
      <c r="H1733" s="218"/>
      <c r="I1733" s="218"/>
      <c r="J1733" s="218"/>
      <c r="K1733" s="218"/>
      <c r="L1733" s="218"/>
      <c r="M1733" s="218"/>
      <c r="N1733" s="218"/>
    </row>
    <row r="1734" spans="1:14" s="97" customFormat="1" ht="13.2" x14ac:dyDescent="0.25">
      <c r="A1734" s="28" t="s">
        <v>3872</v>
      </c>
      <c r="B1734" s="6" t="s">
        <v>3873</v>
      </c>
      <c r="C1734" s="217"/>
      <c r="D1734" s="120"/>
      <c r="E1734" s="45"/>
      <c r="F1734" s="127"/>
      <c r="G1734" s="151"/>
      <c r="H1734" s="218"/>
      <c r="I1734" s="218"/>
      <c r="J1734" s="218"/>
      <c r="K1734" s="218"/>
      <c r="L1734" s="218"/>
      <c r="M1734" s="218"/>
      <c r="N1734" s="218"/>
    </row>
    <row r="1735" spans="1:14" s="97" customFormat="1" ht="13.2" x14ac:dyDescent="0.25">
      <c r="A1735" s="235" t="s">
        <v>3874</v>
      </c>
      <c r="B1735" s="223" t="s">
        <v>3875</v>
      </c>
      <c r="C1735" s="217"/>
      <c r="D1735" s="120"/>
      <c r="E1735" s="45"/>
      <c r="F1735" s="127"/>
      <c r="G1735" s="151"/>
      <c r="H1735" s="218"/>
      <c r="I1735" s="218"/>
      <c r="J1735" s="218"/>
      <c r="K1735" s="218"/>
      <c r="L1735" s="218"/>
      <c r="M1735" s="218"/>
      <c r="N1735" s="218"/>
    </row>
    <row r="1736" spans="1:14" s="97" customFormat="1" ht="13.2" x14ac:dyDescent="0.25">
      <c r="A1736" s="235" t="s">
        <v>3876</v>
      </c>
      <c r="B1736" s="223" t="s">
        <v>3877</v>
      </c>
      <c r="C1736" s="217" t="s">
        <v>1011</v>
      </c>
      <c r="D1736" s="120"/>
      <c r="E1736" s="45">
        <f t="shared" ref="E1736:E1799" si="92">G1736</f>
        <v>0</v>
      </c>
      <c r="F1736" s="127">
        <f t="shared" si="91"/>
        <v>0</v>
      </c>
      <c r="G1736" s="151">
        <f>'Etude de cas n°1'!D1736</f>
        <v>0</v>
      </c>
      <c r="H1736" s="218"/>
      <c r="I1736" s="218"/>
      <c r="J1736" s="218"/>
      <c r="K1736" s="218"/>
      <c r="L1736" s="218"/>
      <c r="M1736" s="218"/>
      <c r="N1736" s="218"/>
    </row>
    <row r="1737" spans="1:14" s="97" customFormat="1" ht="13.2" x14ac:dyDescent="0.25">
      <c r="A1737" s="235" t="s">
        <v>3878</v>
      </c>
      <c r="B1737" s="223" t="s">
        <v>3879</v>
      </c>
      <c r="C1737" s="217" t="s">
        <v>1011</v>
      </c>
      <c r="D1737" s="120"/>
      <c r="E1737" s="45">
        <f t="shared" si="92"/>
        <v>0</v>
      </c>
      <c r="F1737" s="127">
        <f t="shared" ref="F1737:F1799" si="93">D1737*E1737</f>
        <v>0</v>
      </c>
      <c r="G1737" s="151">
        <f>'Etude de cas n°1'!D1737</f>
        <v>0</v>
      </c>
      <c r="H1737" s="218"/>
      <c r="I1737" s="218"/>
      <c r="J1737" s="218"/>
      <c r="K1737" s="218"/>
      <c r="L1737" s="218"/>
      <c r="M1737" s="218"/>
      <c r="N1737" s="218"/>
    </row>
    <row r="1738" spans="1:14" s="97" customFormat="1" ht="13.2" x14ac:dyDescent="0.25">
      <c r="A1738" s="235" t="s">
        <v>3880</v>
      </c>
      <c r="B1738" s="223" t="s">
        <v>3881</v>
      </c>
      <c r="C1738" s="217" t="s">
        <v>1011</v>
      </c>
      <c r="D1738" s="120"/>
      <c r="E1738" s="45">
        <f t="shared" si="92"/>
        <v>0</v>
      </c>
      <c r="F1738" s="127">
        <f t="shared" si="93"/>
        <v>0</v>
      </c>
      <c r="G1738" s="151">
        <f>'Etude de cas n°1'!D1738</f>
        <v>0</v>
      </c>
      <c r="H1738" s="218"/>
      <c r="I1738" s="218"/>
      <c r="J1738" s="218"/>
      <c r="K1738" s="218"/>
      <c r="L1738" s="218"/>
      <c r="M1738" s="218"/>
      <c r="N1738" s="218"/>
    </row>
    <row r="1739" spans="1:14" s="97" customFormat="1" ht="13.2" x14ac:dyDescent="0.25">
      <c r="A1739" s="235" t="s">
        <v>3882</v>
      </c>
      <c r="B1739" s="223" t="s">
        <v>3883</v>
      </c>
      <c r="C1739" s="217" t="s">
        <v>1011</v>
      </c>
      <c r="D1739" s="120"/>
      <c r="E1739" s="45">
        <f t="shared" si="92"/>
        <v>0</v>
      </c>
      <c r="F1739" s="127">
        <f t="shared" si="93"/>
        <v>0</v>
      </c>
      <c r="G1739" s="151">
        <f>'Etude de cas n°1'!D1739</f>
        <v>0</v>
      </c>
      <c r="H1739" s="218"/>
      <c r="I1739" s="218"/>
      <c r="J1739" s="218"/>
      <c r="K1739" s="218"/>
      <c r="L1739" s="218"/>
      <c r="M1739" s="218"/>
      <c r="N1739" s="218"/>
    </row>
    <row r="1740" spans="1:14" s="97" customFormat="1" ht="13.2" x14ac:dyDescent="0.25">
      <c r="A1740" s="235" t="s">
        <v>3884</v>
      </c>
      <c r="B1740" s="223" t="s">
        <v>3885</v>
      </c>
      <c r="C1740" s="217" t="s">
        <v>1011</v>
      </c>
      <c r="D1740" s="120"/>
      <c r="E1740" s="45">
        <f t="shared" si="92"/>
        <v>0</v>
      </c>
      <c r="F1740" s="127">
        <f t="shared" si="93"/>
        <v>0</v>
      </c>
      <c r="G1740" s="151">
        <f>'Etude de cas n°1'!D1740</f>
        <v>0</v>
      </c>
      <c r="H1740" s="218"/>
      <c r="I1740" s="218"/>
      <c r="J1740" s="218"/>
      <c r="K1740" s="218"/>
      <c r="L1740" s="218"/>
      <c r="M1740" s="218"/>
      <c r="N1740" s="218"/>
    </row>
    <row r="1741" spans="1:14" s="105" customFormat="1" ht="13.2" x14ac:dyDescent="0.25">
      <c r="A1741" s="235" t="s">
        <v>3886</v>
      </c>
      <c r="B1741" s="223" t="s">
        <v>3887</v>
      </c>
      <c r="C1741" s="217"/>
      <c r="D1741" s="120"/>
      <c r="E1741" s="45"/>
      <c r="F1741" s="127"/>
      <c r="G1741" s="151"/>
      <c r="H1741" s="182"/>
      <c r="I1741" s="182"/>
      <c r="J1741" s="182"/>
      <c r="K1741" s="182"/>
      <c r="L1741" s="182"/>
      <c r="M1741" s="182"/>
      <c r="N1741" s="182"/>
    </row>
    <row r="1742" spans="1:14" s="106" customFormat="1" ht="13.2" x14ac:dyDescent="0.25">
      <c r="A1742" s="235" t="s">
        <v>3888</v>
      </c>
      <c r="B1742" s="223" t="s">
        <v>3889</v>
      </c>
      <c r="C1742" s="217" t="s">
        <v>1011</v>
      </c>
      <c r="D1742" s="120"/>
      <c r="E1742" s="45">
        <f t="shared" si="92"/>
        <v>2</v>
      </c>
      <c r="F1742" s="127">
        <f t="shared" si="93"/>
        <v>0</v>
      </c>
      <c r="G1742" s="151">
        <f>'Etude de cas n°1'!D1742</f>
        <v>2</v>
      </c>
      <c r="H1742" s="183"/>
      <c r="I1742" s="183"/>
      <c r="J1742" s="183"/>
      <c r="K1742" s="183"/>
      <c r="L1742" s="183"/>
      <c r="M1742" s="183"/>
      <c r="N1742" s="183"/>
    </row>
    <row r="1743" spans="1:14" s="106" customFormat="1" ht="13.2" x14ac:dyDescent="0.25">
      <c r="A1743" s="235" t="s">
        <v>3890</v>
      </c>
      <c r="B1743" s="223" t="s">
        <v>3891</v>
      </c>
      <c r="C1743" s="217" t="s">
        <v>1011</v>
      </c>
      <c r="D1743" s="120"/>
      <c r="E1743" s="45">
        <f t="shared" si="92"/>
        <v>0</v>
      </c>
      <c r="F1743" s="127">
        <f t="shared" si="93"/>
        <v>0</v>
      </c>
      <c r="G1743" s="151">
        <f>'Etude de cas n°1'!D1743</f>
        <v>0</v>
      </c>
      <c r="H1743" s="183"/>
      <c r="I1743" s="183"/>
      <c r="J1743" s="183"/>
      <c r="K1743" s="183"/>
      <c r="L1743" s="183"/>
      <c r="M1743" s="183"/>
      <c r="N1743" s="183"/>
    </row>
    <row r="1744" spans="1:14" s="106" customFormat="1" ht="13.2" x14ac:dyDescent="0.25">
      <c r="A1744" s="235" t="s">
        <v>3892</v>
      </c>
      <c r="B1744" s="223" t="s">
        <v>3893</v>
      </c>
      <c r="C1744" s="217" t="s">
        <v>1011</v>
      </c>
      <c r="D1744" s="120"/>
      <c r="E1744" s="45">
        <f t="shared" si="92"/>
        <v>0</v>
      </c>
      <c r="F1744" s="127">
        <f t="shared" si="93"/>
        <v>0</v>
      </c>
      <c r="G1744" s="151">
        <f>'Etude de cas n°1'!D1744</f>
        <v>0</v>
      </c>
      <c r="H1744" s="183"/>
      <c r="I1744" s="183"/>
      <c r="J1744" s="183"/>
      <c r="K1744" s="183"/>
      <c r="L1744" s="183"/>
      <c r="M1744" s="183"/>
      <c r="N1744" s="183"/>
    </row>
    <row r="1745" spans="1:14" s="105" customFormat="1" ht="13.2" x14ac:dyDescent="0.25">
      <c r="A1745" s="235" t="s">
        <v>3894</v>
      </c>
      <c r="B1745" s="223" t="s">
        <v>3895</v>
      </c>
      <c r="C1745" s="217" t="s">
        <v>1011</v>
      </c>
      <c r="D1745" s="120"/>
      <c r="E1745" s="45">
        <f t="shared" si="92"/>
        <v>0</v>
      </c>
      <c r="F1745" s="127">
        <f t="shared" si="93"/>
        <v>0</v>
      </c>
      <c r="G1745" s="151">
        <f>'Etude de cas n°1'!D1745</f>
        <v>0</v>
      </c>
      <c r="H1745" s="182"/>
      <c r="I1745" s="182"/>
      <c r="J1745" s="182"/>
      <c r="K1745" s="182"/>
      <c r="L1745" s="182"/>
      <c r="M1745" s="182"/>
      <c r="N1745" s="182"/>
    </row>
    <row r="1746" spans="1:14" s="107" customFormat="1" ht="13.2" x14ac:dyDescent="0.25">
      <c r="A1746" s="235" t="s">
        <v>3896</v>
      </c>
      <c r="B1746" s="223" t="s">
        <v>3885</v>
      </c>
      <c r="C1746" s="217" t="s">
        <v>1011</v>
      </c>
      <c r="D1746" s="120"/>
      <c r="E1746" s="45">
        <f t="shared" si="92"/>
        <v>0</v>
      </c>
      <c r="F1746" s="127">
        <f t="shared" si="93"/>
        <v>0</v>
      </c>
      <c r="G1746" s="151">
        <f>'Etude de cas n°1'!D1746</f>
        <v>0</v>
      </c>
      <c r="H1746" s="24"/>
      <c r="I1746" s="24"/>
      <c r="J1746" s="24"/>
      <c r="K1746" s="24"/>
      <c r="L1746" s="24"/>
      <c r="M1746" s="24"/>
      <c r="N1746" s="24"/>
    </row>
    <row r="1747" spans="1:14" s="107" customFormat="1" ht="13.2" x14ac:dyDescent="0.25">
      <c r="A1747" s="235" t="s">
        <v>3897</v>
      </c>
      <c r="B1747" s="223" t="s">
        <v>3898</v>
      </c>
      <c r="C1747" s="217"/>
      <c r="D1747" s="120"/>
      <c r="E1747" s="45"/>
      <c r="F1747" s="127"/>
      <c r="G1747" s="151"/>
      <c r="H1747" s="24"/>
      <c r="I1747" s="24"/>
      <c r="J1747" s="24"/>
      <c r="K1747" s="24"/>
      <c r="L1747" s="24"/>
      <c r="M1747" s="24"/>
      <c r="N1747" s="24"/>
    </row>
    <row r="1748" spans="1:14" s="106" customFormat="1" ht="13.2" x14ac:dyDescent="0.25">
      <c r="A1748" s="235" t="s">
        <v>3899</v>
      </c>
      <c r="B1748" s="223" t="s">
        <v>3889</v>
      </c>
      <c r="C1748" s="217" t="s">
        <v>1011</v>
      </c>
      <c r="D1748" s="120"/>
      <c r="E1748" s="45">
        <f t="shared" si="92"/>
        <v>0</v>
      </c>
      <c r="F1748" s="127">
        <f t="shared" si="93"/>
        <v>0</v>
      </c>
      <c r="G1748" s="151">
        <f>'Etude de cas n°1'!D1748</f>
        <v>0</v>
      </c>
      <c r="H1748" s="183"/>
      <c r="I1748" s="183"/>
      <c r="J1748" s="183"/>
      <c r="K1748" s="183"/>
      <c r="L1748" s="183"/>
      <c r="M1748" s="183"/>
      <c r="N1748" s="183"/>
    </row>
    <row r="1749" spans="1:14" s="106" customFormat="1" ht="13.2" x14ac:dyDescent="0.25">
      <c r="A1749" s="235" t="s">
        <v>3900</v>
      </c>
      <c r="B1749" s="223" t="s">
        <v>3891</v>
      </c>
      <c r="C1749" s="217" t="s">
        <v>1011</v>
      </c>
      <c r="D1749" s="120"/>
      <c r="E1749" s="45">
        <f t="shared" si="92"/>
        <v>0</v>
      </c>
      <c r="F1749" s="127">
        <f t="shared" si="93"/>
        <v>0</v>
      </c>
      <c r="G1749" s="151">
        <f>'Etude de cas n°1'!D1749</f>
        <v>0</v>
      </c>
      <c r="H1749" s="183"/>
      <c r="I1749" s="183"/>
      <c r="J1749" s="183"/>
      <c r="K1749" s="183"/>
      <c r="L1749" s="183"/>
      <c r="M1749" s="183"/>
      <c r="N1749" s="183"/>
    </row>
    <row r="1750" spans="1:14" s="106" customFormat="1" ht="13.2" x14ac:dyDescent="0.25">
      <c r="A1750" s="235" t="s">
        <v>3901</v>
      </c>
      <c r="B1750" s="223" t="s">
        <v>3893</v>
      </c>
      <c r="C1750" s="217" t="s">
        <v>1011</v>
      </c>
      <c r="D1750" s="120"/>
      <c r="E1750" s="45">
        <f t="shared" si="92"/>
        <v>0</v>
      </c>
      <c r="F1750" s="127">
        <f t="shared" si="93"/>
        <v>0</v>
      </c>
      <c r="G1750" s="151">
        <f>'Etude de cas n°1'!D1750</f>
        <v>0</v>
      </c>
      <c r="H1750" s="183"/>
      <c r="I1750" s="183"/>
      <c r="J1750" s="183"/>
      <c r="K1750" s="183"/>
      <c r="L1750" s="183"/>
      <c r="M1750" s="183"/>
      <c r="N1750" s="183"/>
    </row>
    <row r="1751" spans="1:14" s="106" customFormat="1" ht="13.2" x14ac:dyDescent="0.25">
      <c r="A1751" s="235" t="s">
        <v>3902</v>
      </c>
      <c r="B1751" s="223" t="s">
        <v>3895</v>
      </c>
      <c r="C1751" s="217" t="s">
        <v>1011</v>
      </c>
      <c r="D1751" s="120"/>
      <c r="E1751" s="45">
        <f t="shared" si="92"/>
        <v>0</v>
      </c>
      <c r="F1751" s="127">
        <f t="shared" si="93"/>
        <v>0</v>
      </c>
      <c r="G1751" s="151">
        <f>'Etude de cas n°1'!D1751</f>
        <v>0</v>
      </c>
      <c r="H1751" s="183"/>
      <c r="I1751" s="183"/>
      <c r="J1751" s="183"/>
      <c r="K1751" s="183"/>
      <c r="L1751" s="183"/>
      <c r="M1751" s="183"/>
      <c r="N1751" s="183"/>
    </row>
    <row r="1752" spans="1:14" s="106" customFormat="1" ht="13.2" x14ac:dyDescent="0.25">
      <c r="A1752" s="235" t="s">
        <v>3903</v>
      </c>
      <c r="B1752" s="223" t="s">
        <v>3885</v>
      </c>
      <c r="C1752" s="217" t="s">
        <v>1011</v>
      </c>
      <c r="D1752" s="120"/>
      <c r="E1752" s="45">
        <f t="shared" si="92"/>
        <v>0</v>
      </c>
      <c r="F1752" s="127">
        <f t="shared" si="93"/>
        <v>0</v>
      </c>
      <c r="G1752" s="151">
        <f>'Etude de cas n°1'!D1752</f>
        <v>0</v>
      </c>
      <c r="H1752" s="183"/>
      <c r="I1752" s="183"/>
      <c r="J1752" s="183"/>
      <c r="K1752" s="183"/>
      <c r="L1752" s="183"/>
      <c r="M1752" s="183"/>
      <c r="N1752" s="183"/>
    </row>
    <row r="1753" spans="1:14" s="106" customFormat="1" ht="13.2" x14ac:dyDescent="0.25">
      <c r="A1753" s="235" t="s">
        <v>3904</v>
      </c>
      <c r="B1753" s="223" t="s">
        <v>3905</v>
      </c>
      <c r="C1753" s="217"/>
      <c r="D1753" s="120"/>
      <c r="E1753" s="45"/>
      <c r="F1753" s="127"/>
      <c r="G1753" s="151"/>
      <c r="H1753" s="183"/>
      <c r="I1753" s="183"/>
      <c r="J1753" s="183"/>
      <c r="K1753" s="183"/>
      <c r="L1753" s="183"/>
      <c r="M1753" s="183"/>
      <c r="N1753" s="183"/>
    </row>
    <row r="1754" spans="1:14" s="106" customFormat="1" ht="13.2" x14ac:dyDescent="0.25">
      <c r="A1754" s="235" t="s">
        <v>3906</v>
      </c>
      <c r="B1754" s="223" t="s">
        <v>3889</v>
      </c>
      <c r="C1754" s="217" t="s">
        <v>1011</v>
      </c>
      <c r="D1754" s="120"/>
      <c r="E1754" s="45">
        <f t="shared" si="92"/>
        <v>0</v>
      </c>
      <c r="F1754" s="127">
        <f t="shared" si="93"/>
        <v>0</v>
      </c>
      <c r="G1754" s="151">
        <f>'Etude de cas n°1'!D1754</f>
        <v>0</v>
      </c>
      <c r="H1754" s="183"/>
      <c r="I1754" s="183"/>
      <c r="J1754" s="183"/>
      <c r="K1754" s="183"/>
      <c r="L1754" s="183"/>
      <c r="M1754" s="183"/>
      <c r="N1754" s="183"/>
    </row>
    <row r="1755" spans="1:14" s="106" customFormat="1" ht="13.2" x14ac:dyDescent="0.25">
      <c r="A1755" s="235" t="s">
        <v>3907</v>
      </c>
      <c r="B1755" s="223" t="s">
        <v>3891</v>
      </c>
      <c r="C1755" s="217" t="s">
        <v>1011</v>
      </c>
      <c r="D1755" s="120"/>
      <c r="E1755" s="45">
        <f t="shared" si="92"/>
        <v>0</v>
      </c>
      <c r="F1755" s="127">
        <f t="shared" si="93"/>
        <v>0</v>
      </c>
      <c r="G1755" s="151">
        <f>'Etude de cas n°1'!D1755</f>
        <v>0</v>
      </c>
      <c r="H1755" s="183"/>
      <c r="I1755" s="183"/>
      <c r="J1755" s="183"/>
      <c r="K1755" s="183"/>
      <c r="L1755" s="183"/>
      <c r="M1755" s="183"/>
      <c r="N1755" s="183"/>
    </row>
    <row r="1756" spans="1:14" s="106" customFormat="1" ht="13.2" x14ac:dyDescent="0.25">
      <c r="A1756" s="235" t="s">
        <v>3908</v>
      </c>
      <c r="B1756" s="223" t="s">
        <v>3893</v>
      </c>
      <c r="C1756" s="217" t="s">
        <v>1011</v>
      </c>
      <c r="D1756" s="120"/>
      <c r="E1756" s="45">
        <f t="shared" si="92"/>
        <v>0</v>
      </c>
      <c r="F1756" s="127">
        <f t="shared" si="93"/>
        <v>0</v>
      </c>
      <c r="G1756" s="151">
        <f>'Etude de cas n°1'!D1756</f>
        <v>0</v>
      </c>
      <c r="H1756" s="183"/>
      <c r="I1756" s="183"/>
      <c r="J1756" s="183"/>
      <c r="K1756" s="183"/>
      <c r="L1756" s="183"/>
      <c r="M1756" s="183"/>
      <c r="N1756" s="183"/>
    </row>
    <row r="1757" spans="1:14" s="106" customFormat="1" ht="13.2" x14ac:dyDescent="0.25">
      <c r="A1757" s="235" t="s">
        <v>3909</v>
      </c>
      <c r="B1757" s="223" t="s">
        <v>3895</v>
      </c>
      <c r="C1757" s="217" t="s">
        <v>1011</v>
      </c>
      <c r="D1757" s="120"/>
      <c r="E1757" s="45">
        <f t="shared" si="92"/>
        <v>0</v>
      </c>
      <c r="F1757" s="127">
        <f t="shared" si="93"/>
        <v>0</v>
      </c>
      <c r="G1757" s="151">
        <f>'Etude de cas n°1'!D1757</f>
        <v>0</v>
      </c>
      <c r="H1757" s="183"/>
      <c r="I1757" s="183"/>
      <c r="J1757" s="183"/>
      <c r="K1757" s="183"/>
      <c r="L1757" s="183"/>
      <c r="M1757" s="183"/>
      <c r="N1757" s="183"/>
    </row>
    <row r="1758" spans="1:14" s="106" customFormat="1" ht="13.2" x14ac:dyDescent="0.25">
      <c r="A1758" s="235" t="s">
        <v>3910</v>
      </c>
      <c r="B1758" s="223" t="s">
        <v>3885</v>
      </c>
      <c r="C1758" s="217" t="s">
        <v>1011</v>
      </c>
      <c r="D1758" s="120"/>
      <c r="E1758" s="45">
        <f t="shared" si="92"/>
        <v>0</v>
      </c>
      <c r="F1758" s="127">
        <f t="shared" si="93"/>
        <v>0</v>
      </c>
      <c r="G1758" s="151">
        <f>'Etude de cas n°1'!D1758</f>
        <v>0</v>
      </c>
      <c r="H1758" s="183"/>
      <c r="I1758" s="183"/>
      <c r="J1758" s="183"/>
      <c r="K1758" s="183"/>
      <c r="L1758" s="183"/>
      <c r="M1758" s="183"/>
      <c r="N1758" s="183"/>
    </row>
    <row r="1759" spans="1:14" s="106" customFormat="1" ht="13.2" x14ac:dyDescent="0.25">
      <c r="A1759" s="235" t="s">
        <v>3911</v>
      </c>
      <c r="B1759" s="223" t="s">
        <v>3912</v>
      </c>
      <c r="C1759" s="217"/>
      <c r="D1759" s="120"/>
      <c r="E1759" s="45"/>
      <c r="F1759" s="127"/>
      <c r="G1759" s="151"/>
      <c r="H1759" s="183"/>
      <c r="I1759" s="183"/>
      <c r="J1759" s="183"/>
      <c r="K1759" s="183"/>
      <c r="L1759" s="183"/>
      <c r="M1759" s="183"/>
      <c r="N1759" s="183"/>
    </row>
    <row r="1760" spans="1:14" s="106" customFormat="1" ht="13.2" x14ac:dyDescent="0.25">
      <c r="A1760" s="235" t="s">
        <v>3913</v>
      </c>
      <c r="B1760" s="223" t="s">
        <v>3889</v>
      </c>
      <c r="C1760" s="217" t="s">
        <v>1011</v>
      </c>
      <c r="D1760" s="120"/>
      <c r="E1760" s="45">
        <f t="shared" si="92"/>
        <v>0</v>
      </c>
      <c r="F1760" s="127">
        <f t="shared" si="93"/>
        <v>0</v>
      </c>
      <c r="G1760" s="151">
        <f>'Etude de cas n°1'!D1760</f>
        <v>0</v>
      </c>
      <c r="H1760" s="183"/>
      <c r="I1760" s="183"/>
      <c r="J1760" s="183"/>
      <c r="K1760" s="183"/>
      <c r="L1760" s="183"/>
      <c r="M1760" s="183"/>
      <c r="N1760" s="183"/>
    </row>
    <row r="1761" spans="1:14" s="106" customFormat="1" ht="13.2" x14ac:dyDescent="0.25">
      <c r="A1761" s="235" t="s">
        <v>3914</v>
      </c>
      <c r="B1761" s="223" t="s">
        <v>3891</v>
      </c>
      <c r="C1761" s="217" t="s">
        <v>1011</v>
      </c>
      <c r="D1761" s="120"/>
      <c r="E1761" s="45">
        <f t="shared" si="92"/>
        <v>0</v>
      </c>
      <c r="F1761" s="127">
        <f t="shared" si="93"/>
        <v>0</v>
      </c>
      <c r="G1761" s="151">
        <f>'Etude de cas n°1'!D1761</f>
        <v>0</v>
      </c>
      <c r="H1761" s="183"/>
      <c r="I1761" s="183"/>
      <c r="J1761" s="183"/>
      <c r="K1761" s="183"/>
      <c r="L1761" s="183"/>
      <c r="M1761" s="183"/>
      <c r="N1761" s="183"/>
    </row>
    <row r="1762" spans="1:14" s="93" customFormat="1" ht="13.2" x14ac:dyDescent="0.25">
      <c r="A1762" s="235" t="s">
        <v>3915</v>
      </c>
      <c r="B1762" s="223" t="s">
        <v>3893</v>
      </c>
      <c r="C1762" s="217" t="s">
        <v>1011</v>
      </c>
      <c r="D1762" s="120"/>
      <c r="E1762" s="45">
        <f t="shared" si="92"/>
        <v>0</v>
      </c>
      <c r="F1762" s="127">
        <f t="shared" si="93"/>
        <v>0</v>
      </c>
      <c r="G1762" s="151">
        <f>'Etude de cas n°1'!D1762</f>
        <v>0</v>
      </c>
      <c r="H1762" s="236"/>
      <c r="I1762" s="236"/>
      <c r="J1762" s="236"/>
      <c r="K1762" s="236"/>
      <c r="L1762" s="236"/>
      <c r="M1762" s="236"/>
      <c r="N1762" s="236"/>
    </row>
    <row r="1763" spans="1:14" s="93" customFormat="1" ht="13.2" x14ac:dyDescent="0.25">
      <c r="A1763" s="235" t="s">
        <v>3916</v>
      </c>
      <c r="B1763" s="223" t="s">
        <v>3895</v>
      </c>
      <c r="C1763" s="217" t="s">
        <v>1011</v>
      </c>
      <c r="D1763" s="120"/>
      <c r="E1763" s="45">
        <f t="shared" si="92"/>
        <v>0</v>
      </c>
      <c r="F1763" s="127">
        <f t="shared" si="93"/>
        <v>0</v>
      </c>
      <c r="G1763" s="151">
        <f>'Etude de cas n°1'!D1763</f>
        <v>0</v>
      </c>
      <c r="H1763" s="236"/>
      <c r="I1763" s="236"/>
      <c r="J1763" s="236"/>
      <c r="K1763" s="236"/>
      <c r="L1763" s="236"/>
      <c r="M1763" s="236"/>
      <c r="N1763" s="236"/>
    </row>
    <row r="1764" spans="1:14" s="93" customFormat="1" ht="13.2" x14ac:dyDescent="0.25">
      <c r="A1764" s="235" t="s">
        <v>3917</v>
      </c>
      <c r="B1764" s="223" t="s">
        <v>3885</v>
      </c>
      <c r="C1764" s="217" t="s">
        <v>1011</v>
      </c>
      <c r="D1764" s="120"/>
      <c r="E1764" s="45">
        <f t="shared" si="92"/>
        <v>0</v>
      </c>
      <c r="F1764" s="127">
        <f t="shared" si="93"/>
        <v>0</v>
      </c>
      <c r="G1764" s="151">
        <f>'Etude de cas n°1'!D1764</f>
        <v>0</v>
      </c>
      <c r="H1764" s="236"/>
      <c r="I1764" s="236"/>
      <c r="J1764" s="236"/>
      <c r="K1764" s="236"/>
      <c r="L1764" s="236"/>
      <c r="M1764" s="236"/>
      <c r="N1764" s="236"/>
    </row>
    <row r="1765" spans="1:14" s="93" customFormat="1" ht="13.2" x14ac:dyDescent="0.25">
      <c r="A1765" s="235" t="s">
        <v>3918</v>
      </c>
      <c r="B1765" s="223" t="s">
        <v>3919</v>
      </c>
      <c r="C1765" s="217"/>
      <c r="D1765" s="120"/>
      <c r="E1765" s="45"/>
      <c r="F1765" s="127"/>
      <c r="G1765" s="151"/>
      <c r="H1765" s="236"/>
      <c r="I1765" s="236"/>
      <c r="J1765" s="236"/>
      <c r="K1765" s="236"/>
      <c r="L1765" s="236"/>
      <c r="M1765" s="236"/>
      <c r="N1765" s="236"/>
    </row>
    <row r="1766" spans="1:14" s="93" customFormat="1" ht="13.2" x14ac:dyDescent="0.25">
      <c r="A1766" s="235" t="s">
        <v>3920</v>
      </c>
      <c r="B1766" s="223" t="s">
        <v>3889</v>
      </c>
      <c r="C1766" s="217" t="s">
        <v>1011</v>
      </c>
      <c r="D1766" s="120"/>
      <c r="E1766" s="45">
        <f t="shared" si="92"/>
        <v>0</v>
      </c>
      <c r="F1766" s="127">
        <f t="shared" si="93"/>
        <v>0</v>
      </c>
      <c r="G1766" s="151">
        <f>'Etude de cas n°1'!D1766</f>
        <v>0</v>
      </c>
      <c r="H1766" s="236"/>
      <c r="I1766" s="236"/>
      <c r="J1766" s="236"/>
      <c r="K1766" s="236"/>
      <c r="L1766" s="236"/>
      <c r="M1766" s="236"/>
      <c r="N1766" s="236"/>
    </row>
    <row r="1767" spans="1:14" s="93" customFormat="1" ht="13.2" x14ac:dyDescent="0.25">
      <c r="A1767" s="235" t="s">
        <v>3921</v>
      </c>
      <c r="B1767" s="223" t="s">
        <v>3891</v>
      </c>
      <c r="C1767" s="217" t="s">
        <v>1011</v>
      </c>
      <c r="D1767" s="120"/>
      <c r="E1767" s="45">
        <f t="shared" si="92"/>
        <v>0</v>
      </c>
      <c r="F1767" s="127">
        <f t="shared" si="93"/>
        <v>0</v>
      </c>
      <c r="G1767" s="151">
        <f>'Etude de cas n°1'!D1767</f>
        <v>0</v>
      </c>
      <c r="H1767" s="236"/>
      <c r="I1767" s="236"/>
      <c r="J1767" s="236"/>
      <c r="K1767" s="236"/>
      <c r="L1767" s="236"/>
      <c r="M1767" s="236"/>
      <c r="N1767" s="236"/>
    </row>
    <row r="1768" spans="1:14" s="93" customFormat="1" ht="13.2" x14ac:dyDescent="0.25">
      <c r="A1768" s="235" t="s">
        <v>3922</v>
      </c>
      <c r="B1768" s="223" t="s">
        <v>3893</v>
      </c>
      <c r="C1768" s="217" t="s">
        <v>1011</v>
      </c>
      <c r="D1768" s="120"/>
      <c r="E1768" s="45">
        <f t="shared" si="92"/>
        <v>0</v>
      </c>
      <c r="F1768" s="127">
        <f t="shared" si="93"/>
        <v>0</v>
      </c>
      <c r="G1768" s="151">
        <f>'Etude de cas n°1'!D1768</f>
        <v>0</v>
      </c>
      <c r="H1768" s="236"/>
      <c r="I1768" s="236"/>
      <c r="J1768" s="236"/>
      <c r="K1768" s="236"/>
      <c r="L1768" s="236"/>
      <c r="M1768" s="236"/>
      <c r="N1768" s="236"/>
    </row>
    <row r="1769" spans="1:14" s="93" customFormat="1" ht="13.2" x14ac:dyDescent="0.25">
      <c r="A1769" s="235" t="s">
        <v>3923</v>
      </c>
      <c r="B1769" s="223" t="s">
        <v>3895</v>
      </c>
      <c r="C1769" s="217" t="s">
        <v>1011</v>
      </c>
      <c r="D1769" s="120"/>
      <c r="E1769" s="45">
        <f t="shared" si="92"/>
        <v>0</v>
      </c>
      <c r="F1769" s="127">
        <f t="shared" si="93"/>
        <v>0</v>
      </c>
      <c r="G1769" s="151">
        <f>'Etude de cas n°1'!D1769</f>
        <v>0</v>
      </c>
      <c r="H1769" s="236"/>
      <c r="I1769" s="236"/>
      <c r="J1769" s="236"/>
      <c r="K1769" s="236"/>
      <c r="L1769" s="236"/>
      <c r="M1769" s="236"/>
      <c r="N1769" s="236"/>
    </row>
    <row r="1770" spans="1:14" s="93" customFormat="1" ht="13.2" x14ac:dyDescent="0.25">
      <c r="A1770" s="235" t="s">
        <v>3924</v>
      </c>
      <c r="B1770" s="223" t="s">
        <v>3885</v>
      </c>
      <c r="C1770" s="217" t="s">
        <v>1011</v>
      </c>
      <c r="D1770" s="120"/>
      <c r="E1770" s="45">
        <f t="shared" si="92"/>
        <v>0</v>
      </c>
      <c r="F1770" s="127">
        <f t="shared" si="93"/>
        <v>0</v>
      </c>
      <c r="G1770" s="151">
        <f>'Etude de cas n°1'!D1770</f>
        <v>0</v>
      </c>
      <c r="H1770" s="236"/>
      <c r="I1770" s="236"/>
      <c r="J1770" s="236"/>
      <c r="K1770" s="236"/>
      <c r="L1770" s="236"/>
      <c r="M1770" s="236"/>
      <c r="N1770" s="236"/>
    </row>
    <row r="1771" spans="1:14" s="93" customFormat="1" ht="26.4" x14ac:dyDescent="0.25">
      <c r="A1771" s="235" t="s">
        <v>3925</v>
      </c>
      <c r="B1771" s="223" t="s">
        <v>3926</v>
      </c>
      <c r="C1771" s="217"/>
      <c r="D1771" s="120"/>
      <c r="E1771" s="45"/>
      <c r="F1771" s="127"/>
      <c r="G1771" s="151"/>
      <c r="H1771" s="236"/>
      <c r="I1771" s="236"/>
      <c r="J1771" s="236"/>
      <c r="K1771" s="236"/>
      <c r="L1771" s="236"/>
      <c r="M1771" s="236"/>
      <c r="N1771" s="236"/>
    </row>
    <row r="1772" spans="1:14" s="93" customFormat="1" ht="13.2" x14ac:dyDescent="0.25">
      <c r="A1772" s="235" t="s">
        <v>3927</v>
      </c>
      <c r="B1772" s="223" t="s">
        <v>3928</v>
      </c>
      <c r="C1772" s="217" t="s">
        <v>1011</v>
      </c>
      <c r="D1772" s="120"/>
      <c r="E1772" s="45">
        <f t="shared" si="92"/>
        <v>0</v>
      </c>
      <c r="F1772" s="127">
        <f t="shared" si="93"/>
        <v>0</v>
      </c>
      <c r="G1772" s="151">
        <f>'Etude de cas n°1'!D1772</f>
        <v>0</v>
      </c>
      <c r="H1772" s="236"/>
      <c r="I1772" s="236"/>
      <c r="J1772" s="236"/>
      <c r="K1772" s="236"/>
      <c r="L1772" s="236"/>
      <c r="M1772" s="236"/>
      <c r="N1772" s="236"/>
    </row>
    <row r="1773" spans="1:14" s="93" customFormat="1" ht="13.2" x14ac:dyDescent="0.25">
      <c r="A1773" s="235" t="s">
        <v>3929</v>
      </c>
      <c r="B1773" s="223" t="s">
        <v>3930</v>
      </c>
      <c r="C1773" s="217" t="s">
        <v>1011</v>
      </c>
      <c r="D1773" s="120"/>
      <c r="E1773" s="45">
        <f t="shared" si="92"/>
        <v>0</v>
      </c>
      <c r="F1773" s="127">
        <f t="shared" si="93"/>
        <v>0</v>
      </c>
      <c r="G1773" s="151">
        <f>'Etude de cas n°1'!D1773</f>
        <v>0</v>
      </c>
      <c r="H1773" s="236"/>
      <c r="I1773" s="236"/>
      <c r="J1773" s="236"/>
      <c r="K1773" s="236"/>
      <c r="L1773" s="236"/>
      <c r="M1773" s="236"/>
      <c r="N1773" s="236"/>
    </row>
    <row r="1774" spans="1:14" s="93" customFormat="1" ht="13.2" x14ac:dyDescent="0.25">
      <c r="A1774" s="235" t="s">
        <v>3931</v>
      </c>
      <c r="B1774" s="223" t="s">
        <v>3932</v>
      </c>
      <c r="C1774" s="217" t="s">
        <v>1011</v>
      </c>
      <c r="D1774" s="120"/>
      <c r="E1774" s="45">
        <f t="shared" si="92"/>
        <v>0</v>
      </c>
      <c r="F1774" s="127">
        <f t="shared" si="93"/>
        <v>0</v>
      </c>
      <c r="G1774" s="151">
        <f>'Etude de cas n°1'!D1774</f>
        <v>0</v>
      </c>
      <c r="H1774" s="236"/>
      <c r="I1774" s="236"/>
      <c r="J1774" s="236"/>
      <c r="K1774" s="236"/>
      <c r="L1774" s="236"/>
      <c r="M1774" s="236"/>
      <c r="N1774" s="236"/>
    </row>
    <row r="1775" spans="1:14" s="106" customFormat="1" ht="13.2" x14ac:dyDescent="0.25">
      <c r="A1775" s="235" t="s">
        <v>3933</v>
      </c>
      <c r="B1775" s="223" t="s">
        <v>3934</v>
      </c>
      <c r="C1775" s="217" t="s">
        <v>1011</v>
      </c>
      <c r="D1775" s="120"/>
      <c r="E1775" s="45">
        <f t="shared" si="92"/>
        <v>0</v>
      </c>
      <c r="F1775" s="127">
        <f t="shared" si="93"/>
        <v>0</v>
      </c>
      <c r="G1775" s="151">
        <f>'Etude de cas n°1'!D1775</f>
        <v>0</v>
      </c>
      <c r="H1775" s="183"/>
      <c r="I1775" s="183"/>
      <c r="J1775" s="183"/>
      <c r="K1775" s="183"/>
      <c r="L1775" s="183"/>
      <c r="M1775" s="183"/>
      <c r="N1775" s="183"/>
    </row>
    <row r="1776" spans="1:14" s="55" customFormat="1" ht="13.2" x14ac:dyDescent="0.25">
      <c r="A1776" s="235" t="s">
        <v>3935</v>
      </c>
      <c r="B1776" s="223" t="s">
        <v>3936</v>
      </c>
      <c r="C1776" s="217" t="s">
        <v>1011</v>
      </c>
      <c r="D1776" s="120"/>
      <c r="E1776" s="45">
        <f t="shared" si="92"/>
        <v>0</v>
      </c>
      <c r="F1776" s="127">
        <f t="shared" si="93"/>
        <v>0</v>
      </c>
      <c r="G1776" s="151">
        <f>'Etude de cas n°1'!D1776</f>
        <v>0</v>
      </c>
    </row>
    <row r="1777" spans="1:14" s="55" customFormat="1" ht="13.2" x14ac:dyDescent="0.25">
      <c r="A1777" s="28" t="s">
        <v>3937</v>
      </c>
      <c r="B1777" s="6" t="s">
        <v>3938</v>
      </c>
      <c r="C1777" s="217"/>
      <c r="D1777" s="120"/>
      <c r="E1777" s="45"/>
      <c r="F1777" s="127"/>
      <c r="G1777" s="151"/>
    </row>
    <row r="1778" spans="1:14" s="55" customFormat="1" ht="13.2" x14ac:dyDescent="0.25">
      <c r="A1778" s="235" t="s">
        <v>3939</v>
      </c>
      <c r="B1778" s="223" t="s">
        <v>3940</v>
      </c>
      <c r="C1778" s="217" t="s">
        <v>1011</v>
      </c>
      <c r="D1778" s="120"/>
      <c r="E1778" s="45">
        <f t="shared" si="92"/>
        <v>0</v>
      </c>
      <c r="F1778" s="127">
        <f t="shared" si="93"/>
        <v>0</v>
      </c>
      <c r="G1778" s="151">
        <f>'Etude de cas n°1'!D1778</f>
        <v>0</v>
      </c>
    </row>
    <row r="1779" spans="1:14" s="55" customFormat="1" ht="13.2" x14ac:dyDescent="0.25">
      <c r="A1779" s="235" t="s">
        <v>3941</v>
      </c>
      <c r="B1779" s="223" t="s">
        <v>3942</v>
      </c>
      <c r="C1779" s="217" t="s">
        <v>1011</v>
      </c>
      <c r="D1779" s="120"/>
      <c r="E1779" s="45">
        <f t="shared" si="92"/>
        <v>0</v>
      </c>
      <c r="F1779" s="127">
        <f t="shared" si="93"/>
        <v>0</v>
      </c>
      <c r="G1779" s="151">
        <f>'Etude de cas n°1'!D1779</f>
        <v>0</v>
      </c>
    </row>
    <row r="1780" spans="1:14" s="55" customFormat="1" ht="25.95" customHeight="1" x14ac:dyDescent="0.25">
      <c r="A1780" s="235" t="s">
        <v>3943</v>
      </c>
      <c r="B1780" s="223" t="s">
        <v>3944</v>
      </c>
      <c r="C1780" s="217" t="s">
        <v>1011</v>
      </c>
      <c r="D1780" s="120"/>
      <c r="E1780" s="45">
        <f t="shared" si="92"/>
        <v>0</v>
      </c>
      <c r="F1780" s="127">
        <f t="shared" si="93"/>
        <v>0</v>
      </c>
      <c r="G1780" s="151">
        <f>'Etude de cas n°1'!D1780</f>
        <v>0</v>
      </c>
    </row>
    <row r="1781" spans="1:14" s="55" customFormat="1" ht="13.2" x14ac:dyDescent="0.25">
      <c r="A1781" s="28" t="s">
        <v>3945</v>
      </c>
      <c r="B1781" s="6" t="s">
        <v>3946</v>
      </c>
      <c r="C1781" s="217"/>
      <c r="D1781" s="120"/>
      <c r="E1781" s="45"/>
      <c r="F1781" s="127"/>
      <c r="G1781" s="151"/>
    </row>
    <row r="1782" spans="1:14" s="55" customFormat="1" ht="13.2" x14ac:dyDescent="0.25">
      <c r="A1782" s="235" t="s">
        <v>3947</v>
      </c>
      <c r="B1782" s="223" t="s">
        <v>3948</v>
      </c>
      <c r="C1782" s="217" t="s">
        <v>1011</v>
      </c>
      <c r="D1782" s="120"/>
      <c r="E1782" s="45">
        <f t="shared" si="92"/>
        <v>0</v>
      </c>
      <c r="F1782" s="127">
        <f t="shared" si="93"/>
        <v>0</v>
      </c>
      <c r="G1782" s="151">
        <f>'Etude de cas n°1'!D1782</f>
        <v>0</v>
      </c>
    </row>
    <row r="1783" spans="1:14" s="55" customFormat="1" ht="13.2" x14ac:dyDescent="0.25">
      <c r="A1783" s="235" t="s">
        <v>3949</v>
      </c>
      <c r="B1783" s="223" t="s">
        <v>3950</v>
      </c>
      <c r="C1783" s="217"/>
      <c r="D1783" s="120"/>
      <c r="E1783" s="45"/>
      <c r="F1783" s="127"/>
      <c r="G1783" s="151"/>
    </row>
    <row r="1784" spans="1:14" s="55" customFormat="1" ht="13.2" x14ac:dyDescent="0.25">
      <c r="A1784" s="235" t="s">
        <v>3951</v>
      </c>
      <c r="B1784" s="223" t="s">
        <v>3952</v>
      </c>
      <c r="C1784" s="217" t="s">
        <v>1011</v>
      </c>
      <c r="D1784" s="120"/>
      <c r="E1784" s="45">
        <f t="shared" si="92"/>
        <v>0</v>
      </c>
      <c r="F1784" s="127">
        <f t="shared" si="93"/>
        <v>0</v>
      </c>
      <c r="G1784" s="151">
        <f>'Etude de cas n°1'!D1784</f>
        <v>0</v>
      </c>
    </row>
    <row r="1785" spans="1:14" s="55" customFormat="1" ht="13.2" x14ac:dyDescent="0.25">
      <c r="A1785" s="235" t="s">
        <v>3953</v>
      </c>
      <c r="B1785" s="223" t="s">
        <v>3954</v>
      </c>
      <c r="C1785" s="217" t="s">
        <v>1011</v>
      </c>
      <c r="D1785" s="120"/>
      <c r="E1785" s="45">
        <f t="shared" si="92"/>
        <v>0</v>
      </c>
      <c r="F1785" s="127">
        <f t="shared" si="93"/>
        <v>0</v>
      </c>
      <c r="G1785" s="151">
        <f>'Etude de cas n°1'!D1785</f>
        <v>0</v>
      </c>
    </row>
    <row r="1786" spans="1:14" s="55" customFormat="1" ht="13.2" x14ac:dyDescent="0.25">
      <c r="A1786" s="235" t="s">
        <v>3955</v>
      </c>
      <c r="B1786" s="223" t="s">
        <v>3956</v>
      </c>
      <c r="C1786" s="217" t="s">
        <v>1011</v>
      </c>
      <c r="D1786" s="120"/>
      <c r="E1786" s="45">
        <f t="shared" si="92"/>
        <v>0</v>
      </c>
      <c r="F1786" s="127">
        <f t="shared" si="93"/>
        <v>0</v>
      </c>
      <c r="G1786" s="151">
        <f>'Etude de cas n°1'!D1786</f>
        <v>0</v>
      </c>
    </row>
    <row r="1787" spans="1:14" s="106" customFormat="1" ht="13.2" x14ac:dyDescent="0.25">
      <c r="A1787" s="235" t="s">
        <v>3957</v>
      </c>
      <c r="B1787" s="223" t="s">
        <v>3958</v>
      </c>
      <c r="C1787" s="217" t="s">
        <v>1011</v>
      </c>
      <c r="D1787" s="120"/>
      <c r="E1787" s="45">
        <f t="shared" si="92"/>
        <v>0</v>
      </c>
      <c r="F1787" s="127">
        <f t="shared" si="93"/>
        <v>0</v>
      </c>
      <c r="G1787" s="151">
        <f>'Etude de cas n°1'!D1787</f>
        <v>0</v>
      </c>
      <c r="H1787" s="183"/>
      <c r="I1787" s="183"/>
      <c r="J1787" s="183"/>
      <c r="K1787" s="183"/>
      <c r="L1787" s="183"/>
      <c r="M1787" s="183"/>
      <c r="N1787" s="183"/>
    </row>
    <row r="1788" spans="1:14" s="93" customFormat="1" ht="13.2" x14ac:dyDescent="0.25">
      <c r="A1788" s="28" t="s">
        <v>3959</v>
      </c>
      <c r="B1788" s="6" t="s">
        <v>3960</v>
      </c>
      <c r="C1788" s="217"/>
      <c r="D1788" s="120"/>
      <c r="E1788" s="45"/>
      <c r="F1788" s="127"/>
      <c r="G1788" s="151"/>
      <c r="H1788" s="236"/>
      <c r="I1788" s="236"/>
      <c r="J1788" s="236"/>
      <c r="K1788" s="236"/>
      <c r="L1788" s="236"/>
      <c r="M1788" s="236"/>
      <c r="N1788" s="236"/>
    </row>
    <row r="1789" spans="1:14" s="93" customFormat="1" ht="13.2" x14ac:dyDescent="0.25">
      <c r="A1789" s="235" t="s">
        <v>3961</v>
      </c>
      <c r="B1789" s="223" t="s">
        <v>3962</v>
      </c>
      <c r="C1789" s="217"/>
      <c r="D1789" s="120"/>
      <c r="E1789" s="45"/>
      <c r="F1789" s="127"/>
      <c r="G1789" s="151"/>
      <c r="H1789" s="236"/>
      <c r="I1789" s="236"/>
      <c r="J1789" s="236"/>
      <c r="K1789" s="236"/>
      <c r="L1789" s="236"/>
      <c r="M1789" s="236"/>
      <c r="N1789" s="236"/>
    </row>
    <row r="1790" spans="1:14" s="93" customFormat="1" ht="13.2" x14ac:dyDescent="0.25">
      <c r="A1790" s="235" t="s">
        <v>3963</v>
      </c>
      <c r="B1790" s="223" t="s">
        <v>3964</v>
      </c>
      <c r="C1790" s="217" t="s">
        <v>984</v>
      </c>
      <c r="D1790" s="120"/>
      <c r="E1790" s="45">
        <f t="shared" si="92"/>
        <v>0</v>
      </c>
      <c r="F1790" s="127">
        <f t="shared" si="93"/>
        <v>0</v>
      </c>
      <c r="G1790" s="151">
        <f>'Etude de cas n°1'!D1790</f>
        <v>0</v>
      </c>
      <c r="H1790" s="236"/>
      <c r="I1790" s="236"/>
      <c r="J1790" s="236"/>
      <c r="K1790" s="236"/>
      <c r="L1790" s="236"/>
      <c r="M1790" s="236"/>
      <c r="N1790" s="236"/>
    </row>
    <row r="1791" spans="1:14" s="93" customFormat="1" ht="13.2" x14ac:dyDescent="0.25">
      <c r="A1791" s="235" t="s">
        <v>3965</v>
      </c>
      <c r="B1791" s="223" t="s">
        <v>3966</v>
      </c>
      <c r="C1791" s="217" t="s">
        <v>984</v>
      </c>
      <c r="D1791" s="120"/>
      <c r="E1791" s="45">
        <f t="shared" si="92"/>
        <v>0</v>
      </c>
      <c r="F1791" s="127">
        <f t="shared" si="93"/>
        <v>0</v>
      </c>
      <c r="G1791" s="151">
        <f>'Etude de cas n°1'!D1791</f>
        <v>0</v>
      </c>
      <c r="H1791" s="236"/>
      <c r="I1791" s="236"/>
      <c r="J1791" s="236"/>
      <c r="K1791" s="236"/>
      <c r="L1791" s="236"/>
      <c r="M1791" s="236"/>
      <c r="N1791" s="236"/>
    </row>
    <row r="1792" spans="1:14" s="93" customFormat="1" ht="13.2" x14ac:dyDescent="0.25">
      <c r="A1792" s="235" t="s">
        <v>3967</v>
      </c>
      <c r="B1792" s="223" t="s">
        <v>3968</v>
      </c>
      <c r="C1792" s="217" t="s">
        <v>984</v>
      </c>
      <c r="D1792" s="120"/>
      <c r="E1792" s="45">
        <f t="shared" si="92"/>
        <v>0</v>
      </c>
      <c r="F1792" s="127">
        <f t="shared" si="93"/>
        <v>0</v>
      </c>
      <c r="G1792" s="151">
        <f>'Etude de cas n°1'!D1792</f>
        <v>0</v>
      </c>
      <c r="H1792" s="236"/>
      <c r="I1792" s="236"/>
      <c r="J1792" s="236"/>
      <c r="K1792" s="236"/>
      <c r="L1792" s="236"/>
      <c r="M1792" s="236"/>
      <c r="N1792" s="236"/>
    </row>
    <row r="1793" spans="1:14" s="106" customFormat="1" ht="13.2" x14ac:dyDescent="0.25">
      <c r="A1793" s="235" t="s">
        <v>3969</v>
      </c>
      <c r="B1793" s="223" t="s">
        <v>3970</v>
      </c>
      <c r="C1793" s="217" t="s">
        <v>984</v>
      </c>
      <c r="D1793" s="120"/>
      <c r="E1793" s="45">
        <f t="shared" si="92"/>
        <v>0</v>
      </c>
      <c r="F1793" s="127">
        <f t="shared" si="93"/>
        <v>0</v>
      </c>
      <c r="G1793" s="151">
        <f>'Etude de cas n°1'!D1793</f>
        <v>0</v>
      </c>
      <c r="H1793" s="183"/>
      <c r="I1793" s="183"/>
      <c r="J1793" s="183"/>
      <c r="K1793" s="183"/>
      <c r="L1793" s="183"/>
      <c r="M1793" s="183"/>
      <c r="N1793" s="183"/>
    </row>
    <row r="1794" spans="1:14" s="106" customFormat="1" ht="13.2" x14ac:dyDescent="0.25">
      <c r="A1794" s="235" t="s">
        <v>3971</v>
      </c>
      <c r="B1794" s="223" t="s">
        <v>3972</v>
      </c>
      <c r="C1794" s="217" t="s">
        <v>984</v>
      </c>
      <c r="D1794" s="120"/>
      <c r="E1794" s="45">
        <f t="shared" si="92"/>
        <v>0</v>
      </c>
      <c r="F1794" s="127">
        <f t="shared" si="93"/>
        <v>0</v>
      </c>
      <c r="G1794" s="151">
        <f>'Etude de cas n°1'!D1794</f>
        <v>0</v>
      </c>
      <c r="H1794" s="183"/>
      <c r="I1794" s="183"/>
      <c r="J1794" s="183"/>
      <c r="K1794" s="183"/>
      <c r="L1794" s="183"/>
      <c r="M1794" s="183"/>
      <c r="N1794" s="183"/>
    </row>
    <row r="1795" spans="1:14" s="106" customFormat="1" ht="13.2" x14ac:dyDescent="0.25">
      <c r="A1795" s="235" t="s">
        <v>3973</v>
      </c>
      <c r="B1795" s="223" t="s">
        <v>3974</v>
      </c>
      <c r="C1795" s="217" t="s">
        <v>984</v>
      </c>
      <c r="D1795" s="120"/>
      <c r="E1795" s="45">
        <f t="shared" si="92"/>
        <v>0</v>
      </c>
      <c r="F1795" s="127">
        <f t="shared" si="93"/>
        <v>0</v>
      </c>
      <c r="G1795" s="151">
        <f>'Etude de cas n°1'!D1795</f>
        <v>0</v>
      </c>
      <c r="H1795" s="183"/>
      <c r="I1795" s="183"/>
      <c r="J1795" s="183"/>
      <c r="K1795" s="183"/>
      <c r="L1795" s="183"/>
      <c r="M1795" s="183"/>
      <c r="N1795" s="183"/>
    </row>
    <row r="1796" spans="1:14" s="106" customFormat="1" ht="13.2" x14ac:dyDescent="0.25">
      <c r="A1796" s="235" t="s">
        <v>3975</v>
      </c>
      <c r="B1796" s="223" t="s">
        <v>3976</v>
      </c>
      <c r="C1796" s="217"/>
      <c r="D1796" s="120"/>
      <c r="E1796" s="45"/>
      <c r="F1796" s="127"/>
      <c r="G1796" s="151"/>
      <c r="H1796" s="183"/>
      <c r="I1796" s="183"/>
      <c r="J1796" s="183"/>
      <c r="K1796" s="183"/>
      <c r="L1796" s="183"/>
      <c r="M1796" s="183"/>
      <c r="N1796" s="183"/>
    </row>
    <row r="1797" spans="1:14" s="106" customFormat="1" ht="13.2" x14ac:dyDescent="0.25">
      <c r="A1797" s="235" t="s">
        <v>3977</v>
      </c>
      <c r="B1797" s="223" t="s">
        <v>3978</v>
      </c>
      <c r="C1797" s="217" t="s">
        <v>1034</v>
      </c>
      <c r="D1797" s="120"/>
      <c r="E1797" s="45">
        <f t="shared" si="92"/>
        <v>0</v>
      </c>
      <c r="F1797" s="127">
        <f t="shared" si="93"/>
        <v>0</v>
      </c>
      <c r="G1797" s="151">
        <f>'Etude de cas n°1'!D1797</f>
        <v>0</v>
      </c>
      <c r="H1797" s="183"/>
      <c r="I1797" s="183"/>
      <c r="J1797" s="183"/>
      <c r="K1797" s="183"/>
      <c r="L1797" s="183"/>
      <c r="M1797" s="183"/>
      <c r="N1797" s="183"/>
    </row>
    <row r="1798" spans="1:14" s="106" customFormat="1" ht="13.2" x14ac:dyDescent="0.25">
      <c r="A1798" s="235" t="s">
        <v>3979</v>
      </c>
      <c r="B1798" s="223" t="s">
        <v>3980</v>
      </c>
      <c r="C1798" s="217" t="s">
        <v>1034</v>
      </c>
      <c r="D1798" s="120"/>
      <c r="E1798" s="45">
        <f t="shared" si="92"/>
        <v>0</v>
      </c>
      <c r="F1798" s="127">
        <f t="shared" si="93"/>
        <v>0</v>
      </c>
      <c r="G1798" s="151">
        <f>'Etude de cas n°1'!D1798</f>
        <v>0</v>
      </c>
      <c r="H1798" s="183"/>
      <c r="I1798" s="183"/>
      <c r="J1798" s="183"/>
      <c r="K1798" s="183"/>
      <c r="L1798" s="183"/>
      <c r="M1798" s="183"/>
      <c r="N1798" s="183"/>
    </row>
    <row r="1799" spans="1:14" s="106" customFormat="1" ht="12.75" customHeight="1" x14ac:dyDescent="0.25">
      <c r="A1799" s="235" t="s">
        <v>3981</v>
      </c>
      <c r="B1799" s="223" t="s">
        <v>3982</v>
      </c>
      <c r="C1799" s="217" t="s">
        <v>1034</v>
      </c>
      <c r="D1799" s="120"/>
      <c r="E1799" s="45">
        <f t="shared" si="92"/>
        <v>0</v>
      </c>
      <c r="F1799" s="127">
        <f t="shared" si="93"/>
        <v>0</v>
      </c>
      <c r="G1799" s="151">
        <f>'Etude de cas n°1'!D1799</f>
        <v>0</v>
      </c>
      <c r="H1799" s="183"/>
      <c r="I1799" s="183"/>
      <c r="J1799" s="183"/>
      <c r="K1799" s="183"/>
      <c r="L1799" s="183"/>
      <c r="M1799" s="183"/>
      <c r="N1799" s="183"/>
    </row>
    <row r="1800" spans="1:14" s="106" customFormat="1" ht="12.75" customHeight="1" x14ac:dyDescent="0.25">
      <c r="A1800" s="235" t="s">
        <v>3983</v>
      </c>
      <c r="B1800" s="223" t="s">
        <v>3984</v>
      </c>
      <c r="C1800" s="217"/>
      <c r="D1800" s="120"/>
      <c r="E1800" s="45"/>
      <c r="F1800" s="127"/>
      <c r="G1800" s="151"/>
      <c r="H1800" s="183"/>
      <c r="I1800" s="183"/>
      <c r="J1800" s="183"/>
      <c r="K1800" s="183"/>
      <c r="L1800" s="183"/>
      <c r="M1800" s="183"/>
      <c r="N1800" s="183"/>
    </row>
    <row r="1801" spans="1:14" s="106" customFormat="1" ht="13.2" x14ac:dyDescent="0.25">
      <c r="A1801" s="235" t="s">
        <v>3985</v>
      </c>
      <c r="B1801" s="223" t="s">
        <v>3986</v>
      </c>
      <c r="C1801" s="217" t="s">
        <v>1034</v>
      </c>
      <c r="D1801" s="120"/>
      <c r="E1801" s="45">
        <f t="shared" ref="E1801:E1817" si="94">G1801</f>
        <v>0</v>
      </c>
      <c r="F1801" s="127">
        <f t="shared" ref="F1801:F1816" si="95">D1801*E1801</f>
        <v>0</v>
      </c>
      <c r="G1801" s="151">
        <f>'Etude de cas n°1'!D1801</f>
        <v>0</v>
      </c>
      <c r="H1801" s="183"/>
      <c r="I1801" s="183"/>
      <c r="J1801" s="183"/>
      <c r="K1801" s="183"/>
      <c r="L1801" s="183"/>
      <c r="M1801" s="183"/>
      <c r="N1801" s="183"/>
    </row>
    <row r="1802" spans="1:14" s="106" customFormat="1" ht="12.75" customHeight="1" x14ac:dyDescent="0.25">
      <c r="A1802" s="235" t="s">
        <v>3987</v>
      </c>
      <c r="B1802" s="223" t="s">
        <v>3988</v>
      </c>
      <c r="C1802" s="217" t="s">
        <v>1034</v>
      </c>
      <c r="D1802" s="120"/>
      <c r="E1802" s="45">
        <f t="shared" si="94"/>
        <v>0</v>
      </c>
      <c r="F1802" s="127">
        <f t="shared" si="95"/>
        <v>0</v>
      </c>
      <c r="G1802" s="151">
        <f>'Etude de cas n°1'!D1802</f>
        <v>0</v>
      </c>
      <c r="H1802" s="183"/>
      <c r="I1802" s="183"/>
      <c r="J1802" s="183"/>
      <c r="K1802" s="183"/>
      <c r="L1802" s="183"/>
      <c r="M1802" s="183"/>
      <c r="N1802" s="183"/>
    </row>
    <row r="1803" spans="1:14" s="106" customFormat="1" ht="13.2" x14ac:dyDescent="0.25">
      <c r="A1803" s="235" t="s">
        <v>3989</v>
      </c>
      <c r="B1803" s="223" t="s">
        <v>3990</v>
      </c>
      <c r="C1803" s="217" t="s">
        <v>1034</v>
      </c>
      <c r="D1803" s="120"/>
      <c r="E1803" s="45">
        <f t="shared" si="94"/>
        <v>0</v>
      </c>
      <c r="F1803" s="127">
        <f t="shared" si="95"/>
        <v>0</v>
      </c>
      <c r="G1803" s="151">
        <f>'Etude de cas n°1'!D1803</f>
        <v>0</v>
      </c>
      <c r="H1803" s="183"/>
      <c r="I1803" s="183"/>
      <c r="J1803" s="183"/>
      <c r="K1803" s="183"/>
      <c r="L1803" s="183"/>
      <c r="M1803" s="183"/>
      <c r="N1803" s="183"/>
    </row>
    <row r="1804" spans="1:14" s="106" customFormat="1" ht="13.2" x14ac:dyDescent="0.25">
      <c r="A1804" s="235" t="s">
        <v>3991</v>
      </c>
      <c r="B1804" s="223" t="s">
        <v>3992</v>
      </c>
      <c r="C1804" s="217" t="s">
        <v>1034</v>
      </c>
      <c r="D1804" s="120"/>
      <c r="E1804" s="45">
        <f t="shared" si="94"/>
        <v>0</v>
      </c>
      <c r="F1804" s="127">
        <f t="shared" si="95"/>
        <v>0</v>
      </c>
      <c r="G1804" s="151">
        <f>'Etude de cas n°1'!D1804</f>
        <v>0</v>
      </c>
      <c r="H1804" s="183"/>
      <c r="I1804" s="183"/>
      <c r="J1804" s="183"/>
      <c r="K1804" s="183"/>
      <c r="L1804" s="183"/>
      <c r="M1804" s="183"/>
      <c r="N1804" s="183"/>
    </row>
    <row r="1805" spans="1:14" s="106" customFormat="1" ht="13.2" x14ac:dyDescent="0.25">
      <c r="A1805" s="235" t="s">
        <v>3993</v>
      </c>
      <c r="B1805" s="223" t="s">
        <v>3994</v>
      </c>
      <c r="C1805" s="217" t="s">
        <v>1034</v>
      </c>
      <c r="D1805" s="120"/>
      <c r="E1805" s="45">
        <f t="shared" si="94"/>
        <v>0</v>
      </c>
      <c r="F1805" s="127">
        <f t="shared" si="95"/>
        <v>0</v>
      </c>
      <c r="G1805" s="151">
        <f>'Etude de cas n°1'!D1805</f>
        <v>0</v>
      </c>
      <c r="H1805" s="183"/>
      <c r="I1805" s="183"/>
      <c r="J1805" s="183"/>
      <c r="K1805" s="183"/>
      <c r="L1805" s="183"/>
      <c r="M1805" s="183"/>
      <c r="N1805" s="183"/>
    </row>
    <row r="1806" spans="1:14" s="106" customFormat="1" ht="13.2" x14ac:dyDescent="0.25">
      <c r="A1806" s="235" t="s">
        <v>3995</v>
      </c>
      <c r="B1806" s="223" t="s">
        <v>3996</v>
      </c>
      <c r="C1806" s="217" t="s">
        <v>1034</v>
      </c>
      <c r="D1806" s="120"/>
      <c r="E1806" s="45">
        <f t="shared" si="94"/>
        <v>0</v>
      </c>
      <c r="F1806" s="127">
        <f t="shared" si="95"/>
        <v>0</v>
      </c>
      <c r="G1806" s="151">
        <f>'Etude de cas n°1'!D1806</f>
        <v>0</v>
      </c>
      <c r="H1806" s="183"/>
      <c r="I1806" s="183"/>
      <c r="J1806" s="183"/>
      <c r="K1806" s="183"/>
      <c r="L1806" s="183"/>
      <c r="M1806" s="183"/>
      <c r="N1806" s="183"/>
    </row>
    <row r="1807" spans="1:14" s="106" customFormat="1" ht="13.2" x14ac:dyDescent="0.25">
      <c r="A1807" s="235" t="s">
        <v>3997</v>
      </c>
      <c r="B1807" s="223" t="s">
        <v>3998</v>
      </c>
      <c r="C1807" s="217" t="s">
        <v>1034</v>
      </c>
      <c r="D1807" s="120"/>
      <c r="E1807" s="45">
        <f t="shared" si="94"/>
        <v>0</v>
      </c>
      <c r="F1807" s="127">
        <f t="shared" si="95"/>
        <v>0</v>
      </c>
      <c r="G1807" s="151">
        <f>'Etude de cas n°1'!D1807</f>
        <v>0</v>
      </c>
      <c r="H1807" s="183"/>
      <c r="I1807" s="183"/>
      <c r="J1807" s="183"/>
      <c r="K1807" s="183"/>
      <c r="L1807" s="183"/>
      <c r="M1807" s="183"/>
      <c r="N1807" s="183"/>
    </row>
    <row r="1808" spans="1:14" s="106" customFormat="1" ht="13.2" x14ac:dyDescent="0.25">
      <c r="A1808" s="28" t="s">
        <v>3999</v>
      </c>
      <c r="B1808" s="6" t="s">
        <v>4000</v>
      </c>
      <c r="C1808" s="217"/>
      <c r="D1808" s="120"/>
      <c r="E1808" s="45"/>
      <c r="F1808" s="127"/>
      <c r="G1808" s="151"/>
      <c r="H1808" s="183"/>
      <c r="I1808" s="183"/>
      <c r="J1808" s="183"/>
      <c r="K1808" s="183"/>
      <c r="L1808" s="183"/>
      <c r="M1808" s="183"/>
      <c r="N1808" s="183"/>
    </row>
    <row r="1809" spans="1:14" s="106" customFormat="1" ht="13.2" x14ac:dyDescent="0.25">
      <c r="A1809" s="235" t="s">
        <v>4001</v>
      </c>
      <c r="B1809" s="223" t="s">
        <v>4002</v>
      </c>
      <c r="C1809" s="217"/>
      <c r="D1809" s="120"/>
      <c r="E1809" s="45"/>
      <c r="F1809" s="127"/>
      <c r="G1809" s="151"/>
      <c r="H1809" s="183"/>
      <c r="I1809" s="183"/>
      <c r="J1809" s="183"/>
      <c r="K1809" s="183"/>
      <c r="L1809" s="183"/>
      <c r="M1809" s="183"/>
      <c r="N1809" s="183"/>
    </row>
    <row r="1810" spans="1:14" s="106" customFormat="1" ht="13.2" x14ac:dyDescent="0.25">
      <c r="A1810" s="235" t="s">
        <v>4003</v>
      </c>
      <c r="B1810" s="223" t="s">
        <v>4004</v>
      </c>
      <c r="C1810" s="217" t="s">
        <v>1141</v>
      </c>
      <c r="D1810" s="120"/>
      <c r="E1810" s="45">
        <f t="shared" si="94"/>
        <v>0</v>
      </c>
      <c r="F1810" s="127">
        <f t="shared" si="95"/>
        <v>0</v>
      </c>
      <c r="G1810" s="151">
        <f>'Etude de cas n°1'!D1810</f>
        <v>0</v>
      </c>
      <c r="H1810" s="183"/>
      <c r="I1810" s="183"/>
      <c r="J1810" s="183"/>
      <c r="K1810" s="183"/>
      <c r="L1810" s="183"/>
      <c r="M1810" s="183"/>
      <c r="N1810" s="183"/>
    </row>
    <row r="1811" spans="1:14" s="106" customFormat="1" ht="13.2" x14ac:dyDescent="0.25">
      <c r="A1811" s="235" t="s">
        <v>4005</v>
      </c>
      <c r="B1811" s="223" t="s">
        <v>4006</v>
      </c>
      <c r="C1811" s="217" t="s">
        <v>1141</v>
      </c>
      <c r="D1811" s="120"/>
      <c r="E1811" s="45">
        <f t="shared" si="94"/>
        <v>0</v>
      </c>
      <c r="F1811" s="127">
        <f t="shared" si="95"/>
        <v>0</v>
      </c>
      <c r="G1811" s="151">
        <f>'Etude de cas n°1'!D1811</f>
        <v>0</v>
      </c>
      <c r="H1811" s="183"/>
      <c r="I1811" s="183"/>
      <c r="J1811" s="183"/>
      <c r="K1811" s="183"/>
      <c r="L1811" s="183"/>
      <c r="M1811" s="183"/>
      <c r="N1811" s="183"/>
    </row>
    <row r="1812" spans="1:14" s="106" customFormat="1" ht="13.2" x14ac:dyDescent="0.25">
      <c r="A1812" s="235" t="s">
        <v>4007</v>
      </c>
      <c r="B1812" s="223" t="s">
        <v>4008</v>
      </c>
      <c r="C1812" s="217" t="s">
        <v>1141</v>
      </c>
      <c r="D1812" s="120"/>
      <c r="E1812" s="45">
        <f t="shared" si="94"/>
        <v>0</v>
      </c>
      <c r="F1812" s="127">
        <f t="shared" si="95"/>
        <v>0</v>
      </c>
      <c r="G1812" s="151">
        <f>'Etude de cas n°1'!D1812</f>
        <v>0</v>
      </c>
      <c r="H1812" s="183"/>
      <c r="I1812" s="183"/>
      <c r="J1812" s="183"/>
      <c r="K1812" s="183"/>
      <c r="L1812" s="183"/>
      <c r="M1812" s="183"/>
      <c r="N1812" s="183"/>
    </row>
    <row r="1813" spans="1:14" s="106" customFormat="1" ht="13.2" x14ac:dyDescent="0.25">
      <c r="A1813" s="235" t="s">
        <v>4009</v>
      </c>
      <c r="B1813" s="223" t="s">
        <v>4010</v>
      </c>
      <c r="C1813" s="217"/>
      <c r="D1813" s="120"/>
      <c r="E1813" s="45"/>
      <c r="F1813" s="127"/>
      <c r="G1813" s="151"/>
      <c r="H1813" s="183"/>
      <c r="I1813" s="183"/>
      <c r="J1813" s="183"/>
      <c r="K1813" s="183"/>
      <c r="L1813" s="183"/>
      <c r="M1813" s="183"/>
      <c r="N1813" s="183"/>
    </row>
    <row r="1814" spans="1:14" s="106" customFormat="1" ht="13.2" x14ac:dyDescent="0.25">
      <c r="A1814" s="235" t="s">
        <v>4011</v>
      </c>
      <c r="B1814" s="223" t="s">
        <v>4004</v>
      </c>
      <c r="C1814" s="217" t="s">
        <v>1141</v>
      </c>
      <c r="D1814" s="120"/>
      <c r="E1814" s="45">
        <f t="shared" si="94"/>
        <v>0</v>
      </c>
      <c r="F1814" s="127">
        <f t="shared" si="95"/>
        <v>0</v>
      </c>
      <c r="G1814" s="151">
        <f>'Etude de cas n°1'!D1814</f>
        <v>0</v>
      </c>
      <c r="H1814" s="183"/>
      <c r="I1814" s="183"/>
      <c r="J1814" s="183"/>
      <c r="K1814" s="183"/>
      <c r="L1814" s="183"/>
      <c r="M1814" s="183"/>
      <c r="N1814" s="183"/>
    </row>
    <row r="1815" spans="1:14" s="106" customFormat="1" ht="13.2" x14ac:dyDescent="0.25">
      <c r="A1815" s="235" t="s">
        <v>4012</v>
      </c>
      <c r="B1815" s="223" t="s">
        <v>4006</v>
      </c>
      <c r="C1815" s="217" t="s">
        <v>1141</v>
      </c>
      <c r="D1815" s="120"/>
      <c r="E1815" s="45">
        <f t="shared" si="94"/>
        <v>0</v>
      </c>
      <c r="F1815" s="127">
        <f t="shared" si="95"/>
        <v>0</v>
      </c>
      <c r="G1815" s="151">
        <f>'Etude de cas n°1'!D1815</f>
        <v>0</v>
      </c>
      <c r="H1815" s="183"/>
      <c r="I1815" s="183"/>
      <c r="J1815" s="183"/>
      <c r="K1815" s="183"/>
      <c r="L1815" s="183"/>
      <c r="M1815" s="183"/>
      <c r="N1815" s="183"/>
    </row>
    <row r="1816" spans="1:14" s="106" customFormat="1" ht="13.2" x14ac:dyDescent="0.25">
      <c r="A1816" s="235" t="s">
        <v>4013</v>
      </c>
      <c r="B1816" s="223" t="s">
        <v>4008</v>
      </c>
      <c r="C1816" s="217" t="s">
        <v>1141</v>
      </c>
      <c r="D1816" s="120"/>
      <c r="E1816" s="45">
        <f t="shared" si="94"/>
        <v>0</v>
      </c>
      <c r="F1816" s="127">
        <f t="shared" si="95"/>
        <v>0</v>
      </c>
      <c r="G1816" s="151">
        <f>'Etude de cas n°1'!D1816</f>
        <v>0</v>
      </c>
      <c r="H1816" s="183"/>
      <c r="I1816" s="183"/>
      <c r="J1816" s="183"/>
      <c r="K1816" s="183"/>
      <c r="L1816" s="183"/>
      <c r="M1816" s="183"/>
      <c r="N1816" s="183"/>
    </row>
    <row r="1817" spans="1:14" ht="13.2" x14ac:dyDescent="0.25">
      <c r="A1817" s="28" t="s">
        <v>4014</v>
      </c>
      <c r="B1817" s="6" t="s">
        <v>4015</v>
      </c>
      <c r="C1817" s="217" t="s">
        <v>1141</v>
      </c>
      <c r="D1817" s="120"/>
      <c r="E1817" s="45">
        <f t="shared" si="94"/>
        <v>0</v>
      </c>
      <c r="F1817" s="127">
        <f>D1817*E1817</f>
        <v>0</v>
      </c>
      <c r="G1817" s="151">
        <f>'Etude de cas n°1'!D1817</f>
        <v>0</v>
      </c>
      <c r="H1817" s="155"/>
      <c r="I1817" s="155"/>
      <c r="J1817" s="155"/>
      <c r="K1817" s="155"/>
      <c r="L1817" s="155"/>
      <c r="M1817" s="155"/>
      <c r="N1817" s="155"/>
    </row>
    <row r="1818" spans="1:14" ht="13.2" x14ac:dyDescent="0.25">
      <c r="A1818" s="202"/>
      <c r="B1818" s="216"/>
      <c r="C1818" s="217"/>
      <c r="D1818" s="136"/>
      <c r="E1818" s="217"/>
      <c r="F1818" s="217"/>
      <c r="H1818" s="155"/>
      <c r="I1818" s="155"/>
      <c r="J1818" s="155"/>
      <c r="K1818" s="155"/>
      <c r="L1818" s="155"/>
      <c r="M1818" s="155"/>
      <c r="N1818" s="155"/>
    </row>
    <row r="1819" spans="1:14" ht="13.2" x14ac:dyDescent="0.25">
      <c r="A1819" s="202"/>
      <c r="B1819" s="122" t="s">
        <v>4016</v>
      </c>
      <c r="C1819" s="217"/>
      <c r="D1819" s="136"/>
      <c r="E1819" s="217"/>
      <c r="F1819" s="158">
        <f>SUM(F1606:F1818)</f>
        <v>0</v>
      </c>
      <c r="H1819" s="155"/>
      <c r="I1819" s="155"/>
      <c r="J1819" s="155"/>
      <c r="K1819" s="155"/>
      <c r="L1819" s="155"/>
      <c r="M1819" s="155"/>
      <c r="N1819" s="155"/>
    </row>
    <row r="1820" spans="1:14" ht="13.2" x14ac:dyDescent="0.25">
      <c r="A1820" s="202"/>
      <c r="B1820" s="122"/>
      <c r="C1820" s="217"/>
      <c r="D1820" s="136"/>
      <c r="E1820" s="217"/>
      <c r="F1820" s="217"/>
      <c r="H1820" s="155"/>
      <c r="I1820" s="155"/>
      <c r="J1820" s="155"/>
      <c r="K1820" s="155"/>
      <c r="L1820" s="155"/>
      <c r="M1820" s="155"/>
      <c r="N1820" s="155"/>
    </row>
    <row r="1821" spans="1:14" ht="13.2" x14ac:dyDescent="0.25">
      <c r="A1821" s="29" t="s">
        <v>4017</v>
      </c>
      <c r="B1821" s="30" t="s">
        <v>4018</v>
      </c>
      <c r="C1821" s="224"/>
      <c r="D1821" s="123"/>
      <c r="E1821" s="224"/>
      <c r="F1821" s="224"/>
      <c r="G1821" s="224"/>
      <c r="H1821" s="155"/>
      <c r="I1821" s="155"/>
      <c r="J1821" s="155"/>
      <c r="K1821" s="155"/>
      <c r="L1821" s="155"/>
      <c r="M1821" s="155"/>
      <c r="N1821" s="155"/>
    </row>
    <row r="1822" spans="1:14" ht="13.2" x14ac:dyDescent="0.25">
      <c r="A1822" s="27" t="s">
        <v>4019</v>
      </c>
      <c r="B1822" s="6" t="s">
        <v>4020</v>
      </c>
      <c r="C1822" s="217"/>
      <c r="D1822" s="136"/>
      <c r="E1822" s="45"/>
      <c r="F1822" s="217"/>
      <c r="H1822" s="155"/>
      <c r="I1822" s="155"/>
      <c r="J1822" s="155"/>
      <c r="K1822" s="155"/>
      <c r="L1822" s="155"/>
      <c r="M1822" s="155"/>
      <c r="N1822" s="155"/>
    </row>
    <row r="1823" spans="1:14" ht="13.2" x14ac:dyDescent="0.25">
      <c r="A1823" s="202" t="s">
        <v>4021</v>
      </c>
      <c r="B1823" s="216" t="s">
        <v>4022</v>
      </c>
      <c r="C1823" s="217" t="s">
        <v>984</v>
      </c>
      <c r="D1823" s="120"/>
      <c r="E1823" s="45">
        <f t="shared" ref="E1823:E1872" si="96">G1823</f>
        <v>2</v>
      </c>
      <c r="F1823" s="127">
        <f>D1823*E1823</f>
        <v>0</v>
      </c>
      <c r="G1823" s="151">
        <f>'Etude de cas n°1'!D1823</f>
        <v>2</v>
      </c>
      <c r="H1823" s="155"/>
      <c r="I1823" s="155"/>
      <c r="J1823" s="155"/>
      <c r="K1823" s="155"/>
      <c r="L1823" s="155"/>
      <c r="M1823" s="155"/>
      <c r="N1823" s="155"/>
    </row>
    <row r="1824" spans="1:14" ht="13.2" x14ac:dyDescent="0.25">
      <c r="A1824" s="202" t="s">
        <v>4023</v>
      </c>
      <c r="B1824" s="216" t="s">
        <v>4024</v>
      </c>
      <c r="C1824" s="217" t="s">
        <v>984</v>
      </c>
      <c r="D1824" s="120"/>
      <c r="E1824" s="45">
        <f t="shared" si="96"/>
        <v>0</v>
      </c>
      <c r="F1824" s="127">
        <f t="shared" ref="F1824:F1872" si="97">D1824*E1824</f>
        <v>0</v>
      </c>
      <c r="G1824" s="151">
        <f>'Etude de cas n°1'!D1824</f>
        <v>0</v>
      </c>
      <c r="H1824" s="155"/>
      <c r="I1824" s="155"/>
      <c r="J1824" s="155"/>
      <c r="K1824" s="155"/>
      <c r="L1824" s="155"/>
      <c r="M1824" s="155"/>
      <c r="N1824" s="155"/>
    </row>
    <row r="1825" spans="1:14" ht="13.2" x14ac:dyDescent="0.25">
      <c r="A1825" s="202" t="s">
        <v>4025</v>
      </c>
      <c r="B1825" s="216" t="s">
        <v>4026</v>
      </c>
      <c r="C1825" s="217" t="s">
        <v>984</v>
      </c>
      <c r="D1825" s="120"/>
      <c r="E1825" s="45">
        <f t="shared" si="96"/>
        <v>0</v>
      </c>
      <c r="F1825" s="127">
        <f t="shared" si="97"/>
        <v>0</v>
      </c>
      <c r="G1825" s="151">
        <f>'Etude de cas n°1'!D1825</f>
        <v>0</v>
      </c>
      <c r="H1825" s="155"/>
      <c r="I1825" s="155"/>
      <c r="J1825" s="155"/>
      <c r="K1825" s="155"/>
      <c r="L1825" s="155"/>
      <c r="M1825" s="155"/>
      <c r="N1825" s="155"/>
    </row>
    <row r="1826" spans="1:14" ht="13.2" x14ac:dyDescent="0.25">
      <c r="A1826" s="202" t="s">
        <v>4027</v>
      </c>
      <c r="B1826" s="192" t="s">
        <v>4028</v>
      </c>
      <c r="C1826" s="217" t="s">
        <v>1026</v>
      </c>
      <c r="D1826" s="120"/>
      <c r="E1826" s="45">
        <f t="shared" si="96"/>
        <v>25</v>
      </c>
      <c r="F1826" s="127">
        <f t="shared" si="97"/>
        <v>0</v>
      </c>
      <c r="G1826" s="151">
        <f>'Etude de cas n°1'!D1826</f>
        <v>25</v>
      </c>
      <c r="H1826" s="155"/>
      <c r="I1826" s="155"/>
      <c r="J1826" s="155"/>
      <c r="K1826" s="155"/>
      <c r="L1826" s="155"/>
      <c r="M1826" s="155"/>
      <c r="N1826" s="155"/>
    </row>
    <row r="1827" spans="1:14" ht="13.2" x14ac:dyDescent="0.25">
      <c r="A1827" s="202" t="s">
        <v>4029</v>
      </c>
      <c r="B1827" s="192" t="s">
        <v>4030</v>
      </c>
      <c r="C1827" s="217" t="s">
        <v>1026</v>
      </c>
      <c r="D1827" s="120"/>
      <c r="E1827" s="45">
        <f t="shared" si="96"/>
        <v>100</v>
      </c>
      <c r="F1827" s="127">
        <f t="shared" si="97"/>
        <v>0</v>
      </c>
      <c r="G1827" s="151">
        <f>'Etude de cas n°1'!D1827</f>
        <v>100</v>
      </c>
      <c r="H1827" s="155"/>
      <c r="I1827" s="155"/>
      <c r="J1827" s="155"/>
      <c r="K1827" s="155"/>
      <c r="L1827" s="155"/>
      <c r="M1827" s="155"/>
      <c r="N1827" s="155"/>
    </row>
    <row r="1828" spans="1:14" ht="13.2" x14ac:dyDescent="0.25">
      <c r="A1828" s="202" t="s">
        <v>4031</v>
      </c>
      <c r="B1828" s="192" t="s">
        <v>4032</v>
      </c>
      <c r="C1828" s="217" t="s">
        <v>1026</v>
      </c>
      <c r="D1828" s="120"/>
      <c r="E1828" s="45">
        <f t="shared" si="96"/>
        <v>0</v>
      </c>
      <c r="F1828" s="127">
        <f t="shared" si="97"/>
        <v>0</v>
      </c>
      <c r="G1828" s="151">
        <f>'Etude de cas n°1'!D1828</f>
        <v>0</v>
      </c>
      <c r="H1828" s="155"/>
      <c r="I1828" s="155"/>
      <c r="J1828" s="155"/>
      <c r="K1828" s="155"/>
      <c r="L1828" s="155"/>
      <c r="M1828" s="155"/>
      <c r="N1828" s="155"/>
    </row>
    <row r="1829" spans="1:14" ht="13.2" x14ac:dyDescent="0.25">
      <c r="A1829" s="202" t="s">
        <v>4033</v>
      </c>
      <c r="B1829" s="216" t="s">
        <v>4034</v>
      </c>
      <c r="C1829" s="217" t="s">
        <v>2879</v>
      </c>
      <c r="D1829" s="120"/>
      <c r="E1829" s="45">
        <f t="shared" si="96"/>
        <v>80</v>
      </c>
      <c r="F1829" s="127">
        <f t="shared" si="97"/>
        <v>0</v>
      </c>
      <c r="G1829" s="151">
        <f>'Etude de cas n°1'!D1829</f>
        <v>80</v>
      </c>
      <c r="H1829" s="155"/>
      <c r="I1829" s="155"/>
      <c r="J1829" s="155"/>
      <c r="K1829" s="155"/>
      <c r="L1829" s="155"/>
      <c r="M1829" s="155"/>
      <c r="N1829" s="155"/>
    </row>
    <row r="1830" spans="1:14" ht="13.2" x14ac:dyDescent="0.25">
      <c r="A1830" s="202" t="s">
        <v>4035</v>
      </c>
      <c r="B1830" s="216" t="s">
        <v>4036</v>
      </c>
      <c r="C1830" s="217" t="s">
        <v>2879</v>
      </c>
      <c r="D1830" s="120"/>
      <c r="E1830" s="45">
        <f t="shared" si="96"/>
        <v>0</v>
      </c>
      <c r="F1830" s="127">
        <f t="shared" si="97"/>
        <v>0</v>
      </c>
      <c r="G1830" s="151">
        <f>'Etude de cas n°1'!D1830</f>
        <v>0</v>
      </c>
      <c r="H1830" s="155"/>
      <c r="I1830" s="155"/>
      <c r="J1830" s="155"/>
      <c r="K1830" s="155"/>
      <c r="L1830" s="155"/>
      <c r="M1830" s="155"/>
      <c r="N1830" s="155"/>
    </row>
    <row r="1831" spans="1:14" ht="13.2" x14ac:dyDescent="0.25">
      <c r="A1831" s="202" t="s">
        <v>4037</v>
      </c>
      <c r="B1831" s="216" t="s">
        <v>4038</v>
      </c>
      <c r="C1831" s="217" t="s">
        <v>2879</v>
      </c>
      <c r="D1831" s="120"/>
      <c r="E1831" s="45">
        <f t="shared" si="96"/>
        <v>0</v>
      </c>
      <c r="F1831" s="127">
        <f t="shared" si="97"/>
        <v>0</v>
      </c>
      <c r="G1831" s="151">
        <f>'Etude de cas n°1'!D1831</f>
        <v>0</v>
      </c>
      <c r="H1831" s="155"/>
      <c r="I1831" s="155"/>
      <c r="J1831" s="155"/>
      <c r="K1831" s="155"/>
      <c r="L1831" s="155"/>
      <c r="M1831" s="155"/>
      <c r="N1831" s="155"/>
    </row>
    <row r="1832" spans="1:14" ht="13.2" x14ac:dyDescent="0.25">
      <c r="A1832" s="202" t="s">
        <v>4039</v>
      </c>
      <c r="B1832" s="216" t="s">
        <v>4040</v>
      </c>
      <c r="C1832" s="217"/>
      <c r="D1832" s="120"/>
      <c r="E1832" s="45"/>
      <c r="F1832" s="127"/>
      <c r="G1832" s="151"/>
      <c r="H1832" s="155"/>
      <c r="I1832" s="155"/>
      <c r="J1832" s="155"/>
      <c r="K1832" s="155"/>
      <c r="L1832" s="155"/>
      <c r="M1832" s="155"/>
      <c r="N1832" s="155"/>
    </row>
    <row r="1833" spans="1:14" ht="13.2" x14ac:dyDescent="0.25">
      <c r="A1833" s="202" t="s">
        <v>4041</v>
      </c>
      <c r="B1833" s="216" t="s">
        <v>3793</v>
      </c>
      <c r="C1833" s="217" t="s">
        <v>1034</v>
      </c>
      <c r="D1833" s="120"/>
      <c r="E1833" s="45">
        <f t="shared" si="96"/>
        <v>110</v>
      </c>
      <c r="F1833" s="127">
        <f t="shared" si="97"/>
        <v>0</v>
      </c>
      <c r="G1833" s="151">
        <f>'Etude de cas n°1'!D1833</f>
        <v>110</v>
      </c>
      <c r="H1833" s="155"/>
      <c r="I1833" s="155"/>
      <c r="J1833" s="155"/>
      <c r="K1833" s="155"/>
      <c r="L1833" s="155"/>
      <c r="M1833" s="155"/>
      <c r="N1833" s="155"/>
    </row>
    <row r="1834" spans="1:14" ht="13.2" x14ac:dyDescent="0.25">
      <c r="A1834" s="202" t="s">
        <v>4042</v>
      </c>
      <c r="B1834" s="216" t="s">
        <v>3795</v>
      </c>
      <c r="C1834" s="217" t="s">
        <v>1034</v>
      </c>
      <c r="D1834" s="120"/>
      <c r="E1834" s="45">
        <f t="shared" si="96"/>
        <v>0</v>
      </c>
      <c r="F1834" s="127">
        <f t="shared" si="97"/>
        <v>0</v>
      </c>
      <c r="G1834" s="151">
        <f>'Etude de cas n°1'!D1834</f>
        <v>0</v>
      </c>
      <c r="H1834" s="155"/>
      <c r="I1834" s="155"/>
      <c r="J1834" s="155"/>
      <c r="K1834" s="155"/>
      <c r="L1834" s="155"/>
      <c r="M1834" s="155"/>
      <c r="N1834" s="155"/>
    </row>
    <row r="1835" spans="1:14" ht="13.2" x14ac:dyDescent="0.25">
      <c r="A1835" s="202" t="s">
        <v>4043</v>
      </c>
      <c r="B1835" s="216" t="s">
        <v>3797</v>
      </c>
      <c r="C1835" s="217" t="s">
        <v>1034</v>
      </c>
      <c r="D1835" s="120"/>
      <c r="E1835" s="45">
        <f t="shared" si="96"/>
        <v>0</v>
      </c>
      <c r="F1835" s="127">
        <f t="shared" si="97"/>
        <v>0</v>
      </c>
      <c r="G1835" s="151">
        <f>'Etude de cas n°1'!D1835</f>
        <v>0</v>
      </c>
      <c r="H1835" s="155"/>
      <c r="I1835" s="155"/>
      <c r="J1835" s="155"/>
      <c r="K1835" s="155"/>
      <c r="L1835" s="155"/>
      <c r="M1835" s="155"/>
      <c r="N1835" s="155"/>
    </row>
    <row r="1836" spans="1:14" ht="13.2" x14ac:dyDescent="0.25">
      <c r="A1836" s="27" t="s">
        <v>4044</v>
      </c>
      <c r="B1836" s="6" t="s">
        <v>4045</v>
      </c>
      <c r="C1836" s="217"/>
      <c r="D1836" s="120"/>
      <c r="E1836" s="45"/>
      <c r="F1836" s="127"/>
      <c r="G1836" s="151"/>
      <c r="H1836" s="155"/>
      <c r="I1836" s="155"/>
      <c r="J1836" s="155"/>
      <c r="K1836" s="155"/>
      <c r="L1836" s="155"/>
      <c r="M1836" s="155"/>
      <c r="N1836" s="155"/>
    </row>
    <row r="1837" spans="1:14" ht="13.2" x14ac:dyDescent="0.25">
      <c r="A1837" s="202" t="s">
        <v>4046</v>
      </c>
      <c r="B1837" s="216" t="s">
        <v>4047</v>
      </c>
      <c r="C1837" s="217" t="s">
        <v>1141</v>
      </c>
      <c r="D1837" s="120"/>
      <c r="E1837" s="45">
        <f t="shared" si="96"/>
        <v>2</v>
      </c>
      <c r="F1837" s="127">
        <f t="shared" si="97"/>
        <v>0</v>
      </c>
      <c r="G1837" s="151">
        <f>'Etude de cas n°1'!D1837</f>
        <v>2</v>
      </c>
      <c r="H1837" s="155"/>
      <c r="I1837" s="155"/>
      <c r="J1837" s="155"/>
      <c r="K1837" s="155"/>
      <c r="L1837" s="155"/>
      <c r="M1837" s="155"/>
      <c r="N1837" s="155"/>
    </row>
    <row r="1838" spans="1:14" ht="13.2" x14ac:dyDescent="0.25">
      <c r="A1838" s="202" t="s">
        <v>4048</v>
      </c>
      <c r="B1838" s="216" t="s">
        <v>4049</v>
      </c>
      <c r="C1838" s="217" t="s">
        <v>1141</v>
      </c>
      <c r="D1838" s="120"/>
      <c r="E1838" s="45">
        <f t="shared" si="96"/>
        <v>0</v>
      </c>
      <c r="F1838" s="127">
        <f t="shared" si="97"/>
        <v>0</v>
      </c>
      <c r="G1838" s="151">
        <f>'Etude de cas n°1'!D1838</f>
        <v>0</v>
      </c>
      <c r="H1838" s="155"/>
      <c r="I1838" s="155"/>
      <c r="J1838" s="155"/>
      <c r="K1838" s="155"/>
      <c r="L1838" s="155"/>
      <c r="M1838" s="155"/>
      <c r="N1838" s="155"/>
    </row>
    <row r="1839" spans="1:14" ht="13.2" x14ac:dyDescent="0.25">
      <c r="A1839" s="27" t="s">
        <v>4050</v>
      </c>
      <c r="B1839" s="6" t="s">
        <v>4051</v>
      </c>
      <c r="C1839" s="217"/>
      <c r="D1839" s="120"/>
      <c r="E1839" s="45"/>
      <c r="F1839" s="127"/>
      <c r="G1839" s="151"/>
      <c r="H1839" s="155"/>
      <c r="I1839" s="155"/>
      <c r="J1839" s="155"/>
      <c r="K1839" s="155"/>
      <c r="L1839" s="155"/>
      <c r="M1839" s="155"/>
      <c r="N1839" s="155"/>
    </row>
    <row r="1840" spans="1:14" ht="13.2" x14ac:dyDescent="0.25">
      <c r="A1840" s="202" t="s">
        <v>4052</v>
      </c>
      <c r="B1840" s="216" t="s">
        <v>4053</v>
      </c>
      <c r="C1840" s="217" t="s">
        <v>1034</v>
      </c>
      <c r="D1840" s="120"/>
      <c r="E1840" s="45">
        <f t="shared" si="96"/>
        <v>0</v>
      </c>
      <c r="F1840" s="127">
        <f t="shared" si="97"/>
        <v>0</v>
      </c>
      <c r="G1840" s="151">
        <f>'Etude de cas n°1'!D1840</f>
        <v>0</v>
      </c>
      <c r="H1840" s="155"/>
      <c r="I1840" s="155"/>
      <c r="J1840" s="155"/>
      <c r="K1840" s="155"/>
      <c r="L1840" s="155"/>
      <c r="M1840" s="155"/>
      <c r="N1840" s="155"/>
    </row>
    <row r="1841" spans="1:14" ht="13.2" x14ac:dyDescent="0.25">
      <c r="A1841" s="202" t="s">
        <v>4054</v>
      </c>
      <c r="B1841" s="216" t="s">
        <v>4055</v>
      </c>
      <c r="C1841" s="217" t="s">
        <v>1034</v>
      </c>
      <c r="D1841" s="120"/>
      <c r="E1841" s="45">
        <f t="shared" si="96"/>
        <v>60</v>
      </c>
      <c r="F1841" s="127">
        <f t="shared" si="97"/>
        <v>0</v>
      </c>
      <c r="G1841" s="151">
        <f>'Etude de cas n°1'!D1841</f>
        <v>60</v>
      </c>
      <c r="H1841" s="155"/>
      <c r="I1841" s="155"/>
      <c r="J1841" s="155"/>
      <c r="K1841" s="155"/>
      <c r="L1841" s="155"/>
      <c r="M1841" s="155"/>
      <c r="N1841" s="155"/>
    </row>
    <row r="1842" spans="1:14" ht="13.2" x14ac:dyDescent="0.25">
      <c r="A1842" s="202" t="s">
        <v>4056</v>
      </c>
      <c r="B1842" s="216" t="s">
        <v>4057</v>
      </c>
      <c r="C1842" s="217" t="s">
        <v>1034</v>
      </c>
      <c r="D1842" s="120"/>
      <c r="E1842" s="45">
        <f t="shared" si="96"/>
        <v>0</v>
      </c>
      <c r="F1842" s="127">
        <f t="shared" si="97"/>
        <v>0</v>
      </c>
      <c r="G1842" s="151">
        <f>'Etude de cas n°1'!D1842</f>
        <v>0</v>
      </c>
      <c r="H1842" s="155"/>
      <c r="I1842" s="155"/>
      <c r="J1842" s="155"/>
      <c r="K1842" s="155"/>
      <c r="L1842" s="155"/>
      <c r="M1842" s="155"/>
      <c r="N1842" s="155"/>
    </row>
    <row r="1843" spans="1:14" ht="13.2" x14ac:dyDescent="0.25">
      <c r="A1843" s="27" t="s">
        <v>4058</v>
      </c>
      <c r="B1843" s="6" t="s">
        <v>4059</v>
      </c>
      <c r="C1843" s="217"/>
      <c r="D1843" s="120"/>
      <c r="E1843" s="45"/>
      <c r="F1843" s="127"/>
      <c r="G1843" s="151"/>
      <c r="H1843" s="155"/>
      <c r="I1843" s="155"/>
      <c r="J1843" s="155"/>
      <c r="K1843" s="155"/>
      <c r="L1843" s="155"/>
      <c r="M1843" s="155"/>
      <c r="N1843" s="155"/>
    </row>
    <row r="1844" spans="1:14" ht="13.2" x14ac:dyDescent="0.25">
      <c r="A1844" s="202" t="s">
        <v>4060</v>
      </c>
      <c r="B1844" s="216" t="s">
        <v>4061</v>
      </c>
      <c r="C1844" s="217" t="s">
        <v>1011</v>
      </c>
      <c r="D1844" s="120"/>
      <c r="E1844" s="45">
        <f t="shared" si="96"/>
        <v>3</v>
      </c>
      <c r="F1844" s="127">
        <f t="shared" si="97"/>
        <v>0</v>
      </c>
      <c r="G1844" s="151">
        <f>'Etude de cas n°1'!D1844</f>
        <v>3</v>
      </c>
      <c r="H1844" s="155"/>
      <c r="I1844" s="155"/>
      <c r="J1844" s="155"/>
      <c r="K1844" s="155"/>
      <c r="L1844" s="155"/>
      <c r="M1844" s="155"/>
      <c r="N1844" s="155"/>
    </row>
    <row r="1845" spans="1:14" ht="13.2" x14ac:dyDescent="0.25">
      <c r="A1845" s="202" t="s">
        <v>4062</v>
      </c>
      <c r="B1845" s="216" t="s">
        <v>4063</v>
      </c>
      <c r="C1845" s="217" t="s">
        <v>1011</v>
      </c>
      <c r="D1845" s="120"/>
      <c r="E1845" s="45">
        <f t="shared" si="96"/>
        <v>0</v>
      </c>
      <c r="F1845" s="127">
        <f t="shared" si="97"/>
        <v>0</v>
      </c>
      <c r="G1845" s="151">
        <f>'Etude de cas n°1'!D1845</f>
        <v>0</v>
      </c>
      <c r="H1845" s="155"/>
      <c r="I1845" s="155"/>
      <c r="J1845" s="155"/>
      <c r="K1845" s="155"/>
      <c r="L1845" s="155"/>
      <c r="M1845" s="155"/>
      <c r="N1845" s="155"/>
    </row>
    <row r="1846" spans="1:14" ht="13.2" x14ac:dyDescent="0.25">
      <c r="A1846" s="202" t="s">
        <v>4064</v>
      </c>
      <c r="B1846" s="216" t="s">
        <v>4065</v>
      </c>
      <c r="C1846" s="217" t="s">
        <v>1011</v>
      </c>
      <c r="D1846" s="120"/>
      <c r="E1846" s="45">
        <f t="shared" si="96"/>
        <v>0</v>
      </c>
      <c r="F1846" s="127">
        <f t="shared" si="97"/>
        <v>0</v>
      </c>
      <c r="G1846" s="151">
        <f>'Etude de cas n°1'!D1846</f>
        <v>0</v>
      </c>
      <c r="H1846" s="155"/>
      <c r="I1846" s="155"/>
      <c r="J1846" s="155"/>
      <c r="K1846" s="155"/>
      <c r="L1846" s="155"/>
      <c r="M1846" s="155"/>
      <c r="N1846" s="155"/>
    </row>
    <row r="1847" spans="1:14" ht="13.2" x14ac:dyDescent="0.25">
      <c r="A1847" s="27" t="s">
        <v>4066</v>
      </c>
      <c r="B1847" s="6" t="s">
        <v>4067</v>
      </c>
      <c r="C1847" s="217"/>
      <c r="D1847" s="120"/>
      <c r="E1847" s="45"/>
      <c r="F1847" s="127"/>
      <c r="G1847" s="151"/>
      <c r="H1847" s="155"/>
      <c r="I1847" s="155"/>
      <c r="J1847" s="155"/>
      <c r="K1847" s="155"/>
      <c r="L1847" s="155"/>
      <c r="M1847" s="155"/>
      <c r="N1847" s="155"/>
    </row>
    <row r="1848" spans="1:14" ht="13.2" x14ac:dyDescent="0.25">
      <c r="A1848" s="202" t="s">
        <v>4068</v>
      </c>
      <c r="B1848" s="216" t="s">
        <v>4053</v>
      </c>
      <c r="C1848" s="217" t="s">
        <v>1037</v>
      </c>
      <c r="D1848" s="120"/>
      <c r="E1848" s="45">
        <f t="shared" si="96"/>
        <v>0</v>
      </c>
      <c r="F1848" s="127">
        <f t="shared" si="97"/>
        <v>0</v>
      </c>
      <c r="G1848" s="151">
        <f>'Etude de cas n°1'!D1848</f>
        <v>0</v>
      </c>
      <c r="H1848" s="155"/>
      <c r="I1848" s="155"/>
      <c r="J1848" s="155"/>
      <c r="K1848" s="155"/>
      <c r="L1848" s="155"/>
      <c r="M1848" s="155"/>
      <c r="N1848" s="155"/>
    </row>
    <row r="1849" spans="1:14" ht="13.2" x14ac:dyDescent="0.25">
      <c r="A1849" s="202" t="s">
        <v>4069</v>
      </c>
      <c r="B1849" s="216" t="s">
        <v>4055</v>
      </c>
      <c r="C1849" s="217" t="s">
        <v>1037</v>
      </c>
      <c r="D1849" s="120"/>
      <c r="E1849" s="45">
        <f t="shared" si="96"/>
        <v>0</v>
      </c>
      <c r="F1849" s="127">
        <f t="shared" si="97"/>
        <v>0</v>
      </c>
      <c r="G1849" s="151">
        <f>'Etude de cas n°1'!D1849</f>
        <v>0</v>
      </c>
      <c r="H1849" s="155"/>
      <c r="I1849" s="155"/>
      <c r="J1849" s="155"/>
      <c r="K1849" s="155"/>
      <c r="L1849" s="155"/>
      <c r="M1849" s="155"/>
      <c r="N1849" s="155"/>
    </row>
    <row r="1850" spans="1:14" ht="13.2" x14ac:dyDescent="0.25">
      <c r="A1850" s="202" t="s">
        <v>4070</v>
      </c>
      <c r="B1850" s="216" t="s">
        <v>4057</v>
      </c>
      <c r="C1850" s="217" t="s">
        <v>1037</v>
      </c>
      <c r="D1850" s="120"/>
      <c r="E1850" s="45">
        <f t="shared" si="96"/>
        <v>0</v>
      </c>
      <c r="F1850" s="127">
        <f t="shared" si="97"/>
        <v>0</v>
      </c>
      <c r="G1850" s="151">
        <f>'Etude de cas n°1'!D1850</f>
        <v>0</v>
      </c>
      <c r="H1850" s="155"/>
      <c r="I1850" s="155"/>
      <c r="J1850" s="155"/>
      <c r="K1850" s="155"/>
      <c r="L1850" s="155"/>
      <c r="M1850" s="155"/>
      <c r="N1850" s="155"/>
    </row>
    <row r="1851" spans="1:14" ht="13.2" x14ac:dyDescent="0.25">
      <c r="A1851" s="27" t="s">
        <v>4071</v>
      </c>
      <c r="B1851" s="3" t="s">
        <v>4072</v>
      </c>
      <c r="C1851" s="217"/>
      <c r="D1851" s="120"/>
      <c r="E1851" s="45"/>
      <c r="F1851" s="127"/>
      <c r="G1851" s="151"/>
      <c r="H1851" s="155"/>
      <c r="I1851" s="155"/>
      <c r="J1851" s="155"/>
      <c r="K1851" s="155"/>
      <c r="L1851" s="155"/>
      <c r="M1851" s="155"/>
      <c r="N1851" s="155"/>
    </row>
    <row r="1852" spans="1:14" ht="13.2" x14ac:dyDescent="0.25">
      <c r="A1852" s="202" t="s">
        <v>4073</v>
      </c>
      <c r="B1852" s="216" t="s">
        <v>4053</v>
      </c>
      <c r="C1852" s="217" t="s">
        <v>1034</v>
      </c>
      <c r="D1852" s="120"/>
      <c r="E1852" s="45">
        <f t="shared" si="96"/>
        <v>0</v>
      </c>
      <c r="F1852" s="127">
        <f t="shared" si="97"/>
        <v>0</v>
      </c>
      <c r="G1852" s="151">
        <f>'Etude de cas n°1'!D1852</f>
        <v>0</v>
      </c>
      <c r="H1852" s="155"/>
      <c r="I1852" s="155"/>
      <c r="J1852" s="155"/>
      <c r="K1852" s="155"/>
      <c r="L1852" s="155"/>
      <c r="M1852" s="155"/>
      <c r="N1852" s="155"/>
    </row>
    <row r="1853" spans="1:14" ht="13.2" x14ac:dyDescent="0.25">
      <c r="A1853" s="202" t="s">
        <v>4074</v>
      </c>
      <c r="B1853" s="216" t="s">
        <v>4055</v>
      </c>
      <c r="C1853" s="217" t="s">
        <v>1034</v>
      </c>
      <c r="D1853" s="120"/>
      <c r="E1853" s="45">
        <f t="shared" si="96"/>
        <v>0</v>
      </c>
      <c r="F1853" s="127">
        <f t="shared" si="97"/>
        <v>0</v>
      </c>
      <c r="G1853" s="151">
        <f>'Etude de cas n°1'!D1853</f>
        <v>0</v>
      </c>
      <c r="H1853" s="155"/>
      <c r="I1853" s="155"/>
      <c r="J1853" s="155"/>
      <c r="K1853" s="155"/>
      <c r="L1853" s="155"/>
      <c r="M1853" s="155"/>
      <c r="N1853" s="155"/>
    </row>
    <row r="1854" spans="1:14" ht="13.2" x14ac:dyDescent="0.25">
      <c r="A1854" s="202" t="s">
        <v>4075</v>
      </c>
      <c r="B1854" s="216" t="s">
        <v>4057</v>
      </c>
      <c r="C1854" s="217" t="s">
        <v>1034</v>
      </c>
      <c r="D1854" s="120"/>
      <c r="E1854" s="45">
        <f t="shared" si="96"/>
        <v>0</v>
      </c>
      <c r="F1854" s="127">
        <f t="shared" si="97"/>
        <v>0</v>
      </c>
      <c r="G1854" s="151">
        <f>'Etude de cas n°1'!D1854</f>
        <v>0</v>
      </c>
      <c r="H1854" s="155"/>
      <c r="I1854" s="155"/>
      <c r="J1854" s="155"/>
      <c r="K1854" s="155"/>
      <c r="L1854" s="155"/>
      <c r="M1854" s="155"/>
      <c r="N1854" s="155"/>
    </row>
    <row r="1855" spans="1:14" ht="13.2" x14ac:dyDescent="0.25">
      <c r="A1855" s="27" t="s">
        <v>4076</v>
      </c>
      <c r="B1855" s="3" t="s">
        <v>4077</v>
      </c>
      <c r="C1855" s="217" t="s">
        <v>1883</v>
      </c>
      <c r="D1855" s="120"/>
      <c r="E1855" s="45"/>
      <c r="F1855" s="127"/>
      <c r="G1855" s="151"/>
      <c r="H1855" s="155"/>
      <c r="I1855" s="155"/>
      <c r="J1855" s="155"/>
      <c r="K1855" s="155"/>
      <c r="L1855" s="155"/>
      <c r="M1855" s="155"/>
      <c r="N1855" s="155"/>
    </row>
    <row r="1856" spans="1:14" ht="13.2" x14ac:dyDescent="0.25">
      <c r="A1856" s="202" t="s">
        <v>4078</v>
      </c>
      <c r="B1856" s="216" t="s">
        <v>4079</v>
      </c>
      <c r="C1856" s="217" t="s">
        <v>2923</v>
      </c>
      <c r="D1856" s="120"/>
      <c r="E1856" s="45">
        <f t="shared" si="96"/>
        <v>2</v>
      </c>
      <c r="F1856" s="127">
        <f t="shared" si="97"/>
        <v>0</v>
      </c>
      <c r="G1856" s="151">
        <f>'Etude de cas n°1'!D1856</f>
        <v>2</v>
      </c>
      <c r="H1856" s="155"/>
      <c r="I1856" s="155"/>
      <c r="J1856" s="155"/>
      <c r="K1856" s="155"/>
      <c r="L1856" s="155"/>
      <c r="M1856" s="155"/>
      <c r="N1856" s="155"/>
    </row>
    <row r="1857" spans="1:14" ht="13.2" x14ac:dyDescent="0.25">
      <c r="A1857" s="202" t="s">
        <v>4080</v>
      </c>
      <c r="B1857" s="216" t="s">
        <v>4081</v>
      </c>
      <c r="C1857" s="217" t="s">
        <v>2923</v>
      </c>
      <c r="D1857" s="120"/>
      <c r="E1857" s="45">
        <f t="shared" si="96"/>
        <v>1</v>
      </c>
      <c r="F1857" s="127">
        <f t="shared" si="97"/>
        <v>0</v>
      </c>
      <c r="G1857" s="151">
        <f>'Etude de cas n°1'!D1857</f>
        <v>1</v>
      </c>
      <c r="H1857" s="155"/>
      <c r="I1857" s="155"/>
      <c r="J1857" s="155"/>
      <c r="K1857" s="155"/>
      <c r="L1857" s="155"/>
      <c r="M1857" s="155"/>
      <c r="N1857" s="155"/>
    </row>
    <row r="1858" spans="1:14" ht="13.2" x14ac:dyDescent="0.25">
      <c r="A1858" s="202" t="s">
        <v>4082</v>
      </c>
      <c r="B1858" s="216" t="s">
        <v>4083</v>
      </c>
      <c r="C1858" s="217" t="s">
        <v>2923</v>
      </c>
      <c r="D1858" s="120"/>
      <c r="E1858" s="45">
        <f t="shared" si="96"/>
        <v>0</v>
      </c>
      <c r="F1858" s="127">
        <f t="shared" si="97"/>
        <v>0</v>
      </c>
      <c r="G1858" s="151">
        <f>'Etude de cas n°1'!D1858</f>
        <v>0</v>
      </c>
      <c r="H1858" s="155"/>
      <c r="I1858" s="155"/>
      <c r="J1858" s="155"/>
      <c r="K1858" s="155"/>
      <c r="L1858" s="155"/>
      <c r="M1858" s="155"/>
      <c r="N1858" s="155"/>
    </row>
    <row r="1859" spans="1:14" ht="13.2" x14ac:dyDescent="0.25">
      <c r="A1859" s="202" t="s">
        <v>4084</v>
      </c>
      <c r="B1859" s="216" t="s">
        <v>4085</v>
      </c>
      <c r="C1859" s="217" t="s">
        <v>2923</v>
      </c>
      <c r="D1859" s="120"/>
      <c r="E1859" s="45">
        <f t="shared" si="96"/>
        <v>0</v>
      </c>
      <c r="F1859" s="127">
        <f t="shared" si="97"/>
        <v>0</v>
      </c>
      <c r="G1859" s="151">
        <f>'Etude de cas n°1'!D1859</f>
        <v>0</v>
      </c>
      <c r="H1859" s="155"/>
      <c r="I1859" s="155"/>
      <c r="J1859" s="155"/>
      <c r="K1859" s="155"/>
      <c r="L1859" s="155"/>
      <c r="M1859" s="155"/>
      <c r="N1859" s="155"/>
    </row>
    <row r="1860" spans="1:14" ht="13.2" x14ac:dyDescent="0.25">
      <c r="A1860" s="27" t="s">
        <v>4086</v>
      </c>
      <c r="B1860" s="3" t="s">
        <v>4087</v>
      </c>
      <c r="C1860" s="217" t="s">
        <v>1883</v>
      </c>
      <c r="D1860" s="120"/>
      <c r="E1860" s="45"/>
      <c r="F1860" s="127"/>
      <c r="G1860" s="151"/>
      <c r="H1860" s="155"/>
      <c r="I1860" s="155"/>
      <c r="J1860" s="155"/>
      <c r="K1860" s="155"/>
      <c r="L1860" s="155"/>
      <c r="M1860" s="155"/>
      <c r="N1860" s="155"/>
    </row>
    <row r="1861" spans="1:14" ht="13.2" x14ac:dyDescent="0.25">
      <c r="A1861" s="202" t="s">
        <v>4088</v>
      </c>
      <c r="B1861" s="216" t="s">
        <v>4089</v>
      </c>
      <c r="C1861" s="217" t="s">
        <v>984</v>
      </c>
      <c r="D1861" s="120"/>
      <c r="E1861" s="45">
        <f t="shared" si="96"/>
        <v>0</v>
      </c>
      <c r="F1861" s="127">
        <f t="shared" si="97"/>
        <v>0</v>
      </c>
      <c r="G1861" s="151">
        <f>'Etude de cas n°1'!D1861</f>
        <v>0</v>
      </c>
      <c r="H1861" s="155"/>
      <c r="I1861" s="155"/>
      <c r="J1861" s="155"/>
      <c r="K1861" s="155"/>
      <c r="L1861" s="155"/>
      <c r="M1861" s="155"/>
      <c r="N1861" s="155"/>
    </row>
    <row r="1862" spans="1:14" ht="13.2" x14ac:dyDescent="0.25">
      <c r="A1862" s="202" t="s">
        <v>4090</v>
      </c>
      <c r="B1862" s="216" t="s">
        <v>4091</v>
      </c>
      <c r="C1862" s="217" t="s">
        <v>1034</v>
      </c>
      <c r="D1862" s="120"/>
      <c r="E1862" s="45">
        <f t="shared" si="96"/>
        <v>0</v>
      </c>
      <c r="F1862" s="127">
        <f t="shared" si="97"/>
        <v>0</v>
      </c>
      <c r="G1862" s="151">
        <f>'Etude de cas n°1'!D1862</f>
        <v>0</v>
      </c>
      <c r="H1862" s="155"/>
      <c r="I1862" s="155"/>
      <c r="J1862" s="155"/>
      <c r="K1862" s="155"/>
      <c r="L1862" s="155"/>
      <c r="M1862" s="155"/>
      <c r="N1862" s="155"/>
    </row>
    <row r="1863" spans="1:14" ht="13.2" x14ac:dyDescent="0.25">
      <c r="A1863" s="202" t="s">
        <v>4092</v>
      </c>
      <c r="B1863" s="216" t="s">
        <v>4093</v>
      </c>
      <c r="C1863" s="217" t="s">
        <v>1026</v>
      </c>
      <c r="D1863" s="120"/>
      <c r="E1863" s="45">
        <f t="shared" si="96"/>
        <v>0</v>
      </c>
      <c r="F1863" s="127">
        <f t="shared" si="97"/>
        <v>0</v>
      </c>
      <c r="G1863" s="151">
        <f>'Etude de cas n°1'!D1863</f>
        <v>0</v>
      </c>
      <c r="H1863" s="155"/>
      <c r="I1863" s="155"/>
      <c r="J1863" s="155"/>
      <c r="K1863" s="155"/>
      <c r="L1863" s="155"/>
      <c r="M1863" s="155"/>
      <c r="N1863" s="155"/>
    </row>
    <row r="1864" spans="1:14" ht="13.2" x14ac:dyDescent="0.25">
      <c r="A1864" s="202" t="s">
        <v>4094</v>
      </c>
      <c r="B1864" s="216" t="s">
        <v>4095</v>
      </c>
      <c r="C1864" s="217" t="s">
        <v>1037</v>
      </c>
      <c r="D1864" s="120"/>
      <c r="E1864" s="45">
        <f t="shared" si="96"/>
        <v>0</v>
      </c>
      <c r="F1864" s="127">
        <f t="shared" si="97"/>
        <v>0</v>
      </c>
      <c r="G1864" s="151">
        <f>'Etude de cas n°1'!D1864</f>
        <v>0</v>
      </c>
      <c r="H1864" s="155"/>
      <c r="I1864" s="155"/>
      <c r="J1864" s="155"/>
      <c r="K1864" s="155"/>
      <c r="L1864" s="155"/>
      <c r="M1864" s="155"/>
      <c r="N1864" s="155"/>
    </row>
    <row r="1865" spans="1:14" ht="13.2" x14ac:dyDescent="0.25">
      <c r="A1865" s="27" t="s">
        <v>4096</v>
      </c>
      <c r="B1865" s="6" t="s">
        <v>4097</v>
      </c>
      <c r="C1865" s="217"/>
      <c r="D1865" s="120"/>
      <c r="E1865" s="45"/>
      <c r="F1865" s="127"/>
      <c r="G1865" s="151"/>
      <c r="H1865" s="155"/>
      <c r="I1865" s="155"/>
      <c r="J1865" s="155"/>
      <c r="K1865" s="155"/>
      <c r="L1865" s="155"/>
      <c r="M1865" s="155"/>
      <c r="N1865" s="155"/>
    </row>
    <row r="1866" spans="1:14" ht="13.2" x14ac:dyDescent="0.25">
      <c r="A1866" s="235" t="s">
        <v>4098</v>
      </c>
      <c r="B1866" s="223" t="s">
        <v>4099</v>
      </c>
      <c r="C1866" s="217" t="s">
        <v>1232</v>
      </c>
      <c r="D1866" s="120"/>
      <c r="E1866" s="45">
        <f t="shared" si="96"/>
        <v>0</v>
      </c>
      <c r="F1866" s="127">
        <f t="shared" si="97"/>
        <v>0</v>
      </c>
      <c r="G1866" s="151">
        <f>'Etude de cas n°1'!D1866</f>
        <v>0</v>
      </c>
      <c r="H1866" s="155"/>
      <c r="I1866" s="155"/>
      <c r="J1866" s="155"/>
      <c r="K1866" s="155"/>
      <c r="L1866" s="155"/>
      <c r="M1866" s="155"/>
      <c r="N1866" s="155"/>
    </row>
    <row r="1867" spans="1:14" ht="13.2" x14ac:dyDescent="0.25">
      <c r="A1867" s="235" t="s">
        <v>4100</v>
      </c>
      <c r="B1867" s="223" t="s">
        <v>4101</v>
      </c>
      <c r="C1867" s="217" t="s">
        <v>1232</v>
      </c>
      <c r="D1867" s="120"/>
      <c r="E1867" s="45">
        <f t="shared" si="96"/>
        <v>0</v>
      </c>
      <c r="F1867" s="127">
        <f t="shared" si="97"/>
        <v>0</v>
      </c>
      <c r="G1867" s="151">
        <f>'Etude de cas n°1'!D1867</f>
        <v>0</v>
      </c>
      <c r="H1867" s="155"/>
      <c r="I1867" s="155"/>
      <c r="J1867" s="155"/>
      <c r="K1867" s="155"/>
      <c r="L1867" s="155"/>
      <c r="M1867" s="155"/>
      <c r="N1867" s="155"/>
    </row>
    <row r="1868" spans="1:14" ht="13.2" x14ac:dyDescent="0.25">
      <c r="A1868" s="235" t="s">
        <v>4102</v>
      </c>
      <c r="B1868" s="223" t="s">
        <v>4103</v>
      </c>
      <c r="C1868" s="217" t="s">
        <v>1232</v>
      </c>
      <c r="D1868" s="120"/>
      <c r="E1868" s="45">
        <f t="shared" si="96"/>
        <v>0</v>
      </c>
      <c r="F1868" s="127">
        <f t="shared" si="97"/>
        <v>0</v>
      </c>
      <c r="G1868" s="151">
        <f>'Etude de cas n°1'!D1868</f>
        <v>0</v>
      </c>
      <c r="H1868" s="155"/>
      <c r="I1868" s="155"/>
      <c r="J1868" s="155"/>
      <c r="K1868" s="155"/>
      <c r="L1868" s="155"/>
      <c r="M1868" s="155"/>
      <c r="N1868" s="155"/>
    </row>
    <row r="1869" spans="1:14" ht="13.2" x14ac:dyDescent="0.25">
      <c r="A1869" s="28" t="s">
        <v>4104</v>
      </c>
      <c r="B1869" s="6" t="s">
        <v>4105</v>
      </c>
      <c r="C1869" s="217"/>
      <c r="D1869" s="120"/>
      <c r="E1869" s="45"/>
      <c r="F1869" s="127"/>
      <c r="G1869" s="151"/>
      <c r="H1869" s="155"/>
      <c r="I1869" s="155"/>
      <c r="J1869" s="155"/>
      <c r="K1869" s="155"/>
      <c r="L1869" s="155"/>
      <c r="M1869" s="155"/>
      <c r="N1869" s="155"/>
    </row>
    <row r="1870" spans="1:14" ht="13.2" x14ac:dyDescent="0.25">
      <c r="A1870" s="235" t="s">
        <v>4106</v>
      </c>
      <c r="B1870" s="223" t="s">
        <v>4107</v>
      </c>
      <c r="C1870" s="217" t="s">
        <v>1011</v>
      </c>
      <c r="D1870" s="120"/>
      <c r="E1870" s="45">
        <f t="shared" si="96"/>
        <v>0</v>
      </c>
      <c r="F1870" s="127">
        <f t="shared" si="97"/>
        <v>0</v>
      </c>
      <c r="G1870" s="151">
        <f>'Etude de cas n°1'!D1870</f>
        <v>0</v>
      </c>
      <c r="H1870" s="155"/>
      <c r="I1870" s="155"/>
      <c r="J1870" s="155"/>
      <c r="K1870" s="155"/>
      <c r="L1870" s="155"/>
      <c r="M1870" s="155"/>
      <c r="N1870" s="155"/>
    </row>
    <row r="1871" spans="1:14" ht="13.2" x14ac:dyDescent="0.25">
      <c r="A1871" s="235" t="s">
        <v>4108</v>
      </c>
      <c r="B1871" s="223" t="s">
        <v>4109</v>
      </c>
      <c r="C1871" s="217" t="s">
        <v>1011</v>
      </c>
      <c r="D1871" s="120"/>
      <c r="E1871" s="45">
        <f t="shared" si="96"/>
        <v>0</v>
      </c>
      <c r="F1871" s="127">
        <f t="shared" si="97"/>
        <v>0</v>
      </c>
      <c r="G1871" s="151">
        <f>'Etude de cas n°1'!D1871</f>
        <v>0</v>
      </c>
      <c r="H1871" s="155"/>
      <c r="I1871" s="155"/>
      <c r="J1871" s="155"/>
      <c r="K1871" s="155"/>
      <c r="L1871" s="155"/>
      <c r="M1871" s="155"/>
      <c r="N1871" s="155"/>
    </row>
    <row r="1872" spans="1:14" ht="13.2" x14ac:dyDescent="0.25">
      <c r="A1872" s="235" t="s">
        <v>4110</v>
      </c>
      <c r="B1872" s="223" t="s">
        <v>4111</v>
      </c>
      <c r="C1872" s="217" t="s">
        <v>1011</v>
      </c>
      <c r="D1872" s="120"/>
      <c r="E1872" s="45">
        <f t="shared" si="96"/>
        <v>0</v>
      </c>
      <c r="F1872" s="127">
        <f t="shared" si="97"/>
        <v>0</v>
      </c>
      <c r="G1872" s="151">
        <f>'Etude de cas n°1'!D1872</f>
        <v>0</v>
      </c>
      <c r="H1872" s="155"/>
      <c r="I1872" s="155"/>
      <c r="J1872" s="155"/>
      <c r="K1872" s="155"/>
      <c r="L1872" s="155"/>
      <c r="M1872" s="155"/>
      <c r="N1872" s="155"/>
    </row>
    <row r="1873" spans="1:14" ht="13.2" x14ac:dyDescent="0.25">
      <c r="A1873" s="202"/>
      <c r="B1873" s="216"/>
      <c r="C1873" s="217"/>
      <c r="D1873" s="136"/>
      <c r="E1873" s="217"/>
      <c r="F1873" s="217"/>
      <c r="H1873" s="155"/>
      <c r="I1873" s="155"/>
      <c r="J1873" s="155"/>
      <c r="K1873" s="155"/>
      <c r="L1873" s="155"/>
      <c r="M1873" s="155"/>
      <c r="N1873" s="155"/>
    </row>
    <row r="1874" spans="1:14" ht="13.2" x14ac:dyDescent="0.25">
      <c r="A1874" s="202"/>
      <c r="B1874" s="122" t="s">
        <v>4112</v>
      </c>
      <c r="C1874" s="217"/>
      <c r="D1874" s="136"/>
      <c r="E1874" s="217"/>
      <c r="F1874" s="158">
        <f>SUM(F1823:F1873)</f>
        <v>0</v>
      </c>
      <c r="H1874" s="155"/>
      <c r="I1874" s="155"/>
      <c r="J1874" s="155"/>
      <c r="K1874" s="155"/>
      <c r="L1874" s="155"/>
      <c r="M1874" s="155"/>
      <c r="N1874" s="155"/>
    </row>
    <row r="1875" spans="1:14" ht="13.2" x14ac:dyDescent="0.25">
      <c r="A1875" s="202"/>
      <c r="B1875" s="216"/>
      <c r="C1875" s="217"/>
      <c r="D1875" s="136"/>
      <c r="E1875" s="217"/>
      <c r="F1875" s="217"/>
      <c r="H1875" s="155"/>
      <c r="I1875" s="155"/>
      <c r="J1875" s="155"/>
      <c r="K1875" s="155"/>
      <c r="L1875" s="155"/>
      <c r="M1875" s="155"/>
      <c r="N1875" s="155"/>
    </row>
    <row r="1876" spans="1:14" ht="13.2" x14ac:dyDescent="0.25">
      <c r="A1876" s="29" t="s">
        <v>4113</v>
      </c>
      <c r="B1876" s="32" t="s">
        <v>4114</v>
      </c>
      <c r="C1876" s="224" t="s">
        <v>1883</v>
      </c>
      <c r="D1876" s="123"/>
      <c r="E1876" s="224" t="s">
        <v>1883</v>
      </c>
      <c r="F1876" s="224" t="s">
        <v>1883</v>
      </c>
      <c r="G1876" s="224" t="s">
        <v>1883</v>
      </c>
      <c r="H1876" s="155"/>
      <c r="I1876" s="155"/>
      <c r="J1876" s="155"/>
      <c r="K1876" s="155"/>
      <c r="L1876" s="155"/>
      <c r="M1876" s="155"/>
      <c r="N1876" s="155"/>
    </row>
    <row r="1877" spans="1:14" ht="13.2" x14ac:dyDescent="0.25">
      <c r="A1877" s="27" t="s">
        <v>4115</v>
      </c>
      <c r="B1877" s="6" t="s">
        <v>4116</v>
      </c>
      <c r="C1877" s="217" t="s">
        <v>984</v>
      </c>
      <c r="D1877" s="120"/>
      <c r="E1877" s="45">
        <f t="shared" ref="E1877:E1894" si="98">G1877</f>
        <v>0</v>
      </c>
      <c r="F1877" s="127">
        <f>D1877*E1877</f>
        <v>0</v>
      </c>
      <c r="G1877" s="151">
        <f>'Etude de cas n°1'!D1877</f>
        <v>0</v>
      </c>
      <c r="H1877" s="155"/>
      <c r="I1877" s="155"/>
      <c r="J1877" s="155"/>
      <c r="K1877" s="155"/>
      <c r="L1877" s="155"/>
      <c r="M1877" s="155"/>
      <c r="N1877" s="155"/>
    </row>
    <row r="1878" spans="1:14" ht="13.2" x14ac:dyDescent="0.25">
      <c r="A1878" s="27" t="s">
        <v>4117</v>
      </c>
      <c r="B1878" s="6" t="s">
        <v>4118</v>
      </c>
      <c r="C1878" s="217" t="s">
        <v>984</v>
      </c>
      <c r="D1878" s="120"/>
      <c r="E1878" s="45">
        <f t="shared" si="98"/>
        <v>0</v>
      </c>
      <c r="F1878" s="127">
        <f t="shared" ref="F1878:F1894" si="99">D1878*E1878</f>
        <v>0</v>
      </c>
      <c r="G1878" s="151">
        <f>'Etude de cas n°1'!D1878</f>
        <v>0</v>
      </c>
      <c r="H1878" s="155"/>
      <c r="I1878" s="155"/>
      <c r="J1878" s="155"/>
      <c r="K1878" s="155"/>
      <c r="L1878" s="155"/>
      <c r="M1878" s="155"/>
      <c r="N1878" s="155"/>
    </row>
    <row r="1879" spans="1:14" ht="26.4" x14ac:dyDescent="0.25">
      <c r="A1879" s="27" t="s">
        <v>4119</v>
      </c>
      <c r="B1879" s="6" t="s">
        <v>4120</v>
      </c>
      <c r="C1879" s="217" t="s">
        <v>984</v>
      </c>
      <c r="D1879" s="120"/>
      <c r="E1879" s="45">
        <f t="shared" si="98"/>
        <v>0</v>
      </c>
      <c r="F1879" s="127">
        <f t="shared" si="99"/>
        <v>0</v>
      </c>
      <c r="G1879" s="151">
        <f>'Etude de cas n°1'!D1879</f>
        <v>0</v>
      </c>
      <c r="H1879" s="155"/>
      <c r="I1879" s="155"/>
      <c r="J1879" s="155"/>
      <c r="K1879" s="155"/>
      <c r="L1879" s="155"/>
      <c r="M1879" s="155"/>
      <c r="N1879" s="155"/>
    </row>
    <row r="1880" spans="1:14" ht="13.2" x14ac:dyDescent="0.25">
      <c r="A1880" s="27" t="s">
        <v>4121</v>
      </c>
      <c r="B1880" s="6" t="s">
        <v>4122</v>
      </c>
      <c r="C1880" s="217" t="s">
        <v>1026</v>
      </c>
      <c r="D1880" s="120"/>
      <c r="E1880" s="45">
        <f t="shared" si="98"/>
        <v>0</v>
      </c>
      <c r="F1880" s="127">
        <f t="shared" si="99"/>
        <v>0</v>
      </c>
      <c r="G1880" s="151">
        <f>'Etude de cas n°1'!D1880</f>
        <v>0</v>
      </c>
      <c r="H1880" s="155"/>
      <c r="I1880" s="155"/>
      <c r="J1880" s="155"/>
      <c r="K1880" s="155"/>
      <c r="L1880" s="155"/>
      <c r="M1880" s="155"/>
      <c r="N1880" s="155"/>
    </row>
    <row r="1881" spans="1:14" ht="26.4" x14ac:dyDescent="0.25">
      <c r="A1881" s="27" t="s">
        <v>4123</v>
      </c>
      <c r="B1881" s="6" t="s">
        <v>4124</v>
      </c>
      <c r="C1881" s="217" t="s">
        <v>984</v>
      </c>
      <c r="D1881" s="120"/>
      <c r="E1881" s="45">
        <f t="shared" si="98"/>
        <v>0</v>
      </c>
      <c r="F1881" s="127">
        <f t="shared" si="99"/>
        <v>0</v>
      </c>
      <c r="G1881" s="151">
        <f>'Etude de cas n°1'!D1881</f>
        <v>0</v>
      </c>
      <c r="H1881" s="155"/>
      <c r="I1881" s="155"/>
      <c r="J1881" s="155"/>
      <c r="K1881" s="155"/>
      <c r="L1881" s="155"/>
      <c r="M1881" s="155"/>
      <c r="N1881" s="155"/>
    </row>
    <row r="1882" spans="1:14" ht="13.2" x14ac:dyDescent="0.25">
      <c r="A1882" s="27" t="s">
        <v>4125</v>
      </c>
      <c r="B1882" s="6" t="s">
        <v>4126</v>
      </c>
      <c r="C1882" s="217" t="s">
        <v>1026</v>
      </c>
      <c r="D1882" s="120"/>
      <c r="E1882" s="45">
        <f t="shared" si="98"/>
        <v>0</v>
      </c>
      <c r="F1882" s="127">
        <f t="shared" si="99"/>
        <v>0</v>
      </c>
      <c r="G1882" s="151">
        <f>'Etude de cas n°1'!D1882</f>
        <v>0</v>
      </c>
      <c r="H1882" s="155"/>
      <c r="I1882" s="155"/>
      <c r="J1882" s="155"/>
      <c r="K1882" s="155"/>
      <c r="L1882" s="155"/>
      <c r="M1882" s="155"/>
      <c r="N1882" s="155"/>
    </row>
    <row r="1883" spans="1:14" ht="13.2" x14ac:dyDescent="0.25">
      <c r="A1883" s="27" t="s">
        <v>4127</v>
      </c>
      <c r="B1883" s="6" t="s">
        <v>4128</v>
      </c>
      <c r="C1883" s="217" t="s">
        <v>1011</v>
      </c>
      <c r="D1883" s="120"/>
      <c r="E1883" s="45">
        <f t="shared" si="98"/>
        <v>0</v>
      </c>
      <c r="F1883" s="127">
        <f t="shared" si="99"/>
        <v>0</v>
      </c>
      <c r="G1883" s="151">
        <f>'Etude de cas n°1'!D1883</f>
        <v>0</v>
      </c>
      <c r="H1883" s="155"/>
      <c r="I1883" s="155"/>
      <c r="J1883" s="155"/>
      <c r="K1883" s="155"/>
      <c r="L1883" s="155"/>
      <c r="M1883" s="155"/>
      <c r="N1883" s="155"/>
    </row>
    <row r="1884" spans="1:14" ht="13.2" x14ac:dyDescent="0.25">
      <c r="A1884" s="27" t="s">
        <v>4129</v>
      </c>
      <c r="B1884" s="6" t="s">
        <v>4130</v>
      </c>
      <c r="C1884" s="217"/>
      <c r="D1884" s="120"/>
      <c r="E1884" s="45"/>
      <c r="F1884" s="127"/>
      <c r="G1884" s="151"/>
      <c r="H1884" s="155"/>
      <c r="I1884" s="155"/>
      <c r="J1884" s="155"/>
      <c r="K1884" s="155"/>
      <c r="L1884" s="155"/>
      <c r="M1884" s="155"/>
      <c r="N1884" s="155"/>
    </row>
    <row r="1885" spans="1:14" ht="13.2" x14ac:dyDescent="0.25">
      <c r="A1885" s="228" t="s">
        <v>4131</v>
      </c>
      <c r="B1885" s="223" t="s">
        <v>4132</v>
      </c>
      <c r="C1885" s="217" t="s">
        <v>1034</v>
      </c>
      <c r="D1885" s="120"/>
      <c r="E1885" s="45">
        <f t="shared" si="98"/>
        <v>0</v>
      </c>
      <c r="F1885" s="127">
        <f t="shared" si="99"/>
        <v>0</v>
      </c>
      <c r="G1885" s="151">
        <f>'Etude de cas n°1'!D1885</f>
        <v>0</v>
      </c>
      <c r="H1885" s="155"/>
      <c r="I1885" s="155"/>
      <c r="J1885" s="155"/>
      <c r="K1885" s="155"/>
      <c r="L1885" s="155"/>
      <c r="M1885" s="155"/>
      <c r="N1885" s="155"/>
    </row>
    <row r="1886" spans="1:14" ht="13.2" x14ac:dyDescent="0.25">
      <c r="A1886" s="228" t="s">
        <v>4133</v>
      </c>
      <c r="B1886" s="223" t="s">
        <v>4134</v>
      </c>
      <c r="C1886" s="217" t="s">
        <v>1034</v>
      </c>
      <c r="D1886" s="120"/>
      <c r="E1886" s="45">
        <f t="shared" si="98"/>
        <v>0</v>
      </c>
      <c r="F1886" s="127">
        <f t="shared" si="99"/>
        <v>0</v>
      </c>
      <c r="G1886" s="151">
        <f>'Etude de cas n°1'!D1886</f>
        <v>0</v>
      </c>
      <c r="H1886" s="155"/>
      <c r="I1886" s="155"/>
      <c r="J1886" s="155"/>
      <c r="K1886" s="155"/>
      <c r="L1886" s="155"/>
      <c r="M1886" s="155"/>
      <c r="N1886" s="155"/>
    </row>
    <row r="1887" spans="1:14" ht="13.2" x14ac:dyDescent="0.25">
      <c r="A1887" s="228" t="s">
        <v>4135</v>
      </c>
      <c r="B1887" s="223" t="s">
        <v>4136</v>
      </c>
      <c r="C1887" s="217" t="s">
        <v>1034</v>
      </c>
      <c r="D1887" s="120"/>
      <c r="E1887" s="45">
        <f t="shared" si="98"/>
        <v>0</v>
      </c>
      <c r="F1887" s="127">
        <f t="shared" si="99"/>
        <v>0</v>
      </c>
      <c r="G1887" s="151">
        <f>'Etude de cas n°1'!D1887</f>
        <v>0</v>
      </c>
      <c r="H1887" s="155"/>
      <c r="I1887" s="155"/>
      <c r="J1887" s="155"/>
      <c r="K1887" s="155"/>
      <c r="L1887" s="155"/>
      <c r="M1887" s="155"/>
      <c r="N1887" s="155"/>
    </row>
    <row r="1888" spans="1:14" ht="13.2" x14ac:dyDescent="0.25">
      <c r="A1888" s="228" t="s">
        <v>4137</v>
      </c>
      <c r="B1888" s="223" t="s">
        <v>4138</v>
      </c>
      <c r="C1888" s="217" t="s">
        <v>1034</v>
      </c>
      <c r="D1888" s="120"/>
      <c r="E1888" s="45">
        <f t="shared" si="98"/>
        <v>0</v>
      </c>
      <c r="F1888" s="127">
        <f t="shared" si="99"/>
        <v>0</v>
      </c>
      <c r="G1888" s="151">
        <f>'Etude de cas n°1'!D1888</f>
        <v>0</v>
      </c>
      <c r="H1888" s="155"/>
      <c r="I1888" s="155"/>
      <c r="J1888" s="155"/>
      <c r="K1888" s="155"/>
      <c r="L1888" s="155"/>
      <c r="M1888" s="155"/>
      <c r="N1888" s="155"/>
    </row>
    <row r="1889" spans="1:14" ht="13.2" x14ac:dyDescent="0.25">
      <c r="A1889" s="27" t="s">
        <v>4139</v>
      </c>
      <c r="B1889" s="6" t="s">
        <v>4140</v>
      </c>
      <c r="C1889" s="217"/>
      <c r="D1889" s="120"/>
      <c r="E1889" s="45"/>
      <c r="F1889" s="127"/>
      <c r="G1889" s="151"/>
      <c r="H1889" s="155"/>
      <c r="I1889" s="155"/>
      <c r="J1889" s="155"/>
      <c r="K1889" s="155"/>
      <c r="L1889" s="155"/>
      <c r="M1889" s="155"/>
      <c r="N1889" s="155"/>
    </row>
    <row r="1890" spans="1:14" ht="13.2" x14ac:dyDescent="0.25">
      <c r="A1890" s="228" t="s">
        <v>4141</v>
      </c>
      <c r="B1890" s="223" t="s">
        <v>4142</v>
      </c>
      <c r="C1890" s="217" t="s">
        <v>1141</v>
      </c>
      <c r="D1890" s="120"/>
      <c r="E1890" s="45">
        <f t="shared" si="98"/>
        <v>0</v>
      </c>
      <c r="F1890" s="127">
        <f t="shared" si="99"/>
        <v>0</v>
      </c>
      <c r="G1890" s="151">
        <f>'Etude de cas n°1'!D1890</f>
        <v>0</v>
      </c>
      <c r="H1890" s="155"/>
      <c r="I1890" s="155"/>
      <c r="J1890" s="155"/>
      <c r="K1890" s="155"/>
      <c r="L1890" s="155"/>
      <c r="M1890" s="155"/>
      <c r="N1890" s="155"/>
    </row>
    <row r="1891" spans="1:14" ht="13.2" x14ac:dyDescent="0.25">
      <c r="A1891" s="228" t="s">
        <v>4143</v>
      </c>
      <c r="B1891" s="223" t="s">
        <v>4144</v>
      </c>
      <c r="C1891" s="217" t="s">
        <v>1141</v>
      </c>
      <c r="D1891" s="120"/>
      <c r="E1891" s="45">
        <f t="shared" si="98"/>
        <v>0</v>
      </c>
      <c r="F1891" s="127">
        <f t="shared" si="99"/>
        <v>0</v>
      </c>
      <c r="G1891" s="151">
        <f>'Etude de cas n°1'!D1891</f>
        <v>0</v>
      </c>
      <c r="H1891" s="155"/>
      <c r="I1891" s="155"/>
      <c r="J1891" s="155"/>
      <c r="K1891" s="155"/>
      <c r="L1891" s="155"/>
      <c r="M1891" s="155"/>
      <c r="N1891" s="155"/>
    </row>
    <row r="1892" spans="1:14" ht="26.4" x14ac:dyDescent="0.25">
      <c r="A1892" s="27" t="s">
        <v>4145</v>
      </c>
      <c r="B1892" s="4" t="s">
        <v>4146</v>
      </c>
      <c r="C1892" s="217" t="s">
        <v>1011</v>
      </c>
      <c r="D1892" s="120"/>
      <c r="E1892" s="45">
        <f t="shared" si="98"/>
        <v>0</v>
      </c>
      <c r="F1892" s="127">
        <f t="shared" si="99"/>
        <v>0</v>
      </c>
      <c r="G1892" s="151">
        <f>'Etude de cas n°1'!D1892</f>
        <v>0</v>
      </c>
      <c r="H1892" s="155"/>
      <c r="I1892" s="155"/>
      <c r="J1892" s="155"/>
      <c r="K1892" s="155"/>
      <c r="L1892" s="155"/>
      <c r="M1892" s="155"/>
      <c r="N1892" s="155"/>
    </row>
    <row r="1893" spans="1:14" ht="13.2" x14ac:dyDescent="0.25">
      <c r="A1893" s="27" t="s">
        <v>4147</v>
      </c>
      <c r="B1893" s="6" t="s">
        <v>4148</v>
      </c>
      <c r="C1893" s="217" t="s">
        <v>1804</v>
      </c>
      <c r="D1893" s="120"/>
      <c r="E1893" s="45">
        <f t="shared" si="98"/>
        <v>0</v>
      </c>
      <c r="F1893" s="127">
        <f t="shared" si="99"/>
        <v>0</v>
      </c>
      <c r="G1893" s="151">
        <f>'Etude de cas n°1'!D1893</f>
        <v>0</v>
      </c>
      <c r="H1893" s="155"/>
      <c r="I1893" s="155"/>
      <c r="J1893" s="155"/>
      <c r="K1893" s="155"/>
      <c r="L1893" s="155"/>
      <c r="M1893" s="155"/>
      <c r="N1893" s="155"/>
    </row>
    <row r="1894" spans="1:14" ht="13.2" x14ac:dyDescent="0.25">
      <c r="A1894" s="27" t="s">
        <v>4149</v>
      </c>
      <c r="B1894" s="6" t="s">
        <v>4150</v>
      </c>
      <c r="C1894" s="217" t="s">
        <v>1804</v>
      </c>
      <c r="D1894" s="120"/>
      <c r="E1894" s="45">
        <f t="shared" si="98"/>
        <v>0</v>
      </c>
      <c r="F1894" s="127">
        <f t="shared" si="99"/>
        <v>0</v>
      </c>
      <c r="G1894" s="151">
        <f>'Etude de cas n°1'!D1894</f>
        <v>0</v>
      </c>
      <c r="H1894" s="155"/>
      <c r="I1894" s="155"/>
      <c r="J1894" s="155"/>
      <c r="K1894" s="155"/>
      <c r="L1894" s="155"/>
      <c r="M1894" s="155"/>
      <c r="N1894" s="155"/>
    </row>
    <row r="1895" spans="1:14" ht="13.2" x14ac:dyDescent="0.25">
      <c r="A1895" s="202"/>
      <c r="B1895" s="216"/>
      <c r="C1895" s="217"/>
      <c r="D1895" s="136"/>
      <c r="E1895" s="217"/>
      <c r="F1895" s="217"/>
      <c r="H1895" s="155"/>
      <c r="I1895" s="155"/>
      <c r="J1895" s="155"/>
      <c r="K1895" s="155"/>
      <c r="L1895" s="155"/>
      <c r="M1895" s="155"/>
      <c r="N1895" s="155"/>
    </row>
    <row r="1896" spans="1:14" ht="13.2" x14ac:dyDescent="0.25">
      <c r="A1896" s="202"/>
      <c r="B1896" s="122" t="s">
        <v>4151</v>
      </c>
      <c r="C1896" s="217"/>
      <c r="D1896" s="136"/>
      <c r="E1896" s="217"/>
      <c r="F1896" s="158">
        <f>SUM(F1877:F1895)</f>
        <v>0</v>
      </c>
      <c r="H1896" s="155"/>
      <c r="I1896" s="155"/>
      <c r="J1896" s="155"/>
      <c r="K1896" s="155"/>
      <c r="L1896" s="155"/>
      <c r="M1896" s="155"/>
      <c r="N1896" s="155"/>
    </row>
    <row r="1897" spans="1:14" ht="13.2" x14ac:dyDescent="0.25">
      <c r="A1897" s="202"/>
      <c r="B1897" s="122"/>
      <c r="C1897" s="217"/>
      <c r="D1897" s="136"/>
      <c r="E1897" s="217"/>
      <c r="F1897" s="217"/>
      <c r="H1897" s="155"/>
      <c r="I1897" s="155"/>
      <c r="J1897" s="155"/>
      <c r="K1897" s="155"/>
      <c r="L1897" s="155"/>
      <c r="M1897" s="155"/>
      <c r="N1897" s="155"/>
    </row>
    <row r="1898" spans="1:14" ht="13.2" x14ac:dyDescent="0.25">
      <c r="A1898" s="29">
        <v>17</v>
      </c>
      <c r="B1898" s="32" t="s">
        <v>4152</v>
      </c>
      <c r="C1898" s="224" t="s">
        <v>1883</v>
      </c>
      <c r="D1898" s="123"/>
      <c r="E1898" s="224" t="s">
        <v>1883</v>
      </c>
      <c r="F1898" s="224" t="s">
        <v>1883</v>
      </c>
      <c r="G1898" s="224" t="s">
        <v>1883</v>
      </c>
      <c r="H1898" s="155"/>
      <c r="I1898" s="155"/>
      <c r="J1898" s="155"/>
      <c r="K1898" s="155"/>
      <c r="L1898" s="155"/>
      <c r="M1898" s="155"/>
      <c r="N1898" s="155"/>
    </row>
    <row r="1899" spans="1:14" ht="13.2" x14ac:dyDescent="0.25">
      <c r="A1899" s="27" t="s">
        <v>4153</v>
      </c>
      <c r="B1899" s="6" t="s">
        <v>4154</v>
      </c>
      <c r="C1899" s="217" t="s">
        <v>1883</v>
      </c>
      <c r="D1899" s="136"/>
      <c r="E1899" s="217" t="s">
        <v>1883</v>
      </c>
      <c r="F1899" s="217" t="s">
        <v>1883</v>
      </c>
      <c r="H1899" s="155"/>
      <c r="I1899" s="155"/>
      <c r="J1899" s="155"/>
      <c r="K1899" s="155"/>
      <c r="L1899" s="155"/>
      <c r="M1899" s="155"/>
      <c r="N1899" s="155"/>
    </row>
    <row r="1900" spans="1:14" ht="13.2" x14ac:dyDescent="0.25">
      <c r="A1900" s="202" t="s">
        <v>4155</v>
      </c>
      <c r="B1900" s="223" t="s">
        <v>4156</v>
      </c>
      <c r="C1900" s="217" t="s">
        <v>1232</v>
      </c>
      <c r="D1900" s="120"/>
      <c r="E1900" s="45">
        <f t="shared" ref="E1900:E1957" si="100">G1900</f>
        <v>0</v>
      </c>
      <c r="F1900" s="127">
        <f>D1900*E1900</f>
        <v>0</v>
      </c>
      <c r="G1900" s="151">
        <f>'Etude de cas n°1'!D1900</f>
        <v>0</v>
      </c>
      <c r="H1900" s="155"/>
      <c r="I1900" s="155"/>
      <c r="J1900" s="155"/>
      <c r="K1900" s="155"/>
      <c r="L1900" s="155"/>
      <c r="M1900" s="155"/>
      <c r="N1900" s="155"/>
    </row>
    <row r="1901" spans="1:14" ht="13.2" x14ac:dyDescent="0.25">
      <c r="A1901" s="202" t="s">
        <v>4157</v>
      </c>
      <c r="B1901" s="223" t="s">
        <v>4158</v>
      </c>
      <c r="C1901" s="217" t="s">
        <v>1232</v>
      </c>
      <c r="D1901" s="120"/>
      <c r="E1901" s="45">
        <f t="shared" si="100"/>
        <v>0</v>
      </c>
      <c r="F1901" s="127">
        <f t="shared" ref="F1901:F1932" si="101">D1901*E1901</f>
        <v>0</v>
      </c>
      <c r="G1901" s="151">
        <f>'Etude de cas n°1'!D1901</f>
        <v>0</v>
      </c>
      <c r="H1901" s="155"/>
      <c r="I1901" s="155"/>
      <c r="J1901" s="155"/>
      <c r="K1901" s="155"/>
      <c r="L1901" s="155"/>
      <c r="M1901" s="155"/>
      <c r="N1901" s="155"/>
    </row>
    <row r="1902" spans="1:14" ht="13.2" x14ac:dyDescent="0.25">
      <c r="A1902" s="202" t="s">
        <v>4159</v>
      </c>
      <c r="B1902" s="223" t="s">
        <v>4160</v>
      </c>
      <c r="C1902" s="217" t="s">
        <v>1232</v>
      </c>
      <c r="D1902" s="120"/>
      <c r="E1902" s="45">
        <f t="shared" si="100"/>
        <v>0</v>
      </c>
      <c r="F1902" s="127">
        <f t="shared" si="101"/>
        <v>0</v>
      </c>
      <c r="G1902" s="151">
        <f>'Etude de cas n°1'!D1902</f>
        <v>0</v>
      </c>
      <c r="H1902" s="155"/>
      <c r="I1902" s="155"/>
      <c r="J1902" s="155"/>
      <c r="K1902" s="155"/>
      <c r="L1902" s="155"/>
      <c r="M1902" s="155"/>
      <c r="N1902" s="155"/>
    </row>
    <row r="1903" spans="1:14" ht="13.2" x14ac:dyDescent="0.25">
      <c r="A1903" s="202" t="s">
        <v>4161</v>
      </c>
      <c r="B1903" s="223" t="s">
        <v>4162</v>
      </c>
      <c r="C1903" s="217" t="s">
        <v>1232</v>
      </c>
      <c r="D1903" s="120"/>
      <c r="E1903" s="45">
        <f t="shared" si="100"/>
        <v>0</v>
      </c>
      <c r="F1903" s="127">
        <f t="shared" si="101"/>
        <v>0</v>
      </c>
      <c r="G1903" s="151">
        <f>'Etude de cas n°1'!D1903</f>
        <v>0</v>
      </c>
      <c r="H1903" s="155"/>
      <c r="I1903" s="155"/>
      <c r="J1903" s="155"/>
      <c r="K1903" s="155"/>
      <c r="L1903" s="155"/>
      <c r="M1903" s="155"/>
      <c r="N1903" s="155"/>
    </row>
    <row r="1904" spans="1:14" ht="13.2" x14ac:dyDescent="0.25">
      <c r="A1904" s="202" t="s">
        <v>4163</v>
      </c>
      <c r="B1904" s="223" t="s">
        <v>4164</v>
      </c>
      <c r="C1904" s="217" t="s">
        <v>1232</v>
      </c>
      <c r="D1904" s="120"/>
      <c r="E1904" s="45">
        <f t="shared" si="100"/>
        <v>0</v>
      </c>
      <c r="F1904" s="127">
        <f t="shared" si="101"/>
        <v>0</v>
      </c>
      <c r="G1904" s="151">
        <f>'Etude de cas n°1'!D1904</f>
        <v>0</v>
      </c>
      <c r="H1904" s="155"/>
      <c r="I1904" s="155"/>
      <c r="J1904" s="155"/>
      <c r="K1904" s="155"/>
      <c r="L1904" s="155"/>
      <c r="M1904" s="155"/>
      <c r="N1904" s="155"/>
    </row>
    <row r="1905" spans="1:14" ht="13.2" x14ac:dyDescent="0.25">
      <c r="A1905" s="27" t="s">
        <v>4165</v>
      </c>
      <c r="B1905" s="6" t="s">
        <v>4166</v>
      </c>
      <c r="C1905" s="217"/>
      <c r="D1905" s="120"/>
      <c r="E1905" s="45"/>
      <c r="F1905" s="127"/>
      <c r="G1905" s="151"/>
      <c r="H1905" s="155"/>
      <c r="I1905" s="155"/>
      <c r="J1905" s="155"/>
      <c r="K1905" s="155"/>
      <c r="L1905" s="155"/>
      <c r="M1905" s="155"/>
      <c r="N1905" s="155"/>
    </row>
    <row r="1906" spans="1:14" ht="13.2" x14ac:dyDescent="0.25">
      <c r="A1906" s="202" t="s">
        <v>4167</v>
      </c>
      <c r="B1906" s="223" t="s">
        <v>4168</v>
      </c>
      <c r="C1906" s="217" t="s">
        <v>1232</v>
      </c>
      <c r="D1906" s="120"/>
      <c r="E1906" s="45">
        <f t="shared" si="100"/>
        <v>0</v>
      </c>
      <c r="F1906" s="127">
        <f t="shared" si="101"/>
        <v>0</v>
      </c>
      <c r="G1906" s="151">
        <f>'Etude de cas n°1'!D1906</f>
        <v>0</v>
      </c>
      <c r="H1906" s="155"/>
      <c r="I1906" s="155"/>
      <c r="J1906" s="155"/>
      <c r="K1906" s="155"/>
      <c r="L1906" s="155"/>
      <c r="M1906" s="155"/>
      <c r="N1906" s="155"/>
    </row>
    <row r="1907" spans="1:14" ht="13.2" x14ac:dyDescent="0.25">
      <c r="A1907" s="202" t="s">
        <v>4169</v>
      </c>
      <c r="B1907" s="223" t="s">
        <v>4170</v>
      </c>
      <c r="C1907" s="217" t="s">
        <v>1232</v>
      </c>
      <c r="D1907" s="120"/>
      <c r="E1907" s="45">
        <f t="shared" si="100"/>
        <v>0</v>
      </c>
      <c r="F1907" s="127">
        <f t="shared" si="101"/>
        <v>0</v>
      </c>
      <c r="G1907" s="151">
        <f>'Etude de cas n°1'!D1907</f>
        <v>0</v>
      </c>
      <c r="H1907" s="155"/>
      <c r="I1907" s="155"/>
      <c r="J1907" s="155"/>
      <c r="K1907" s="155"/>
      <c r="L1907" s="155"/>
      <c r="M1907" s="155"/>
      <c r="N1907" s="155"/>
    </row>
    <row r="1908" spans="1:14" ht="13.2" x14ac:dyDescent="0.25">
      <c r="A1908" s="202" t="s">
        <v>4171</v>
      </c>
      <c r="B1908" s="223" t="s">
        <v>4172</v>
      </c>
      <c r="C1908" s="217" t="s">
        <v>1232</v>
      </c>
      <c r="D1908" s="120"/>
      <c r="E1908" s="45">
        <f t="shared" si="100"/>
        <v>0</v>
      </c>
      <c r="F1908" s="127">
        <f t="shared" si="101"/>
        <v>0</v>
      </c>
      <c r="G1908" s="151">
        <f>'Etude de cas n°1'!D1908</f>
        <v>0</v>
      </c>
      <c r="H1908" s="155"/>
      <c r="I1908" s="155"/>
      <c r="J1908" s="155"/>
      <c r="K1908" s="155"/>
      <c r="L1908" s="155"/>
      <c r="M1908" s="155"/>
      <c r="N1908" s="155"/>
    </row>
    <row r="1909" spans="1:14" ht="13.2" x14ac:dyDescent="0.25">
      <c r="A1909" s="202" t="s">
        <v>4173</v>
      </c>
      <c r="B1909" s="223" t="s">
        <v>4174</v>
      </c>
      <c r="C1909" s="217" t="s">
        <v>1232</v>
      </c>
      <c r="D1909" s="120"/>
      <c r="E1909" s="45">
        <f t="shared" si="100"/>
        <v>0</v>
      </c>
      <c r="F1909" s="127">
        <f t="shared" si="101"/>
        <v>0</v>
      </c>
      <c r="G1909" s="151">
        <f>'Etude de cas n°1'!D1909</f>
        <v>0</v>
      </c>
      <c r="H1909" s="155"/>
      <c r="I1909" s="155"/>
      <c r="J1909" s="155"/>
      <c r="K1909" s="155"/>
      <c r="L1909" s="155"/>
      <c r="M1909" s="155"/>
      <c r="N1909" s="155"/>
    </row>
    <row r="1910" spans="1:14" ht="13.2" x14ac:dyDescent="0.25">
      <c r="A1910" s="202" t="s">
        <v>4175</v>
      </c>
      <c r="B1910" s="223" t="s">
        <v>4176</v>
      </c>
      <c r="C1910" s="217" t="s">
        <v>1232</v>
      </c>
      <c r="D1910" s="120"/>
      <c r="E1910" s="45">
        <f t="shared" si="100"/>
        <v>0</v>
      </c>
      <c r="F1910" s="127">
        <f t="shared" si="101"/>
        <v>0</v>
      </c>
      <c r="G1910" s="151">
        <f>'Etude de cas n°1'!D1910</f>
        <v>0</v>
      </c>
      <c r="H1910" s="155"/>
      <c r="I1910" s="155"/>
      <c r="J1910" s="155"/>
      <c r="K1910" s="155"/>
      <c r="L1910" s="155"/>
      <c r="M1910" s="155"/>
      <c r="N1910" s="155"/>
    </row>
    <row r="1911" spans="1:14" ht="13.2" x14ac:dyDescent="0.25">
      <c r="A1911" s="27" t="s">
        <v>4177</v>
      </c>
      <c r="B1911" s="6" t="s">
        <v>4178</v>
      </c>
      <c r="C1911" s="217"/>
      <c r="D1911" s="120"/>
      <c r="E1911" s="45"/>
      <c r="F1911" s="127"/>
      <c r="G1911" s="151"/>
      <c r="H1911" s="155"/>
      <c r="I1911" s="155"/>
      <c r="J1911" s="155"/>
      <c r="K1911" s="155"/>
      <c r="L1911" s="155"/>
      <c r="M1911" s="155"/>
      <c r="N1911" s="155"/>
    </row>
    <row r="1912" spans="1:14" ht="13.2" x14ac:dyDescent="0.25">
      <c r="A1912" s="202" t="s">
        <v>4179</v>
      </c>
      <c r="B1912" s="223" t="s">
        <v>4180</v>
      </c>
      <c r="C1912" s="217" t="s">
        <v>1011</v>
      </c>
      <c r="D1912" s="120"/>
      <c r="E1912" s="45">
        <f t="shared" si="100"/>
        <v>0</v>
      </c>
      <c r="F1912" s="127">
        <f t="shared" si="101"/>
        <v>0</v>
      </c>
      <c r="G1912" s="151">
        <f>'Etude de cas n°1'!D1912</f>
        <v>0</v>
      </c>
      <c r="H1912" s="155"/>
      <c r="I1912" s="155"/>
      <c r="J1912" s="155"/>
      <c r="K1912" s="155"/>
      <c r="L1912" s="155"/>
      <c r="M1912" s="155"/>
      <c r="N1912" s="155"/>
    </row>
    <row r="1913" spans="1:14" ht="13.2" x14ac:dyDescent="0.25">
      <c r="A1913" s="202" t="s">
        <v>4181</v>
      </c>
      <c r="B1913" s="223" t="s">
        <v>4182</v>
      </c>
      <c r="C1913" s="217" t="s">
        <v>1011</v>
      </c>
      <c r="D1913" s="120"/>
      <c r="E1913" s="45">
        <f t="shared" si="100"/>
        <v>0</v>
      </c>
      <c r="F1913" s="127">
        <f t="shared" si="101"/>
        <v>0</v>
      </c>
      <c r="G1913" s="151">
        <f>'Etude de cas n°1'!D1913</f>
        <v>0</v>
      </c>
      <c r="H1913" s="155"/>
      <c r="I1913" s="155"/>
      <c r="J1913" s="155"/>
      <c r="K1913" s="155"/>
      <c r="L1913" s="155"/>
      <c r="M1913" s="155"/>
      <c r="N1913" s="155"/>
    </row>
    <row r="1914" spans="1:14" ht="13.2" x14ac:dyDescent="0.25">
      <c r="A1914" s="202" t="s">
        <v>4183</v>
      </c>
      <c r="B1914" s="223" t="s">
        <v>4184</v>
      </c>
      <c r="C1914" s="217" t="s">
        <v>1011</v>
      </c>
      <c r="D1914" s="120"/>
      <c r="E1914" s="45">
        <f t="shared" si="100"/>
        <v>0</v>
      </c>
      <c r="F1914" s="127">
        <f t="shared" si="101"/>
        <v>0</v>
      </c>
      <c r="G1914" s="151">
        <f>'Etude de cas n°1'!D1914</f>
        <v>0</v>
      </c>
      <c r="H1914" s="155"/>
      <c r="I1914" s="155"/>
      <c r="J1914" s="155"/>
      <c r="K1914" s="155"/>
      <c r="L1914" s="155"/>
      <c r="M1914" s="155"/>
      <c r="N1914" s="155"/>
    </row>
    <row r="1915" spans="1:14" ht="13.2" x14ac:dyDescent="0.25">
      <c r="A1915" s="202" t="s">
        <v>4185</v>
      </c>
      <c r="B1915" s="223" t="s">
        <v>4186</v>
      </c>
      <c r="C1915" s="217" t="s">
        <v>1011</v>
      </c>
      <c r="D1915" s="120"/>
      <c r="E1915" s="45">
        <f t="shared" si="100"/>
        <v>0</v>
      </c>
      <c r="F1915" s="127">
        <f t="shared" si="101"/>
        <v>0</v>
      </c>
      <c r="G1915" s="151">
        <f>'Etude de cas n°1'!D1915</f>
        <v>0</v>
      </c>
      <c r="H1915" s="155"/>
      <c r="I1915" s="155"/>
      <c r="J1915" s="155"/>
      <c r="K1915" s="155"/>
      <c r="L1915" s="155"/>
      <c r="M1915" s="155"/>
      <c r="N1915" s="155"/>
    </row>
    <row r="1916" spans="1:14" ht="13.2" x14ac:dyDescent="0.25">
      <c r="A1916" s="202" t="s">
        <v>4187</v>
      </c>
      <c r="B1916" s="223" t="s">
        <v>4188</v>
      </c>
      <c r="C1916" s="217" t="s">
        <v>1011</v>
      </c>
      <c r="D1916" s="120"/>
      <c r="E1916" s="45">
        <f t="shared" si="100"/>
        <v>0</v>
      </c>
      <c r="F1916" s="127">
        <f t="shared" si="101"/>
        <v>0</v>
      </c>
      <c r="G1916" s="151">
        <f>'Etude de cas n°1'!D1916</f>
        <v>0</v>
      </c>
      <c r="H1916" s="155"/>
      <c r="I1916" s="155"/>
      <c r="J1916" s="155"/>
      <c r="K1916" s="155"/>
      <c r="L1916" s="155"/>
      <c r="M1916" s="155"/>
      <c r="N1916" s="155"/>
    </row>
    <row r="1917" spans="1:14" ht="13.2" x14ac:dyDescent="0.25">
      <c r="A1917" s="27" t="s">
        <v>4189</v>
      </c>
      <c r="B1917" s="3" t="s">
        <v>4190</v>
      </c>
      <c r="C1917" s="217"/>
      <c r="D1917" s="120"/>
      <c r="E1917" s="45"/>
      <c r="F1917" s="127"/>
      <c r="G1917" s="151"/>
      <c r="H1917" s="155"/>
      <c r="I1917" s="155"/>
      <c r="J1917" s="155"/>
      <c r="K1917" s="155"/>
      <c r="L1917" s="155"/>
      <c r="M1917" s="155"/>
      <c r="N1917" s="155"/>
    </row>
    <row r="1918" spans="1:14" ht="13.2" x14ac:dyDescent="0.25">
      <c r="A1918" s="202" t="s">
        <v>4191</v>
      </c>
      <c r="B1918" s="216" t="s">
        <v>4192</v>
      </c>
      <c r="C1918" s="217" t="s">
        <v>1011</v>
      </c>
      <c r="D1918" s="120"/>
      <c r="E1918" s="45">
        <f t="shared" si="100"/>
        <v>0</v>
      </c>
      <c r="F1918" s="127">
        <f t="shared" si="101"/>
        <v>0</v>
      </c>
      <c r="G1918" s="151">
        <f>'Etude de cas n°1'!D1918</f>
        <v>0</v>
      </c>
      <c r="H1918" s="155"/>
      <c r="I1918" s="155"/>
      <c r="J1918" s="155"/>
      <c r="K1918" s="155"/>
      <c r="L1918" s="155"/>
      <c r="M1918" s="155"/>
      <c r="N1918" s="155"/>
    </row>
    <row r="1919" spans="1:14" ht="13.2" x14ac:dyDescent="0.25">
      <c r="A1919" s="202" t="s">
        <v>4193</v>
      </c>
      <c r="B1919" s="216" t="s">
        <v>4194</v>
      </c>
      <c r="C1919" s="217" t="s">
        <v>1011</v>
      </c>
      <c r="D1919" s="120"/>
      <c r="E1919" s="45">
        <f t="shared" si="100"/>
        <v>0</v>
      </c>
      <c r="F1919" s="127">
        <f t="shared" si="101"/>
        <v>0</v>
      </c>
      <c r="G1919" s="151">
        <f>'Etude de cas n°1'!D1919</f>
        <v>0</v>
      </c>
      <c r="H1919" s="155"/>
      <c r="I1919" s="155"/>
      <c r="J1919" s="155"/>
      <c r="K1919" s="155"/>
      <c r="L1919" s="155"/>
      <c r="M1919" s="155"/>
      <c r="N1919" s="155"/>
    </row>
    <row r="1920" spans="1:14" ht="13.2" x14ac:dyDescent="0.25">
      <c r="A1920" s="202" t="s">
        <v>4195</v>
      </c>
      <c r="B1920" s="216" t="s">
        <v>4196</v>
      </c>
      <c r="C1920" s="217" t="s">
        <v>1011</v>
      </c>
      <c r="D1920" s="120"/>
      <c r="E1920" s="45">
        <f t="shared" si="100"/>
        <v>0</v>
      </c>
      <c r="F1920" s="127">
        <f t="shared" si="101"/>
        <v>0</v>
      </c>
      <c r="G1920" s="151">
        <f>'Etude de cas n°1'!D1920</f>
        <v>0</v>
      </c>
      <c r="H1920" s="155"/>
      <c r="I1920" s="155"/>
      <c r="J1920" s="155"/>
      <c r="K1920" s="155"/>
      <c r="L1920" s="155"/>
      <c r="M1920" s="155"/>
      <c r="N1920" s="155"/>
    </row>
    <row r="1921" spans="1:14" ht="13.2" x14ac:dyDescent="0.25">
      <c r="A1921" s="202" t="s">
        <v>4197</v>
      </c>
      <c r="B1921" s="216" t="s">
        <v>4198</v>
      </c>
      <c r="C1921" s="217" t="s">
        <v>1011</v>
      </c>
      <c r="D1921" s="120"/>
      <c r="E1921" s="45">
        <f t="shared" si="100"/>
        <v>0</v>
      </c>
      <c r="F1921" s="127">
        <f t="shared" si="101"/>
        <v>0</v>
      </c>
      <c r="G1921" s="151">
        <f>'Etude de cas n°1'!D1921</f>
        <v>0</v>
      </c>
      <c r="H1921" s="155"/>
      <c r="I1921" s="155"/>
      <c r="J1921" s="155"/>
      <c r="K1921" s="155"/>
      <c r="L1921" s="155"/>
      <c r="M1921" s="155"/>
      <c r="N1921" s="155"/>
    </row>
    <row r="1922" spans="1:14" ht="13.2" x14ac:dyDescent="0.25">
      <c r="A1922" s="202" t="s">
        <v>4199</v>
      </c>
      <c r="B1922" s="216" t="s">
        <v>4200</v>
      </c>
      <c r="C1922" s="217" t="s">
        <v>1011</v>
      </c>
      <c r="D1922" s="120"/>
      <c r="E1922" s="45">
        <f t="shared" si="100"/>
        <v>0</v>
      </c>
      <c r="F1922" s="127">
        <f t="shared" si="101"/>
        <v>0</v>
      </c>
      <c r="G1922" s="151">
        <f>'Etude de cas n°1'!D1922</f>
        <v>0</v>
      </c>
      <c r="H1922" s="155"/>
      <c r="I1922" s="155"/>
      <c r="J1922" s="155"/>
      <c r="K1922" s="155"/>
      <c r="L1922" s="155"/>
      <c r="M1922" s="155"/>
      <c r="N1922" s="155"/>
    </row>
    <row r="1923" spans="1:14" ht="13.2" x14ac:dyDescent="0.25">
      <c r="A1923" s="202" t="s">
        <v>4201</v>
      </c>
      <c r="B1923" s="216" t="s">
        <v>4202</v>
      </c>
      <c r="C1923" s="217" t="s">
        <v>1011</v>
      </c>
      <c r="D1923" s="120"/>
      <c r="E1923" s="45">
        <f t="shared" si="100"/>
        <v>0</v>
      </c>
      <c r="F1923" s="127">
        <f t="shared" si="101"/>
        <v>0</v>
      </c>
      <c r="G1923" s="151">
        <f>'Etude de cas n°1'!D1923</f>
        <v>0</v>
      </c>
      <c r="H1923" s="155"/>
      <c r="I1923" s="155"/>
      <c r="J1923" s="155"/>
      <c r="K1923" s="155"/>
      <c r="L1923" s="155"/>
      <c r="M1923" s="155"/>
      <c r="N1923" s="155"/>
    </row>
    <row r="1924" spans="1:14" ht="13.2" x14ac:dyDescent="0.25">
      <c r="A1924" s="202" t="s">
        <v>4203</v>
      </c>
      <c r="B1924" s="216" t="s">
        <v>4204</v>
      </c>
      <c r="C1924" s="217" t="s">
        <v>1011</v>
      </c>
      <c r="D1924" s="120"/>
      <c r="E1924" s="45">
        <f t="shared" si="100"/>
        <v>0</v>
      </c>
      <c r="F1924" s="127">
        <f t="shared" si="101"/>
        <v>0</v>
      </c>
      <c r="G1924" s="151">
        <f>'Etude de cas n°1'!D1924</f>
        <v>0</v>
      </c>
      <c r="H1924" s="155"/>
      <c r="I1924" s="155"/>
      <c r="J1924" s="155"/>
      <c r="K1924" s="155"/>
      <c r="L1924" s="155"/>
      <c r="M1924" s="155"/>
      <c r="N1924" s="155"/>
    </row>
    <row r="1925" spans="1:14" ht="13.2" x14ac:dyDescent="0.25">
      <c r="A1925" s="27" t="s">
        <v>4205</v>
      </c>
      <c r="B1925" s="3" t="s">
        <v>4206</v>
      </c>
      <c r="C1925" s="217"/>
      <c r="D1925" s="120"/>
      <c r="E1925" s="45"/>
      <c r="F1925" s="127"/>
      <c r="G1925" s="151"/>
      <c r="H1925" s="155"/>
      <c r="I1925" s="155"/>
      <c r="J1925" s="155"/>
      <c r="K1925" s="155"/>
      <c r="L1925" s="155"/>
      <c r="M1925" s="155"/>
      <c r="N1925" s="155"/>
    </row>
    <row r="1926" spans="1:14" ht="13.2" x14ac:dyDescent="0.25">
      <c r="A1926" s="202" t="s">
        <v>4207</v>
      </c>
      <c r="B1926" s="216" t="s">
        <v>4208</v>
      </c>
      <c r="C1926" s="217" t="s">
        <v>1011</v>
      </c>
      <c r="D1926" s="120"/>
      <c r="E1926" s="45">
        <f t="shared" si="100"/>
        <v>0</v>
      </c>
      <c r="F1926" s="127">
        <f t="shared" si="101"/>
        <v>0</v>
      </c>
      <c r="G1926" s="151">
        <f>'Etude de cas n°1'!D1926</f>
        <v>0</v>
      </c>
      <c r="H1926" s="155"/>
      <c r="I1926" s="155"/>
      <c r="J1926" s="155"/>
      <c r="K1926" s="155"/>
      <c r="L1926" s="155"/>
      <c r="M1926" s="155"/>
      <c r="N1926" s="155"/>
    </row>
    <row r="1927" spans="1:14" ht="13.2" x14ac:dyDescent="0.25">
      <c r="A1927" s="202" t="s">
        <v>4209</v>
      </c>
      <c r="B1927" s="216" t="s">
        <v>4210</v>
      </c>
      <c r="C1927" s="217" t="s">
        <v>1011</v>
      </c>
      <c r="D1927" s="120"/>
      <c r="E1927" s="45">
        <f t="shared" si="100"/>
        <v>0</v>
      </c>
      <c r="F1927" s="127">
        <f t="shared" si="101"/>
        <v>0</v>
      </c>
      <c r="G1927" s="151">
        <f>'Etude de cas n°1'!D1927</f>
        <v>0</v>
      </c>
      <c r="H1927" s="155"/>
      <c r="I1927" s="155"/>
      <c r="J1927" s="155"/>
      <c r="K1927" s="155"/>
      <c r="L1927" s="155"/>
      <c r="M1927" s="155"/>
      <c r="N1927" s="155"/>
    </row>
    <row r="1928" spans="1:14" ht="13.2" x14ac:dyDescent="0.25">
      <c r="A1928" s="202" t="s">
        <v>4211</v>
      </c>
      <c r="B1928" s="216" t="s">
        <v>4212</v>
      </c>
      <c r="C1928" s="217" t="s">
        <v>1011</v>
      </c>
      <c r="D1928" s="120"/>
      <c r="E1928" s="45">
        <f t="shared" si="100"/>
        <v>0</v>
      </c>
      <c r="F1928" s="127">
        <f t="shared" si="101"/>
        <v>0</v>
      </c>
      <c r="G1928" s="151">
        <f>'Etude de cas n°1'!D1928</f>
        <v>0</v>
      </c>
      <c r="H1928" s="155"/>
      <c r="I1928" s="155"/>
      <c r="J1928" s="155"/>
      <c r="K1928" s="155"/>
      <c r="L1928" s="155"/>
      <c r="M1928" s="155"/>
      <c r="N1928" s="155"/>
    </row>
    <row r="1929" spans="1:14" ht="13.2" x14ac:dyDescent="0.25">
      <c r="A1929" s="202" t="s">
        <v>4213</v>
      </c>
      <c r="B1929" s="216" t="s">
        <v>4214</v>
      </c>
      <c r="C1929" s="217" t="s">
        <v>1011</v>
      </c>
      <c r="D1929" s="120"/>
      <c r="E1929" s="45">
        <f t="shared" si="100"/>
        <v>0</v>
      </c>
      <c r="F1929" s="127">
        <f t="shared" si="101"/>
        <v>0</v>
      </c>
      <c r="G1929" s="151">
        <f>'Etude de cas n°1'!D1929</f>
        <v>0</v>
      </c>
      <c r="H1929" s="155"/>
      <c r="I1929" s="155"/>
      <c r="J1929" s="155"/>
      <c r="K1929" s="155"/>
      <c r="L1929" s="155"/>
      <c r="M1929" s="155"/>
      <c r="N1929" s="155"/>
    </row>
    <row r="1930" spans="1:14" ht="13.2" x14ac:dyDescent="0.25">
      <c r="A1930" s="27" t="s">
        <v>4215</v>
      </c>
      <c r="B1930" s="3" t="s">
        <v>4216</v>
      </c>
      <c r="C1930" s="217"/>
      <c r="D1930" s="120"/>
      <c r="E1930" s="45"/>
      <c r="F1930" s="127"/>
      <c r="G1930" s="151"/>
      <c r="H1930" s="155"/>
      <c r="I1930" s="155"/>
      <c r="J1930" s="155"/>
      <c r="K1930" s="155"/>
      <c r="L1930" s="155"/>
      <c r="M1930" s="155"/>
      <c r="N1930" s="155"/>
    </row>
    <row r="1931" spans="1:14" ht="13.2" x14ac:dyDescent="0.25">
      <c r="A1931" s="202" t="s">
        <v>4217</v>
      </c>
      <c r="B1931" s="216" t="s">
        <v>4218</v>
      </c>
      <c r="C1931" s="217" t="s">
        <v>1011</v>
      </c>
      <c r="D1931" s="120"/>
      <c r="E1931" s="45">
        <f t="shared" si="100"/>
        <v>0</v>
      </c>
      <c r="F1931" s="127">
        <f t="shared" si="101"/>
        <v>0</v>
      </c>
      <c r="G1931" s="151">
        <f>'Etude de cas n°1'!D1931</f>
        <v>0</v>
      </c>
      <c r="H1931" s="155"/>
      <c r="I1931" s="155"/>
      <c r="J1931" s="155"/>
      <c r="K1931" s="155"/>
      <c r="L1931" s="155"/>
      <c r="M1931" s="155"/>
      <c r="N1931" s="155"/>
    </row>
    <row r="1932" spans="1:14" ht="13.2" x14ac:dyDescent="0.25">
      <c r="A1932" s="202" t="s">
        <v>4219</v>
      </c>
      <c r="B1932" s="216" t="s">
        <v>4220</v>
      </c>
      <c r="C1932" s="217" t="s">
        <v>1011</v>
      </c>
      <c r="D1932" s="120"/>
      <c r="E1932" s="45">
        <f t="shared" si="100"/>
        <v>0</v>
      </c>
      <c r="F1932" s="127">
        <f t="shared" si="101"/>
        <v>0</v>
      </c>
      <c r="G1932" s="151">
        <f>'Etude de cas n°1'!D1932</f>
        <v>0</v>
      </c>
      <c r="H1932" s="155"/>
      <c r="I1932" s="155"/>
      <c r="J1932" s="155"/>
      <c r="K1932" s="155"/>
      <c r="L1932" s="155"/>
      <c r="M1932" s="155"/>
      <c r="N1932" s="155"/>
    </row>
    <row r="1933" spans="1:14" ht="13.2" x14ac:dyDescent="0.25">
      <c r="A1933" s="202"/>
      <c r="B1933" s="216"/>
      <c r="C1933" s="217"/>
      <c r="D1933" s="120"/>
      <c r="E1933" s="45"/>
      <c r="F1933" s="217"/>
      <c r="H1933" s="155"/>
      <c r="I1933" s="155"/>
      <c r="J1933" s="155"/>
      <c r="K1933" s="155"/>
      <c r="L1933" s="155"/>
      <c r="M1933" s="155"/>
      <c r="N1933" s="155"/>
    </row>
    <row r="1934" spans="1:14" ht="13.2" x14ac:dyDescent="0.25">
      <c r="A1934" s="202"/>
      <c r="B1934" s="122" t="s">
        <v>4221</v>
      </c>
      <c r="C1934" s="217"/>
      <c r="D1934" s="136"/>
      <c r="E1934" s="45"/>
      <c r="F1934" s="158">
        <f>SUM(F1900:F1933)</f>
        <v>0</v>
      </c>
      <c r="H1934" s="155"/>
      <c r="I1934" s="155"/>
      <c r="J1934" s="155"/>
      <c r="K1934" s="155"/>
      <c r="L1934" s="155"/>
      <c r="M1934" s="155"/>
      <c r="N1934" s="155"/>
    </row>
    <row r="1935" spans="1:14" ht="13.2" x14ac:dyDescent="0.25">
      <c r="A1935" s="202"/>
      <c r="B1935" s="216"/>
      <c r="C1935" s="217"/>
      <c r="D1935" s="136"/>
      <c r="E1935" s="45"/>
      <c r="F1935" s="217"/>
      <c r="H1935" s="155"/>
      <c r="I1935" s="155"/>
      <c r="J1935" s="155"/>
      <c r="K1935" s="155"/>
      <c r="L1935" s="155"/>
      <c r="M1935" s="155"/>
      <c r="N1935" s="155"/>
    </row>
    <row r="1936" spans="1:14" ht="13.2" x14ac:dyDescent="0.25">
      <c r="A1936" s="29">
        <v>18</v>
      </c>
      <c r="B1936" s="32" t="s">
        <v>4222</v>
      </c>
      <c r="C1936" s="224" t="s">
        <v>1883</v>
      </c>
      <c r="D1936" s="123"/>
      <c r="E1936" s="159"/>
      <c r="F1936" s="224" t="s">
        <v>1883</v>
      </c>
      <c r="G1936" s="224" t="s">
        <v>1883</v>
      </c>
      <c r="H1936" s="155"/>
      <c r="I1936" s="155"/>
      <c r="J1936" s="155"/>
      <c r="K1936" s="155"/>
      <c r="L1936" s="155"/>
      <c r="M1936" s="155"/>
      <c r="N1936" s="155"/>
    </row>
    <row r="1937" spans="1:14" ht="13.2" x14ac:dyDescent="0.25">
      <c r="A1937" s="27" t="s">
        <v>4223</v>
      </c>
      <c r="B1937" s="6" t="s">
        <v>4224</v>
      </c>
      <c r="C1937" s="217" t="s">
        <v>1883</v>
      </c>
      <c r="D1937" s="120"/>
      <c r="E1937" s="45"/>
      <c r="F1937" s="66"/>
      <c r="H1937" s="155"/>
      <c r="I1937" s="155"/>
      <c r="J1937" s="155"/>
      <c r="K1937" s="155"/>
      <c r="L1937" s="155"/>
      <c r="M1937" s="155"/>
      <c r="N1937" s="155"/>
    </row>
    <row r="1938" spans="1:14" ht="13.2" x14ac:dyDescent="0.25">
      <c r="A1938" s="202" t="s">
        <v>4225</v>
      </c>
      <c r="B1938" s="223" t="s">
        <v>4226</v>
      </c>
      <c r="C1938" s="217" t="s">
        <v>2879</v>
      </c>
      <c r="D1938" s="120"/>
      <c r="E1938" s="45">
        <f t="shared" si="100"/>
        <v>0</v>
      </c>
      <c r="F1938" s="127">
        <f>D1938*E1938</f>
        <v>0</v>
      </c>
      <c r="G1938" s="151">
        <f>'Etude de cas n°1'!D1938</f>
        <v>0</v>
      </c>
      <c r="H1938" s="155"/>
      <c r="I1938" s="155"/>
      <c r="J1938" s="155"/>
      <c r="K1938" s="155"/>
      <c r="L1938" s="155"/>
      <c r="M1938" s="155"/>
      <c r="N1938" s="155"/>
    </row>
    <row r="1939" spans="1:14" ht="13.2" x14ac:dyDescent="0.25">
      <c r="A1939" s="202" t="s">
        <v>4227</v>
      </c>
      <c r="B1939" s="223" t="s">
        <v>4228</v>
      </c>
      <c r="C1939" s="217" t="s">
        <v>2879</v>
      </c>
      <c r="D1939" s="120"/>
      <c r="E1939" s="45">
        <f t="shared" si="100"/>
        <v>0</v>
      </c>
      <c r="F1939" s="127">
        <f t="shared" ref="F1939:F1957" si="102">D1939*E1939</f>
        <v>0</v>
      </c>
      <c r="G1939" s="151">
        <f>'Etude de cas n°1'!D1939</f>
        <v>0</v>
      </c>
      <c r="H1939" s="155"/>
      <c r="I1939" s="155"/>
      <c r="J1939" s="155"/>
      <c r="K1939" s="155"/>
      <c r="L1939" s="155"/>
      <c r="M1939" s="155"/>
      <c r="N1939" s="155"/>
    </row>
    <row r="1940" spans="1:14" ht="13.2" x14ac:dyDescent="0.25">
      <c r="A1940" s="202" t="s">
        <v>4229</v>
      </c>
      <c r="B1940" s="223" t="s">
        <v>4230</v>
      </c>
      <c r="C1940" s="217" t="s">
        <v>2879</v>
      </c>
      <c r="D1940" s="120"/>
      <c r="E1940" s="45">
        <f t="shared" si="100"/>
        <v>0</v>
      </c>
      <c r="F1940" s="127">
        <f t="shared" si="102"/>
        <v>0</v>
      </c>
      <c r="G1940" s="151">
        <f>'Etude de cas n°1'!D1940</f>
        <v>0</v>
      </c>
      <c r="H1940" s="155"/>
      <c r="I1940" s="155"/>
      <c r="J1940" s="155"/>
      <c r="K1940" s="155"/>
      <c r="L1940" s="155"/>
      <c r="M1940" s="155"/>
      <c r="N1940" s="155"/>
    </row>
    <row r="1941" spans="1:14" ht="13.2" x14ac:dyDescent="0.25">
      <c r="A1941" s="202" t="s">
        <v>4231</v>
      </c>
      <c r="B1941" s="223" t="s">
        <v>4232</v>
      </c>
      <c r="C1941" s="217" t="s">
        <v>2879</v>
      </c>
      <c r="D1941" s="120"/>
      <c r="E1941" s="45">
        <f t="shared" si="100"/>
        <v>0</v>
      </c>
      <c r="F1941" s="127">
        <f t="shared" si="102"/>
        <v>0</v>
      </c>
      <c r="G1941" s="151">
        <f>'Etude de cas n°1'!D1941</f>
        <v>0</v>
      </c>
      <c r="H1941" s="155"/>
      <c r="I1941" s="155"/>
      <c r="J1941" s="155"/>
      <c r="K1941" s="155"/>
      <c r="L1941" s="155"/>
      <c r="M1941" s="155"/>
      <c r="N1941" s="155"/>
    </row>
    <row r="1942" spans="1:14" ht="13.2" x14ac:dyDescent="0.25">
      <c r="A1942" s="202" t="s">
        <v>4233</v>
      </c>
      <c r="B1942" s="223" t="s">
        <v>4234</v>
      </c>
      <c r="C1942" s="217" t="s">
        <v>2879</v>
      </c>
      <c r="D1942" s="120"/>
      <c r="E1942" s="45">
        <f t="shared" si="100"/>
        <v>0</v>
      </c>
      <c r="F1942" s="127">
        <f t="shared" si="102"/>
        <v>0</v>
      </c>
      <c r="G1942" s="151">
        <f>'Etude de cas n°1'!D1942</f>
        <v>0</v>
      </c>
      <c r="H1942" s="155"/>
      <c r="I1942" s="155"/>
      <c r="J1942" s="155"/>
      <c r="K1942" s="155"/>
      <c r="L1942" s="155"/>
      <c r="M1942" s="155"/>
      <c r="N1942" s="155"/>
    </row>
    <row r="1943" spans="1:14" ht="26.4" x14ac:dyDescent="0.25">
      <c r="A1943" s="27" t="s">
        <v>4235</v>
      </c>
      <c r="B1943" s="6" t="s">
        <v>4236</v>
      </c>
      <c r="C1943" s="217"/>
      <c r="D1943" s="120"/>
      <c r="E1943" s="45"/>
      <c r="F1943" s="127"/>
      <c r="G1943" s="151"/>
      <c r="H1943" s="155"/>
      <c r="I1943" s="155"/>
      <c r="J1943" s="155"/>
      <c r="K1943" s="155"/>
      <c r="L1943" s="155"/>
      <c r="M1943" s="155"/>
      <c r="N1943" s="155"/>
    </row>
    <row r="1944" spans="1:14" ht="13.2" x14ac:dyDescent="0.25">
      <c r="A1944" s="202" t="s">
        <v>4237</v>
      </c>
      <c r="B1944" s="223" t="s">
        <v>4228</v>
      </c>
      <c r="C1944" s="217" t="s">
        <v>2879</v>
      </c>
      <c r="D1944" s="120"/>
      <c r="E1944" s="45">
        <f t="shared" si="100"/>
        <v>0</v>
      </c>
      <c r="F1944" s="127">
        <f t="shared" si="102"/>
        <v>0</v>
      </c>
      <c r="G1944" s="151">
        <f>'Etude de cas n°1'!D1944</f>
        <v>0</v>
      </c>
      <c r="H1944" s="155"/>
      <c r="I1944" s="155"/>
      <c r="J1944" s="155"/>
      <c r="K1944" s="155"/>
      <c r="L1944" s="155"/>
      <c r="M1944" s="155"/>
      <c r="N1944" s="155"/>
    </row>
    <row r="1945" spans="1:14" ht="13.2" x14ac:dyDescent="0.25">
      <c r="A1945" s="202" t="s">
        <v>4238</v>
      </c>
      <c r="B1945" s="223" t="s">
        <v>4230</v>
      </c>
      <c r="C1945" s="217" t="s">
        <v>2879</v>
      </c>
      <c r="D1945" s="120"/>
      <c r="E1945" s="45">
        <f t="shared" si="100"/>
        <v>0</v>
      </c>
      <c r="F1945" s="127">
        <f t="shared" si="102"/>
        <v>0</v>
      </c>
      <c r="G1945" s="151">
        <f>'Etude de cas n°1'!D1945</f>
        <v>0</v>
      </c>
      <c r="H1945" s="155"/>
      <c r="I1945" s="155"/>
      <c r="J1945" s="155"/>
      <c r="K1945" s="155"/>
      <c r="L1945" s="155"/>
      <c r="M1945" s="155"/>
      <c r="N1945" s="155"/>
    </row>
    <row r="1946" spans="1:14" ht="13.2" x14ac:dyDescent="0.25">
      <c r="A1946" s="202" t="s">
        <v>4239</v>
      </c>
      <c r="B1946" s="223" t="s">
        <v>4232</v>
      </c>
      <c r="C1946" s="217" t="s">
        <v>2879</v>
      </c>
      <c r="D1946" s="120"/>
      <c r="E1946" s="45">
        <f t="shared" si="100"/>
        <v>0</v>
      </c>
      <c r="F1946" s="127">
        <f t="shared" si="102"/>
        <v>0</v>
      </c>
      <c r="G1946" s="151">
        <f>'Etude de cas n°1'!D1946</f>
        <v>0</v>
      </c>
      <c r="H1946" s="155"/>
      <c r="I1946" s="155"/>
      <c r="J1946" s="155"/>
      <c r="K1946" s="155"/>
      <c r="L1946" s="155"/>
      <c r="M1946" s="155"/>
      <c r="N1946" s="155"/>
    </row>
    <row r="1947" spans="1:14" ht="13.2" x14ac:dyDescent="0.25">
      <c r="A1947" s="27" t="s">
        <v>4240</v>
      </c>
      <c r="B1947" s="6" t="s">
        <v>4241</v>
      </c>
      <c r="C1947" s="217"/>
      <c r="D1947" s="120"/>
      <c r="E1947" s="45"/>
      <c r="F1947" s="127"/>
      <c r="G1947" s="151"/>
      <c r="H1947" s="155"/>
      <c r="I1947" s="155"/>
      <c r="J1947" s="155"/>
      <c r="K1947" s="155"/>
      <c r="L1947" s="155"/>
      <c r="M1947" s="155"/>
      <c r="N1947" s="155"/>
    </row>
    <row r="1948" spans="1:14" ht="13.2" x14ac:dyDescent="0.25">
      <c r="A1948" s="202" t="s">
        <v>4242</v>
      </c>
      <c r="B1948" s="223" t="s">
        <v>4228</v>
      </c>
      <c r="C1948" s="217" t="s">
        <v>2879</v>
      </c>
      <c r="D1948" s="120"/>
      <c r="E1948" s="45">
        <f t="shared" si="100"/>
        <v>0</v>
      </c>
      <c r="F1948" s="127">
        <f t="shared" si="102"/>
        <v>0</v>
      </c>
      <c r="G1948" s="151">
        <f>'Etude de cas n°1'!D1948</f>
        <v>0</v>
      </c>
      <c r="H1948" s="155"/>
      <c r="I1948" s="155"/>
      <c r="J1948" s="155"/>
      <c r="K1948" s="155"/>
      <c r="L1948" s="155"/>
      <c r="M1948" s="155"/>
      <c r="N1948" s="155"/>
    </row>
    <row r="1949" spans="1:14" ht="13.2" x14ac:dyDescent="0.25">
      <c r="A1949" s="202" t="s">
        <v>4243</v>
      </c>
      <c r="B1949" s="223" t="s">
        <v>4230</v>
      </c>
      <c r="C1949" s="217" t="s">
        <v>2879</v>
      </c>
      <c r="D1949" s="120"/>
      <c r="E1949" s="45">
        <f t="shared" si="100"/>
        <v>0</v>
      </c>
      <c r="F1949" s="127">
        <f t="shared" si="102"/>
        <v>0</v>
      </c>
      <c r="G1949" s="151">
        <f>'Etude de cas n°1'!D1949</f>
        <v>0</v>
      </c>
      <c r="H1949" s="155"/>
      <c r="I1949" s="155"/>
      <c r="J1949" s="155"/>
      <c r="K1949" s="155"/>
      <c r="L1949" s="155"/>
      <c r="M1949" s="155"/>
      <c r="N1949" s="155"/>
    </row>
    <row r="1950" spans="1:14" ht="13.2" x14ac:dyDescent="0.25">
      <c r="A1950" s="202" t="s">
        <v>4244</v>
      </c>
      <c r="B1950" s="223" t="s">
        <v>4232</v>
      </c>
      <c r="C1950" s="217" t="s">
        <v>2879</v>
      </c>
      <c r="D1950" s="120"/>
      <c r="E1950" s="45">
        <f t="shared" si="100"/>
        <v>0</v>
      </c>
      <c r="F1950" s="127">
        <f t="shared" si="102"/>
        <v>0</v>
      </c>
      <c r="G1950" s="151">
        <f>'Etude de cas n°1'!D1950</f>
        <v>0</v>
      </c>
      <c r="H1950" s="155"/>
      <c r="I1950" s="155"/>
      <c r="J1950" s="155"/>
      <c r="K1950" s="155"/>
      <c r="L1950" s="155"/>
      <c r="M1950" s="155"/>
      <c r="N1950" s="155"/>
    </row>
    <row r="1951" spans="1:14" ht="26.4" x14ac:dyDescent="0.25">
      <c r="A1951" s="27" t="s">
        <v>4245</v>
      </c>
      <c r="B1951" s="6" t="s">
        <v>4246</v>
      </c>
      <c r="C1951" s="217"/>
      <c r="D1951" s="120"/>
      <c r="E1951" s="45"/>
      <c r="F1951" s="127"/>
      <c r="G1951" s="151"/>
      <c r="H1951" s="155"/>
      <c r="I1951" s="155"/>
      <c r="J1951" s="155"/>
      <c r="K1951" s="155"/>
      <c r="L1951" s="155"/>
      <c r="M1951" s="155"/>
      <c r="N1951" s="155"/>
    </row>
    <row r="1952" spans="1:14" ht="13.2" x14ac:dyDescent="0.25">
      <c r="A1952" s="202" t="s">
        <v>4247</v>
      </c>
      <c r="B1952" s="223" t="s">
        <v>4228</v>
      </c>
      <c r="C1952" s="217" t="s">
        <v>2879</v>
      </c>
      <c r="D1952" s="120"/>
      <c r="E1952" s="45">
        <f t="shared" si="100"/>
        <v>0</v>
      </c>
      <c r="F1952" s="127">
        <f t="shared" si="102"/>
        <v>0</v>
      </c>
      <c r="G1952" s="151">
        <f>'Etude de cas n°1'!D1952</f>
        <v>0</v>
      </c>
      <c r="H1952" s="155"/>
      <c r="I1952" s="155"/>
      <c r="J1952" s="155"/>
      <c r="K1952" s="155"/>
      <c r="L1952" s="155"/>
      <c r="M1952" s="155"/>
      <c r="N1952" s="155"/>
    </row>
    <row r="1953" spans="1:14" ht="13.2" x14ac:dyDescent="0.25">
      <c r="A1953" s="202" t="s">
        <v>4248</v>
      </c>
      <c r="B1953" s="223" t="s">
        <v>4230</v>
      </c>
      <c r="C1953" s="217" t="s">
        <v>2879</v>
      </c>
      <c r="D1953" s="120"/>
      <c r="E1953" s="45">
        <f t="shared" si="100"/>
        <v>0</v>
      </c>
      <c r="F1953" s="127">
        <f t="shared" si="102"/>
        <v>0</v>
      </c>
      <c r="G1953" s="151">
        <f>'Etude de cas n°1'!D1953</f>
        <v>0</v>
      </c>
      <c r="H1953" s="155"/>
      <c r="I1953" s="155"/>
      <c r="J1953" s="155"/>
      <c r="K1953" s="155"/>
      <c r="L1953" s="155"/>
      <c r="M1953" s="155"/>
      <c r="N1953" s="155"/>
    </row>
    <row r="1954" spans="1:14" ht="13.2" x14ac:dyDescent="0.25">
      <c r="A1954" s="202" t="s">
        <v>4249</v>
      </c>
      <c r="B1954" s="223" t="s">
        <v>4232</v>
      </c>
      <c r="C1954" s="217" t="s">
        <v>2879</v>
      </c>
      <c r="D1954" s="120"/>
      <c r="E1954" s="45">
        <f t="shared" si="100"/>
        <v>0</v>
      </c>
      <c r="F1954" s="127">
        <f t="shared" si="102"/>
        <v>0</v>
      </c>
      <c r="G1954" s="151">
        <f>'Etude de cas n°1'!D1954</f>
        <v>0</v>
      </c>
      <c r="H1954" s="155"/>
      <c r="I1954" s="155"/>
      <c r="J1954" s="155"/>
      <c r="K1954" s="155"/>
      <c r="L1954" s="155"/>
      <c r="M1954" s="155"/>
      <c r="N1954" s="155"/>
    </row>
    <row r="1955" spans="1:14" ht="39.6" x14ac:dyDescent="0.25">
      <c r="A1955" s="27" t="s">
        <v>4250</v>
      </c>
      <c r="B1955" s="6" t="s">
        <v>4251</v>
      </c>
      <c r="C1955" s="217"/>
      <c r="D1955" s="120"/>
      <c r="E1955" s="45"/>
      <c r="F1955" s="127"/>
      <c r="G1955" s="151"/>
      <c r="H1955" s="155"/>
      <c r="I1955" s="155"/>
      <c r="J1955" s="155"/>
      <c r="K1955" s="155"/>
      <c r="L1955" s="155"/>
      <c r="M1955" s="155"/>
      <c r="N1955" s="155"/>
    </row>
    <row r="1956" spans="1:14" ht="26.4" x14ac:dyDescent="0.25">
      <c r="A1956" s="202" t="s">
        <v>4252</v>
      </c>
      <c r="B1956" s="226" t="s">
        <v>4253</v>
      </c>
      <c r="C1956" s="227" t="s">
        <v>4254</v>
      </c>
      <c r="D1956" s="120"/>
      <c r="E1956" s="45">
        <f t="shared" si="100"/>
        <v>0</v>
      </c>
      <c r="F1956" s="127">
        <f t="shared" si="102"/>
        <v>0</v>
      </c>
      <c r="G1956" s="151">
        <f>'Etude de cas n°1'!D1956</f>
        <v>0</v>
      </c>
      <c r="H1956" s="155"/>
      <c r="I1956" s="155"/>
      <c r="J1956" s="155"/>
      <c r="K1956" s="155"/>
      <c r="L1956" s="155"/>
      <c r="M1956" s="155"/>
      <c r="N1956" s="155"/>
    </row>
    <row r="1957" spans="1:14" ht="26.4" x14ac:dyDescent="0.25">
      <c r="A1957" s="202" t="s">
        <v>4255</v>
      </c>
      <c r="B1957" s="226" t="s">
        <v>4256</v>
      </c>
      <c r="C1957" s="227" t="s">
        <v>4257</v>
      </c>
      <c r="D1957" s="120"/>
      <c r="E1957" s="45">
        <f t="shared" si="100"/>
        <v>0</v>
      </c>
      <c r="F1957" s="127">
        <f t="shared" si="102"/>
        <v>0</v>
      </c>
      <c r="G1957" s="151">
        <f>'Etude de cas n°1'!D1957</f>
        <v>0</v>
      </c>
      <c r="H1957" s="155"/>
      <c r="I1957" s="155"/>
      <c r="J1957" s="155"/>
      <c r="K1957" s="155"/>
      <c r="L1957" s="155"/>
      <c r="M1957" s="155"/>
      <c r="N1957" s="155"/>
    </row>
    <row r="1958" spans="1:14" ht="13.2" x14ac:dyDescent="0.25">
      <c r="A1958" s="202"/>
      <c r="B1958" s="223"/>
      <c r="C1958" s="217"/>
      <c r="D1958" s="136"/>
      <c r="E1958" s="217"/>
      <c r="F1958" s="66"/>
      <c r="H1958" s="155"/>
      <c r="I1958" s="155"/>
      <c r="J1958" s="155"/>
      <c r="K1958" s="155"/>
      <c r="L1958" s="155"/>
      <c r="M1958" s="155"/>
      <c r="N1958" s="155"/>
    </row>
    <row r="1959" spans="1:14" ht="13.2" x14ac:dyDescent="0.25">
      <c r="A1959" s="202"/>
      <c r="B1959" s="122" t="s">
        <v>4258</v>
      </c>
      <c r="C1959" s="217"/>
      <c r="D1959" s="136"/>
      <c r="E1959" s="217"/>
      <c r="F1959" s="158">
        <f>SUM(F1938:F1958)</f>
        <v>0</v>
      </c>
      <c r="H1959" s="155"/>
      <c r="I1959" s="155"/>
      <c r="J1959" s="155"/>
      <c r="K1959" s="155"/>
      <c r="L1959" s="155"/>
      <c r="M1959" s="155"/>
      <c r="N1959" s="155"/>
    </row>
    <row r="1960" spans="1:14" ht="13.2" x14ac:dyDescent="0.25">
      <c r="A1960" s="202"/>
      <c r="B1960" s="223"/>
      <c r="C1960" s="217"/>
      <c r="D1960" s="136"/>
      <c r="E1960" s="217"/>
      <c r="F1960" s="66"/>
      <c r="H1960" s="155"/>
      <c r="I1960" s="155"/>
      <c r="J1960" s="155"/>
      <c r="K1960" s="155"/>
      <c r="L1960" s="155"/>
      <c r="M1960" s="155"/>
      <c r="N1960" s="155"/>
    </row>
    <row r="1961" spans="1:14" ht="13.2" x14ac:dyDescent="0.25">
      <c r="A1961" s="29">
        <v>19</v>
      </c>
      <c r="B1961" s="32" t="s">
        <v>4396</v>
      </c>
      <c r="C1961" s="224" t="s">
        <v>1883</v>
      </c>
      <c r="D1961" s="123"/>
      <c r="E1961" s="224" t="s">
        <v>1883</v>
      </c>
      <c r="F1961" s="224" t="s">
        <v>1883</v>
      </c>
      <c r="G1961" s="224" t="s">
        <v>1883</v>
      </c>
      <c r="H1961" s="155"/>
      <c r="I1961" s="155"/>
      <c r="J1961" s="155"/>
      <c r="K1961" s="155"/>
      <c r="L1961" s="155"/>
      <c r="M1961" s="155"/>
      <c r="N1961" s="155"/>
    </row>
    <row r="1962" spans="1:14" ht="13.2" x14ac:dyDescent="0.25">
      <c r="A1962" s="27" t="s">
        <v>4259</v>
      </c>
      <c r="B1962" s="6" t="s">
        <v>4260</v>
      </c>
      <c r="C1962" s="217" t="s">
        <v>1883</v>
      </c>
      <c r="D1962" s="136"/>
      <c r="E1962" s="217" t="s">
        <v>1883</v>
      </c>
      <c r="F1962" s="66"/>
      <c r="H1962" s="155"/>
      <c r="I1962" s="155"/>
      <c r="J1962" s="155"/>
      <c r="K1962" s="155"/>
      <c r="L1962" s="155"/>
      <c r="M1962" s="155"/>
      <c r="N1962" s="155"/>
    </row>
    <row r="1963" spans="1:14" ht="13.2" x14ac:dyDescent="0.25">
      <c r="A1963" s="202" t="s">
        <v>4261</v>
      </c>
      <c r="B1963" s="223" t="s">
        <v>4262</v>
      </c>
      <c r="C1963" s="217" t="s">
        <v>2879</v>
      </c>
      <c r="D1963" s="120"/>
      <c r="E1963" s="45">
        <f t="shared" ref="E1963:E1982" si="103">G1963</f>
        <v>0</v>
      </c>
      <c r="F1963" s="127">
        <f>D1963*E1963</f>
        <v>0</v>
      </c>
      <c r="G1963" s="151">
        <f>'Etude de cas n°1'!D1963</f>
        <v>0</v>
      </c>
      <c r="H1963" s="155"/>
      <c r="I1963" s="155"/>
      <c r="J1963" s="155"/>
      <c r="K1963" s="155"/>
      <c r="L1963" s="155"/>
      <c r="M1963" s="155"/>
      <c r="N1963" s="155"/>
    </row>
    <row r="1964" spans="1:14" ht="13.2" x14ac:dyDescent="0.25">
      <c r="A1964" s="202" t="s">
        <v>4263</v>
      </c>
      <c r="B1964" s="223" t="s">
        <v>4264</v>
      </c>
      <c r="C1964" s="217" t="s">
        <v>2879</v>
      </c>
      <c r="D1964" s="120"/>
      <c r="E1964" s="45">
        <f t="shared" si="103"/>
        <v>0</v>
      </c>
      <c r="F1964" s="127">
        <f t="shared" ref="F1964:F1982" si="104">D1964*E1964</f>
        <v>0</v>
      </c>
      <c r="G1964" s="151">
        <f>'Etude de cas n°1'!D1964</f>
        <v>0</v>
      </c>
      <c r="H1964" s="155"/>
      <c r="I1964" s="155"/>
      <c r="J1964" s="155"/>
      <c r="K1964" s="155"/>
      <c r="L1964" s="155"/>
      <c r="M1964" s="155"/>
      <c r="N1964" s="155"/>
    </row>
    <row r="1965" spans="1:14" ht="13.2" x14ac:dyDescent="0.25">
      <c r="A1965" s="202" t="s">
        <v>4265</v>
      </c>
      <c r="B1965" s="223" t="s">
        <v>4266</v>
      </c>
      <c r="C1965" s="217" t="s">
        <v>2879</v>
      </c>
      <c r="D1965" s="120"/>
      <c r="E1965" s="45">
        <f t="shared" si="103"/>
        <v>0</v>
      </c>
      <c r="F1965" s="127">
        <f t="shared" si="104"/>
        <v>0</v>
      </c>
      <c r="G1965" s="151">
        <f>'Etude de cas n°1'!D1965</f>
        <v>0</v>
      </c>
      <c r="H1965" s="155"/>
      <c r="I1965" s="155"/>
      <c r="J1965" s="155"/>
      <c r="K1965" s="155"/>
      <c r="L1965" s="155"/>
      <c r="M1965" s="155"/>
      <c r="N1965" s="155"/>
    </row>
    <row r="1966" spans="1:14" ht="13.2" x14ac:dyDescent="0.25">
      <c r="A1966" s="202" t="s">
        <v>4267</v>
      </c>
      <c r="B1966" s="223" t="s">
        <v>4268</v>
      </c>
      <c r="C1966" s="217" t="s">
        <v>2879</v>
      </c>
      <c r="D1966" s="120"/>
      <c r="E1966" s="45">
        <f t="shared" si="103"/>
        <v>0</v>
      </c>
      <c r="F1966" s="127">
        <f t="shared" si="104"/>
        <v>0</v>
      </c>
      <c r="G1966" s="151">
        <f>'Etude de cas n°1'!D1966</f>
        <v>0</v>
      </c>
      <c r="H1966" s="155"/>
      <c r="I1966" s="155"/>
      <c r="J1966" s="155"/>
      <c r="K1966" s="155"/>
      <c r="L1966" s="155"/>
      <c r="M1966" s="155"/>
      <c r="N1966" s="155"/>
    </row>
    <row r="1967" spans="1:14" ht="13.2" x14ac:dyDescent="0.25">
      <c r="A1967" s="202" t="s">
        <v>4269</v>
      </c>
      <c r="B1967" s="223" t="s">
        <v>4270</v>
      </c>
      <c r="C1967" s="217" t="s">
        <v>2879</v>
      </c>
      <c r="D1967" s="120"/>
      <c r="E1967" s="45">
        <f t="shared" si="103"/>
        <v>0</v>
      </c>
      <c r="F1967" s="127">
        <f t="shared" si="104"/>
        <v>0</v>
      </c>
      <c r="G1967" s="151">
        <f>'Etude de cas n°1'!D1967</f>
        <v>0</v>
      </c>
      <c r="H1967" s="155"/>
      <c r="I1967" s="155"/>
      <c r="J1967" s="155"/>
      <c r="K1967" s="155"/>
      <c r="L1967" s="155"/>
      <c r="M1967" s="155"/>
      <c r="N1967" s="155"/>
    </row>
    <row r="1968" spans="1:14" ht="13.2" x14ac:dyDescent="0.25">
      <c r="A1968" s="202" t="s">
        <v>4271</v>
      </c>
      <c r="B1968" s="223" t="s">
        <v>4272</v>
      </c>
      <c r="C1968" s="217" t="s">
        <v>2879</v>
      </c>
      <c r="D1968" s="120"/>
      <c r="E1968" s="45">
        <f t="shared" si="103"/>
        <v>0</v>
      </c>
      <c r="F1968" s="127">
        <f t="shared" si="104"/>
        <v>0</v>
      </c>
      <c r="G1968" s="151">
        <f>'Etude de cas n°1'!D1968</f>
        <v>0</v>
      </c>
      <c r="H1968" s="155"/>
      <c r="I1968" s="155"/>
      <c r="J1968" s="155"/>
      <c r="K1968" s="155"/>
      <c r="L1968" s="155"/>
      <c r="M1968" s="155"/>
      <c r="N1968" s="155"/>
    </row>
    <row r="1969" spans="1:14" ht="13.2" x14ac:dyDescent="0.25">
      <c r="A1969" s="202" t="s">
        <v>4273</v>
      </c>
      <c r="B1969" s="223" t="s">
        <v>4274</v>
      </c>
      <c r="C1969" s="217" t="s">
        <v>2879</v>
      </c>
      <c r="D1969" s="120"/>
      <c r="E1969" s="45">
        <f t="shared" si="103"/>
        <v>0</v>
      </c>
      <c r="F1969" s="127">
        <f t="shared" si="104"/>
        <v>0</v>
      </c>
      <c r="G1969" s="151">
        <f>'Etude de cas n°1'!D1969</f>
        <v>0</v>
      </c>
      <c r="H1969" s="155"/>
      <c r="I1969" s="155"/>
      <c r="J1969" s="155"/>
      <c r="K1969" s="155"/>
      <c r="L1969" s="155"/>
      <c r="M1969" s="155"/>
      <c r="N1969" s="155"/>
    </row>
    <row r="1970" spans="1:14" ht="13.2" x14ac:dyDescent="0.25">
      <c r="A1970" s="202" t="s">
        <v>4275</v>
      </c>
      <c r="B1970" s="223" t="s">
        <v>4276</v>
      </c>
      <c r="C1970" s="217" t="s">
        <v>2879</v>
      </c>
      <c r="D1970" s="120"/>
      <c r="E1970" s="45">
        <f t="shared" si="103"/>
        <v>0</v>
      </c>
      <c r="F1970" s="127">
        <f t="shared" si="104"/>
        <v>0</v>
      </c>
      <c r="G1970" s="151">
        <f>'Etude de cas n°1'!D1970</f>
        <v>0</v>
      </c>
      <c r="H1970" s="155"/>
      <c r="I1970" s="155"/>
      <c r="J1970" s="155"/>
      <c r="K1970" s="155"/>
      <c r="L1970" s="155"/>
      <c r="M1970" s="155"/>
      <c r="N1970" s="155"/>
    </row>
    <row r="1971" spans="1:14" ht="13.2" x14ac:dyDescent="0.25">
      <c r="A1971" s="202" t="s">
        <v>4277</v>
      </c>
      <c r="B1971" s="223" t="s">
        <v>4278</v>
      </c>
      <c r="C1971" s="217" t="s">
        <v>2879</v>
      </c>
      <c r="D1971" s="120"/>
      <c r="E1971" s="45">
        <f t="shared" si="103"/>
        <v>0</v>
      </c>
      <c r="F1971" s="127">
        <f t="shared" si="104"/>
        <v>0</v>
      </c>
      <c r="G1971" s="151">
        <f>'Etude de cas n°1'!D1971</f>
        <v>0</v>
      </c>
      <c r="H1971" s="155"/>
      <c r="I1971" s="155"/>
      <c r="J1971" s="155"/>
      <c r="K1971" s="155"/>
      <c r="L1971" s="155"/>
      <c r="M1971" s="155"/>
      <c r="N1971" s="155"/>
    </row>
    <row r="1972" spans="1:14" ht="13.2" x14ac:dyDescent="0.25">
      <c r="A1972" s="202" t="s">
        <v>4279</v>
      </c>
      <c r="B1972" s="223" t="s">
        <v>4280</v>
      </c>
      <c r="C1972" s="217" t="s">
        <v>2879</v>
      </c>
      <c r="D1972" s="120"/>
      <c r="E1972" s="45">
        <f t="shared" si="103"/>
        <v>0</v>
      </c>
      <c r="F1972" s="127">
        <f t="shared" si="104"/>
        <v>0</v>
      </c>
      <c r="G1972" s="151">
        <f>'Etude de cas n°1'!D1972</f>
        <v>0</v>
      </c>
      <c r="H1972" s="155"/>
      <c r="I1972" s="155"/>
      <c r="J1972" s="155"/>
      <c r="K1972" s="155"/>
      <c r="L1972" s="155"/>
      <c r="M1972" s="155"/>
      <c r="N1972" s="155"/>
    </row>
    <row r="1973" spans="1:14" ht="13.2" x14ac:dyDescent="0.25">
      <c r="A1973" s="202" t="s">
        <v>4281</v>
      </c>
      <c r="B1973" s="223" t="s">
        <v>4282</v>
      </c>
      <c r="C1973" s="217" t="s">
        <v>2879</v>
      </c>
      <c r="D1973" s="120"/>
      <c r="E1973" s="45">
        <f t="shared" si="103"/>
        <v>0</v>
      </c>
      <c r="F1973" s="127">
        <f t="shared" si="104"/>
        <v>0</v>
      </c>
      <c r="G1973" s="151">
        <f>'Etude de cas n°1'!D1973</f>
        <v>0</v>
      </c>
      <c r="H1973" s="155"/>
      <c r="I1973" s="155"/>
      <c r="J1973" s="155"/>
      <c r="K1973" s="155"/>
      <c r="L1973" s="155"/>
      <c r="M1973" s="155"/>
      <c r="N1973" s="155"/>
    </row>
    <row r="1974" spans="1:14" ht="26.4" x14ac:dyDescent="0.25">
      <c r="A1974" s="202" t="s">
        <v>4283</v>
      </c>
      <c r="B1974" s="223" t="s">
        <v>4284</v>
      </c>
      <c r="C1974" s="217" t="s">
        <v>2879</v>
      </c>
      <c r="D1974" s="120"/>
      <c r="E1974" s="45">
        <f t="shared" si="103"/>
        <v>0</v>
      </c>
      <c r="F1974" s="127">
        <f t="shared" si="104"/>
        <v>0</v>
      </c>
      <c r="G1974" s="151">
        <f>'Etude de cas n°1'!D1974</f>
        <v>0</v>
      </c>
      <c r="H1974" s="155"/>
      <c r="I1974" s="155"/>
      <c r="J1974" s="155"/>
      <c r="K1974" s="155"/>
      <c r="L1974" s="155"/>
      <c r="M1974" s="155"/>
      <c r="N1974" s="155"/>
    </row>
    <row r="1975" spans="1:14" ht="26.4" x14ac:dyDescent="0.25">
      <c r="A1975" s="202" t="s">
        <v>4285</v>
      </c>
      <c r="B1975" s="223" t="s">
        <v>4286</v>
      </c>
      <c r="C1975" s="217" t="s">
        <v>2879</v>
      </c>
      <c r="D1975" s="120"/>
      <c r="E1975" s="45">
        <f t="shared" si="103"/>
        <v>0</v>
      </c>
      <c r="F1975" s="127">
        <f t="shared" si="104"/>
        <v>0</v>
      </c>
      <c r="G1975" s="151">
        <f>'Etude de cas n°1'!D1975</f>
        <v>0</v>
      </c>
      <c r="H1975" s="155"/>
      <c r="I1975" s="155"/>
      <c r="J1975" s="155"/>
      <c r="K1975" s="155"/>
      <c r="L1975" s="155"/>
      <c r="M1975" s="155"/>
      <c r="N1975" s="155"/>
    </row>
    <row r="1976" spans="1:14" ht="13.2" x14ac:dyDescent="0.25">
      <c r="A1976" s="202" t="s">
        <v>4287</v>
      </c>
      <c r="B1976" s="223" t="s">
        <v>4288</v>
      </c>
      <c r="C1976" s="217" t="s">
        <v>1011</v>
      </c>
      <c r="D1976" s="120"/>
      <c r="E1976" s="45">
        <f t="shared" si="103"/>
        <v>0</v>
      </c>
      <c r="F1976" s="127">
        <f t="shared" si="104"/>
        <v>0</v>
      </c>
      <c r="G1976" s="151">
        <f>'Etude de cas n°1'!D1976</f>
        <v>0</v>
      </c>
      <c r="H1976" s="155"/>
      <c r="I1976" s="155"/>
      <c r="J1976" s="155"/>
      <c r="K1976" s="155"/>
      <c r="L1976" s="155"/>
      <c r="M1976" s="155"/>
      <c r="N1976" s="155"/>
    </row>
    <row r="1977" spans="1:14" ht="26.4" x14ac:dyDescent="0.25">
      <c r="A1977" s="27" t="s">
        <v>4289</v>
      </c>
      <c r="B1977" s="6" t="s">
        <v>4290</v>
      </c>
      <c r="C1977" s="217" t="s">
        <v>1883</v>
      </c>
      <c r="D1977" s="120"/>
      <c r="E1977" s="45"/>
      <c r="F1977" s="127"/>
      <c r="G1977" s="151"/>
      <c r="H1977" s="155"/>
      <c r="I1977" s="155"/>
      <c r="J1977" s="155"/>
      <c r="K1977" s="155"/>
      <c r="L1977" s="155"/>
      <c r="M1977" s="155"/>
      <c r="N1977" s="155"/>
    </row>
    <row r="1978" spans="1:14" ht="13.2" x14ac:dyDescent="0.25">
      <c r="A1978" s="202" t="s">
        <v>4291</v>
      </c>
      <c r="B1978" s="223" t="s">
        <v>4292</v>
      </c>
      <c r="C1978" s="217" t="s">
        <v>2879</v>
      </c>
      <c r="D1978" s="120"/>
      <c r="E1978" s="45">
        <f t="shared" si="103"/>
        <v>0</v>
      </c>
      <c r="F1978" s="127">
        <f t="shared" si="104"/>
        <v>0</v>
      </c>
      <c r="G1978" s="151">
        <f>'Etude de cas n°1'!D1978</f>
        <v>0</v>
      </c>
      <c r="H1978" s="155"/>
      <c r="I1978" s="155"/>
      <c r="J1978" s="155"/>
      <c r="K1978" s="155"/>
      <c r="L1978" s="155"/>
      <c r="M1978" s="155"/>
      <c r="N1978" s="155"/>
    </row>
    <row r="1979" spans="1:14" ht="13.2" x14ac:dyDescent="0.25">
      <c r="A1979" s="202" t="s">
        <v>4293</v>
      </c>
      <c r="B1979" s="223" t="s">
        <v>4294</v>
      </c>
      <c r="C1979" s="217" t="s">
        <v>2879</v>
      </c>
      <c r="D1979" s="120"/>
      <c r="E1979" s="45">
        <f t="shared" si="103"/>
        <v>0</v>
      </c>
      <c r="F1979" s="127">
        <f t="shared" si="104"/>
        <v>0</v>
      </c>
      <c r="G1979" s="151">
        <f>'Etude de cas n°1'!D1979</f>
        <v>0</v>
      </c>
      <c r="H1979" s="155"/>
      <c r="I1979" s="155"/>
      <c r="J1979" s="155"/>
      <c r="K1979" s="155"/>
      <c r="L1979" s="155"/>
      <c r="M1979" s="155"/>
      <c r="N1979" s="155"/>
    </row>
    <row r="1980" spans="1:14" ht="13.2" x14ac:dyDescent="0.25">
      <c r="A1980" s="202" t="s">
        <v>4295</v>
      </c>
      <c r="B1980" s="223" t="s">
        <v>4296</v>
      </c>
      <c r="C1980" s="217" t="s">
        <v>2879</v>
      </c>
      <c r="D1980" s="120"/>
      <c r="E1980" s="45">
        <f t="shared" si="103"/>
        <v>0</v>
      </c>
      <c r="F1980" s="127">
        <f t="shared" si="104"/>
        <v>0</v>
      </c>
      <c r="G1980" s="151">
        <f>'Etude de cas n°1'!D1980</f>
        <v>0</v>
      </c>
      <c r="H1980" s="155"/>
      <c r="I1980" s="155"/>
      <c r="J1980" s="155"/>
      <c r="K1980" s="155"/>
      <c r="L1980" s="155"/>
      <c r="M1980" s="155"/>
      <c r="N1980" s="155"/>
    </row>
    <row r="1981" spans="1:14" ht="13.2" x14ac:dyDescent="0.25">
      <c r="A1981" s="202" t="s">
        <v>4297</v>
      </c>
      <c r="B1981" s="223" t="s">
        <v>4298</v>
      </c>
      <c r="C1981" s="217" t="s">
        <v>2879</v>
      </c>
      <c r="D1981" s="120"/>
      <c r="E1981" s="45">
        <f t="shared" si="103"/>
        <v>0</v>
      </c>
      <c r="F1981" s="127">
        <f t="shared" si="104"/>
        <v>0</v>
      </c>
      <c r="G1981" s="151">
        <f>'Etude de cas n°1'!D1981</f>
        <v>0</v>
      </c>
      <c r="H1981" s="155"/>
      <c r="I1981" s="155"/>
      <c r="J1981" s="155"/>
      <c r="K1981" s="155"/>
      <c r="L1981" s="155"/>
      <c r="M1981" s="155"/>
      <c r="N1981" s="155"/>
    </row>
    <row r="1982" spans="1:14" ht="13.2" x14ac:dyDescent="0.25">
      <c r="A1982" s="202" t="s">
        <v>4299</v>
      </c>
      <c r="B1982" s="223" t="s">
        <v>4300</v>
      </c>
      <c r="C1982" s="217" t="s">
        <v>2879</v>
      </c>
      <c r="D1982" s="120"/>
      <c r="E1982" s="45">
        <f t="shared" si="103"/>
        <v>0</v>
      </c>
      <c r="F1982" s="127">
        <f t="shared" si="104"/>
        <v>0</v>
      </c>
      <c r="G1982" s="151">
        <f>'Etude de cas n°1'!D1982</f>
        <v>0</v>
      </c>
      <c r="H1982" s="155"/>
      <c r="I1982" s="155"/>
      <c r="J1982" s="155"/>
      <c r="K1982" s="155"/>
      <c r="L1982" s="155"/>
      <c r="M1982" s="155"/>
      <c r="N1982" s="155"/>
    </row>
    <row r="1983" spans="1:14" ht="13.2" x14ac:dyDescent="0.25">
      <c r="A1983" s="27" t="s">
        <v>4301</v>
      </c>
      <c r="B1983" s="6" t="s">
        <v>4302</v>
      </c>
      <c r="C1983" s="217"/>
      <c r="D1983" s="120"/>
      <c r="E1983" s="45"/>
      <c r="F1983" s="127"/>
      <c r="G1983" s="151"/>
      <c r="H1983" s="155"/>
      <c r="I1983" s="155"/>
      <c r="J1983" s="155"/>
      <c r="K1983" s="155"/>
      <c r="L1983" s="155"/>
      <c r="M1983" s="155"/>
      <c r="N1983" s="155"/>
    </row>
    <row r="1984" spans="1:14" ht="13.2" x14ac:dyDescent="0.25">
      <c r="A1984" s="202"/>
      <c r="B1984" s="223" t="s">
        <v>4411</v>
      </c>
      <c r="C1984" s="217" t="s">
        <v>1141</v>
      </c>
      <c r="D1984" s="120"/>
      <c r="E1984" s="45">
        <f>G1984</f>
        <v>0</v>
      </c>
      <c r="F1984" s="127">
        <f>D1983*E1984</f>
        <v>0</v>
      </c>
      <c r="G1984" s="151">
        <f>'Etude de cas n°1'!D1984</f>
        <v>0</v>
      </c>
      <c r="H1984" s="155"/>
      <c r="I1984" s="155"/>
      <c r="J1984" s="155"/>
      <c r="K1984" s="155"/>
      <c r="L1984" s="155"/>
      <c r="M1984" s="155"/>
      <c r="N1984" s="155"/>
    </row>
    <row r="1985" spans="1:14" ht="13.2" x14ac:dyDescent="0.25">
      <c r="A1985" s="202"/>
      <c r="B1985" s="223"/>
      <c r="C1985" s="217"/>
      <c r="D1985" s="136"/>
      <c r="E1985" s="217"/>
      <c r="F1985" s="66"/>
      <c r="H1985" s="155"/>
      <c r="I1985" s="155"/>
      <c r="J1985" s="155"/>
      <c r="K1985" s="155"/>
      <c r="L1985" s="155"/>
      <c r="M1985" s="155"/>
      <c r="N1985" s="155"/>
    </row>
    <row r="1986" spans="1:14" ht="13.2" x14ac:dyDescent="0.25">
      <c r="A1986" s="202"/>
      <c r="B1986" s="122" t="s">
        <v>4397</v>
      </c>
      <c r="C1986" s="217"/>
      <c r="D1986" s="136"/>
      <c r="E1986" s="217"/>
      <c r="F1986" s="158">
        <f>SUM(F1963:F1984)</f>
        <v>0</v>
      </c>
      <c r="H1986" s="155"/>
      <c r="I1986" s="155"/>
      <c r="J1986" s="155"/>
      <c r="K1986" s="155"/>
      <c r="L1986" s="155"/>
      <c r="M1986" s="155"/>
      <c r="N1986" s="155"/>
    </row>
    <row r="1987" spans="1:14" ht="13.2" x14ac:dyDescent="0.25">
      <c r="A1987" s="202"/>
      <c r="B1987" s="223"/>
      <c r="C1987" s="217"/>
      <c r="D1987" s="136"/>
      <c r="E1987" s="217"/>
      <c r="F1987" s="66"/>
      <c r="H1987" s="155"/>
      <c r="I1987" s="155"/>
      <c r="J1987" s="155"/>
      <c r="K1987" s="155"/>
      <c r="L1987" s="155"/>
      <c r="M1987" s="155"/>
      <c r="N1987" s="155"/>
    </row>
    <row r="1988" spans="1:14" ht="13.2" x14ac:dyDescent="0.25">
      <c r="A1988" s="29" t="s">
        <v>4399</v>
      </c>
      <c r="B1988" s="32" t="s">
        <v>4400</v>
      </c>
      <c r="C1988" s="224" t="s">
        <v>1883</v>
      </c>
      <c r="D1988" s="123"/>
      <c r="E1988" s="224" t="s">
        <v>1883</v>
      </c>
      <c r="F1988" s="224" t="s">
        <v>1883</v>
      </c>
      <c r="G1988" s="224" t="s">
        <v>1883</v>
      </c>
      <c r="H1988" s="155"/>
      <c r="I1988" s="155"/>
      <c r="J1988" s="155"/>
      <c r="K1988" s="155"/>
      <c r="L1988" s="155"/>
      <c r="M1988" s="155"/>
      <c r="N1988" s="155"/>
    </row>
    <row r="1989" spans="1:14" ht="13.2" x14ac:dyDescent="0.25">
      <c r="A1989" s="279" t="s">
        <v>4401</v>
      </c>
      <c r="B1989" s="3" t="s">
        <v>4402</v>
      </c>
      <c r="C1989" s="217" t="s">
        <v>4403</v>
      </c>
      <c r="D1989" s="137"/>
      <c r="E1989" s="280">
        <f>G1989</f>
        <v>0</v>
      </c>
      <c r="F1989" s="127">
        <f>D1989*E1989</f>
        <v>0</v>
      </c>
      <c r="G1989" s="151">
        <f>'Etude de cas n°1'!D1989</f>
        <v>0</v>
      </c>
      <c r="H1989" s="155"/>
      <c r="I1989" s="155"/>
      <c r="J1989" s="155"/>
      <c r="K1989" s="155"/>
      <c r="L1989" s="155"/>
      <c r="M1989" s="155"/>
      <c r="N1989" s="155"/>
    </row>
    <row r="1990" spans="1:14" ht="13.2" x14ac:dyDescent="0.25">
      <c r="A1990" s="279" t="s">
        <v>4404</v>
      </c>
      <c r="B1990" s="3" t="s">
        <v>4405</v>
      </c>
      <c r="C1990" s="217" t="s">
        <v>4403</v>
      </c>
      <c r="D1990" s="137"/>
      <c r="E1990" s="280">
        <f t="shared" ref="E1990:E1992" si="105">G1990</f>
        <v>0</v>
      </c>
      <c r="F1990" s="127">
        <f t="shared" ref="F1990:F1992" si="106">D1990*E1990</f>
        <v>0</v>
      </c>
      <c r="G1990" s="151">
        <f>'Etude de cas n°1'!D1990</f>
        <v>0</v>
      </c>
      <c r="H1990" s="155"/>
      <c r="I1990" s="155"/>
      <c r="J1990" s="155"/>
      <c r="K1990" s="155"/>
      <c r="L1990" s="155"/>
      <c r="M1990" s="155"/>
      <c r="N1990" s="155"/>
    </row>
    <row r="1991" spans="1:14" s="155" customFormat="1" ht="13.2" x14ac:dyDescent="0.25">
      <c r="A1991" s="279" t="s">
        <v>4406</v>
      </c>
      <c r="B1991" s="3" t="s">
        <v>4407</v>
      </c>
      <c r="C1991" s="217" t="s">
        <v>4403</v>
      </c>
      <c r="D1991" s="137"/>
      <c r="E1991" s="280">
        <f t="shared" si="105"/>
        <v>0</v>
      </c>
      <c r="F1991" s="127">
        <f t="shared" si="106"/>
        <v>0</v>
      </c>
      <c r="G1991" s="151">
        <f>'Etude de cas n°1'!D1991</f>
        <v>0</v>
      </c>
    </row>
    <row r="1992" spans="1:14" s="155" customFormat="1" ht="13.2" x14ac:dyDescent="0.25">
      <c r="A1992" s="279" t="s">
        <v>4408</v>
      </c>
      <c r="B1992" s="3" t="s">
        <v>4409</v>
      </c>
      <c r="C1992" s="217" t="s">
        <v>4403</v>
      </c>
      <c r="D1992" s="137"/>
      <c r="E1992" s="280">
        <f t="shared" si="105"/>
        <v>0</v>
      </c>
      <c r="F1992" s="127">
        <f t="shared" si="106"/>
        <v>0</v>
      </c>
      <c r="G1992" s="151">
        <f>'Etude de cas n°1'!D1992</f>
        <v>0</v>
      </c>
    </row>
    <row r="1993" spans="1:14" s="155" customFormat="1" x14ac:dyDescent="0.25">
      <c r="A1993" s="64"/>
      <c r="B1993" s="26"/>
      <c r="C1993" s="54"/>
      <c r="D1993" s="137"/>
      <c r="E1993" s="65"/>
      <c r="F1993" s="66"/>
      <c r="G1993" s="154"/>
    </row>
    <row r="1994" spans="1:14" ht="13.2" x14ac:dyDescent="0.25">
      <c r="A1994" s="202"/>
      <c r="B1994" s="122" t="s">
        <v>4410</v>
      </c>
      <c r="C1994" s="217"/>
      <c r="D1994" s="136"/>
      <c r="E1994" s="217"/>
      <c r="F1994" s="158">
        <f>SUM(F1989:F1992)</f>
        <v>0</v>
      </c>
      <c r="H1994" s="155"/>
      <c r="I1994" s="155"/>
      <c r="J1994" s="155"/>
      <c r="K1994" s="155"/>
      <c r="L1994" s="155"/>
      <c r="M1994" s="155"/>
      <c r="N1994" s="155"/>
    </row>
    <row r="1995" spans="1:14" s="155" customFormat="1" x14ac:dyDescent="0.25">
      <c r="A1995" s="64"/>
      <c r="B1995" s="26"/>
      <c r="C1995" s="54"/>
      <c r="D1995" s="137"/>
      <c r="E1995" s="65"/>
      <c r="F1995" s="66"/>
      <c r="G1995" s="154"/>
    </row>
    <row r="1996" spans="1:14" s="155" customFormat="1" x14ac:dyDescent="0.25">
      <c r="A1996" s="64"/>
      <c r="B1996" s="26"/>
      <c r="C1996" s="54"/>
      <c r="D1996" s="137"/>
      <c r="E1996" s="65"/>
      <c r="F1996" s="66"/>
      <c r="G1996" s="154"/>
    </row>
    <row r="1997" spans="1:14" s="155" customFormat="1" x14ac:dyDescent="0.25">
      <c r="A1997" s="64"/>
      <c r="B1997" s="26"/>
      <c r="C1997" s="54"/>
      <c r="D1997" s="137"/>
      <c r="E1997" s="65"/>
      <c r="F1997" s="66"/>
      <c r="G1997" s="154"/>
    </row>
    <row r="1998" spans="1:14" ht="13.2" x14ac:dyDescent="0.25">
      <c r="A1998" s="216"/>
      <c r="B1998" s="4" t="s">
        <v>4303</v>
      </c>
      <c r="C1998" s="217" t="s">
        <v>1883</v>
      </c>
      <c r="D1998" s="239"/>
      <c r="E1998" s="217"/>
      <c r="F1998" s="21"/>
      <c r="H1998" s="155"/>
      <c r="I1998" s="155"/>
      <c r="J1998" s="155"/>
      <c r="K1998" s="155"/>
      <c r="L1998" s="155"/>
      <c r="M1998" s="155"/>
      <c r="N1998" s="155"/>
    </row>
    <row r="1999" spans="1:14" ht="13.2" x14ac:dyDescent="0.25">
      <c r="A1999" s="138"/>
      <c r="B1999" s="139"/>
      <c r="C1999" s="138"/>
      <c r="D1999" s="141"/>
      <c r="E1999" s="138"/>
      <c r="F1999" s="25"/>
      <c r="H1999" s="155"/>
      <c r="I1999" s="155"/>
      <c r="J1999" s="155"/>
      <c r="K1999" s="155"/>
      <c r="L1999" s="155"/>
      <c r="M1999" s="155"/>
      <c r="N1999" s="155"/>
    </row>
    <row r="2000" spans="1:14" ht="13.2" x14ac:dyDescent="0.25">
      <c r="A2000" s="142">
        <v>1</v>
      </c>
      <c r="B2000" s="143" t="s">
        <v>980</v>
      </c>
      <c r="C2000" s="138"/>
      <c r="D2000" s="141"/>
      <c r="E2000" s="138"/>
      <c r="F2000" s="25">
        <f>F117</f>
        <v>0</v>
      </c>
      <c r="H2000" s="155"/>
      <c r="I2000" s="155"/>
      <c r="J2000" s="155"/>
      <c r="K2000" s="155"/>
      <c r="L2000" s="155"/>
      <c r="M2000" s="155"/>
      <c r="N2000" s="155"/>
    </row>
    <row r="2001" spans="1:14" ht="13.2" x14ac:dyDescent="0.25">
      <c r="A2001" s="142">
        <v>2</v>
      </c>
      <c r="B2001" s="143" t="s">
        <v>1125</v>
      </c>
      <c r="C2001" s="138"/>
      <c r="D2001" s="141"/>
      <c r="E2001" s="138"/>
      <c r="F2001" s="25">
        <f>F384</f>
        <v>0</v>
      </c>
      <c r="H2001" s="155"/>
      <c r="I2001" s="155"/>
      <c r="J2001" s="155"/>
      <c r="K2001" s="155"/>
      <c r="L2001" s="155"/>
      <c r="M2001" s="155"/>
      <c r="N2001" s="155"/>
    </row>
    <row r="2002" spans="1:14" ht="13.2" x14ac:dyDescent="0.25">
      <c r="A2002" s="142">
        <v>3</v>
      </c>
      <c r="B2002" s="143" t="s">
        <v>1599</v>
      </c>
      <c r="C2002" s="138"/>
      <c r="D2002" s="141"/>
      <c r="E2002" s="138"/>
      <c r="F2002" s="25">
        <f>F427</f>
        <v>0</v>
      </c>
      <c r="H2002" s="155"/>
      <c r="I2002" s="155"/>
      <c r="J2002" s="155"/>
      <c r="K2002" s="155"/>
      <c r="L2002" s="155"/>
      <c r="M2002" s="155"/>
      <c r="N2002" s="155"/>
    </row>
    <row r="2003" spans="1:14" ht="13.2" x14ac:dyDescent="0.25">
      <c r="A2003" s="142">
        <v>4</v>
      </c>
      <c r="B2003" s="143" t="s">
        <v>1677</v>
      </c>
      <c r="C2003" s="138"/>
      <c r="D2003" s="141"/>
      <c r="E2003" s="138"/>
      <c r="F2003" s="25">
        <f>F599</f>
        <v>0</v>
      </c>
      <c r="H2003" s="155"/>
      <c r="I2003" s="155"/>
      <c r="J2003" s="155"/>
      <c r="K2003" s="155"/>
      <c r="L2003" s="155"/>
      <c r="M2003" s="155"/>
      <c r="N2003" s="155"/>
    </row>
    <row r="2004" spans="1:14" ht="13.2" x14ac:dyDescent="0.25">
      <c r="A2004" s="142">
        <v>5</v>
      </c>
      <c r="B2004" s="143" t="s">
        <v>2006</v>
      </c>
      <c r="C2004" s="138"/>
      <c r="D2004" s="141"/>
      <c r="E2004" s="138"/>
      <c r="F2004" s="25">
        <f>F708</f>
        <v>0</v>
      </c>
      <c r="H2004" s="155"/>
      <c r="I2004" s="155"/>
      <c r="J2004" s="155"/>
      <c r="K2004" s="155"/>
      <c r="L2004" s="155"/>
      <c r="M2004" s="155"/>
      <c r="N2004" s="155"/>
    </row>
    <row r="2005" spans="1:14" ht="26.4" x14ac:dyDescent="0.25">
      <c r="A2005" s="142">
        <v>6</v>
      </c>
      <c r="B2005" s="143" t="s">
        <v>2220</v>
      </c>
      <c r="C2005" s="138"/>
      <c r="D2005" s="141"/>
      <c r="E2005" s="138"/>
      <c r="F2005" s="25">
        <f>F839</f>
        <v>0</v>
      </c>
      <c r="H2005" s="155"/>
      <c r="I2005" s="155"/>
      <c r="J2005" s="155"/>
      <c r="K2005" s="155"/>
      <c r="L2005" s="155"/>
      <c r="M2005" s="155"/>
      <c r="N2005" s="155"/>
    </row>
    <row r="2006" spans="1:14" ht="13.2" x14ac:dyDescent="0.25">
      <c r="A2006" s="142">
        <v>7</v>
      </c>
      <c r="B2006" s="143" t="s">
        <v>2407</v>
      </c>
      <c r="C2006" s="138"/>
      <c r="D2006" s="141"/>
      <c r="E2006" s="138"/>
      <c r="F2006" s="25">
        <f>F860</f>
        <v>0</v>
      </c>
      <c r="H2006" s="155"/>
      <c r="I2006" s="155"/>
      <c r="J2006" s="155"/>
      <c r="K2006" s="155"/>
      <c r="L2006" s="155"/>
      <c r="M2006" s="155"/>
      <c r="N2006" s="155"/>
    </row>
    <row r="2007" spans="1:14" ht="13.2" x14ac:dyDescent="0.25">
      <c r="A2007" s="142">
        <v>8</v>
      </c>
      <c r="B2007" s="143" t="s">
        <v>2439</v>
      </c>
      <c r="C2007" s="138"/>
      <c r="D2007" s="141"/>
      <c r="E2007" s="138"/>
      <c r="F2007" s="25">
        <f>F1062</f>
        <v>0</v>
      </c>
      <c r="H2007" s="155"/>
      <c r="I2007" s="155"/>
      <c r="J2007" s="155"/>
      <c r="K2007" s="155"/>
      <c r="L2007" s="155"/>
      <c r="M2007" s="155"/>
      <c r="N2007" s="155"/>
    </row>
    <row r="2008" spans="1:14" ht="26.4" x14ac:dyDescent="0.25">
      <c r="A2008" s="142">
        <v>9</v>
      </c>
      <c r="B2008" s="143" t="s">
        <v>2779</v>
      </c>
      <c r="C2008" s="138"/>
      <c r="D2008" s="141"/>
      <c r="E2008" s="138"/>
      <c r="F2008" s="25">
        <f>F1106</f>
        <v>0</v>
      </c>
      <c r="H2008" s="155"/>
      <c r="I2008" s="155"/>
      <c r="J2008" s="155"/>
      <c r="K2008" s="155"/>
      <c r="L2008" s="155"/>
      <c r="M2008" s="155"/>
      <c r="N2008" s="155"/>
    </row>
    <row r="2009" spans="1:14" ht="13.2" x14ac:dyDescent="0.25">
      <c r="A2009" s="142">
        <v>10</v>
      </c>
      <c r="B2009" s="143" t="s">
        <v>2855</v>
      </c>
      <c r="C2009" s="138"/>
      <c r="D2009" s="141"/>
      <c r="E2009" s="138"/>
      <c r="F2009" s="25">
        <f>F1234</f>
        <v>0</v>
      </c>
      <c r="H2009" s="155"/>
      <c r="I2009" s="155"/>
      <c r="J2009" s="155"/>
      <c r="K2009" s="155"/>
      <c r="L2009" s="155"/>
      <c r="M2009" s="155"/>
      <c r="N2009" s="155"/>
    </row>
    <row r="2010" spans="1:14" ht="26.4" x14ac:dyDescent="0.25">
      <c r="A2010" s="142">
        <v>11</v>
      </c>
      <c r="B2010" s="143" t="s">
        <v>3083</v>
      </c>
      <c r="C2010" s="138"/>
      <c r="D2010" s="141"/>
      <c r="E2010" s="138"/>
      <c r="F2010" s="25">
        <f>F1377</f>
        <v>0</v>
      </c>
      <c r="H2010" s="155"/>
      <c r="I2010" s="155"/>
      <c r="J2010" s="155"/>
      <c r="K2010" s="155"/>
      <c r="L2010" s="155"/>
      <c r="M2010" s="155"/>
      <c r="N2010" s="155"/>
    </row>
    <row r="2011" spans="1:14" ht="13.2" x14ac:dyDescent="0.25">
      <c r="A2011" s="142">
        <v>12</v>
      </c>
      <c r="B2011" s="143" t="s">
        <v>3341</v>
      </c>
      <c r="C2011" s="138"/>
      <c r="D2011" s="141"/>
      <c r="E2011" s="138"/>
      <c r="F2011" s="25">
        <f>F1514</f>
        <v>0</v>
      </c>
      <c r="H2011" s="155"/>
      <c r="I2011" s="155"/>
      <c r="J2011" s="155"/>
      <c r="K2011" s="155"/>
      <c r="L2011" s="155"/>
      <c r="M2011" s="155"/>
      <c r="N2011" s="155"/>
    </row>
    <row r="2012" spans="1:14" ht="13.2" x14ac:dyDescent="0.25">
      <c r="A2012" s="142">
        <v>13</v>
      </c>
      <c r="B2012" s="143" t="s">
        <v>3554</v>
      </c>
      <c r="C2012" s="138"/>
      <c r="D2012" s="141"/>
      <c r="E2012" s="138"/>
      <c r="F2012" s="25">
        <f>F1603</f>
        <v>0</v>
      </c>
      <c r="H2012" s="155"/>
      <c r="I2012" s="155"/>
      <c r="J2012" s="155"/>
      <c r="K2012" s="155"/>
      <c r="L2012" s="155"/>
      <c r="M2012" s="155"/>
      <c r="N2012" s="155"/>
    </row>
    <row r="2013" spans="1:14" ht="13.2" x14ac:dyDescent="0.25">
      <c r="A2013" s="142">
        <v>14</v>
      </c>
      <c r="B2013" s="143" t="s">
        <v>3703</v>
      </c>
      <c r="C2013" s="138"/>
      <c r="D2013" s="141"/>
      <c r="E2013" s="138"/>
      <c r="F2013" s="25">
        <f>F1819</f>
        <v>0</v>
      </c>
      <c r="H2013" s="155"/>
      <c r="I2013" s="155"/>
      <c r="J2013" s="155"/>
      <c r="K2013" s="155"/>
      <c r="L2013" s="155"/>
      <c r="M2013" s="155"/>
      <c r="N2013" s="155"/>
    </row>
    <row r="2014" spans="1:14" ht="13.2" x14ac:dyDescent="0.25">
      <c r="A2014" s="142">
        <v>15</v>
      </c>
      <c r="B2014" s="143" t="s">
        <v>4018</v>
      </c>
      <c r="C2014" s="138"/>
      <c r="D2014" s="141"/>
      <c r="E2014" s="138"/>
      <c r="F2014" s="25">
        <f>F1874</f>
        <v>0</v>
      </c>
      <c r="H2014" s="155"/>
      <c r="I2014" s="155"/>
      <c r="J2014" s="155"/>
      <c r="K2014" s="155"/>
      <c r="L2014" s="155"/>
      <c r="M2014" s="155"/>
      <c r="N2014" s="155"/>
    </row>
    <row r="2015" spans="1:14" ht="13.2" x14ac:dyDescent="0.25">
      <c r="A2015" s="142">
        <v>16</v>
      </c>
      <c r="B2015" s="143" t="s">
        <v>4114</v>
      </c>
      <c r="C2015" s="138"/>
      <c r="D2015" s="141"/>
      <c r="E2015" s="138"/>
      <c r="F2015" s="25">
        <f>F1896</f>
        <v>0</v>
      </c>
      <c r="H2015" s="155"/>
      <c r="I2015" s="155"/>
      <c r="J2015" s="155"/>
      <c r="K2015" s="155"/>
      <c r="L2015" s="155"/>
      <c r="M2015" s="155"/>
      <c r="N2015" s="155"/>
    </row>
    <row r="2016" spans="1:14" ht="13.2" x14ac:dyDescent="0.25">
      <c r="A2016" s="142">
        <v>17</v>
      </c>
      <c r="B2016" s="143" t="s">
        <v>4152</v>
      </c>
      <c r="C2016" s="138"/>
      <c r="D2016" s="141"/>
      <c r="E2016" s="138"/>
      <c r="F2016" s="25">
        <f>F1934</f>
        <v>0</v>
      </c>
      <c r="H2016" s="155"/>
      <c r="I2016" s="155"/>
      <c r="J2016" s="155"/>
      <c r="K2016" s="155"/>
      <c r="L2016" s="155"/>
      <c r="M2016" s="155"/>
      <c r="N2016" s="155"/>
    </row>
    <row r="2017" spans="1:14" ht="13.2" x14ac:dyDescent="0.25">
      <c r="A2017" s="142">
        <v>18</v>
      </c>
      <c r="B2017" s="143" t="s">
        <v>4222</v>
      </c>
      <c r="C2017" s="138"/>
      <c r="D2017" s="141"/>
      <c r="E2017" s="138"/>
      <c r="F2017" s="25">
        <f>F1959</f>
        <v>0</v>
      </c>
      <c r="H2017" s="155"/>
      <c r="I2017" s="155"/>
      <c r="J2017" s="155"/>
      <c r="K2017" s="155"/>
      <c r="L2017" s="155"/>
      <c r="M2017" s="155"/>
      <c r="N2017" s="155"/>
    </row>
    <row r="2018" spans="1:14" ht="13.2" x14ac:dyDescent="0.25">
      <c r="A2018" s="142">
        <v>19</v>
      </c>
      <c r="B2018" s="143" t="s">
        <v>4396</v>
      </c>
      <c r="C2018" s="138"/>
      <c r="D2018" s="141"/>
      <c r="E2018" s="138"/>
      <c r="F2018" s="25">
        <f>F1986</f>
        <v>0</v>
      </c>
      <c r="H2018" s="155"/>
      <c r="I2018" s="155"/>
      <c r="J2018" s="155"/>
      <c r="K2018" s="155"/>
      <c r="L2018" s="155"/>
      <c r="M2018" s="155"/>
      <c r="N2018" s="155"/>
    </row>
    <row r="2019" spans="1:14" ht="13.2" x14ac:dyDescent="0.25">
      <c r="A2019" s="142">
        <v>20</v>
      </c>
      <c r="B2019" s="143" t="s">
        <v>4400</v>
      </c>
      <c r="C2019" s="138"/>
      <c r="D2019" s="141"/>
      <c r="E2019" s="138"/>
      <c r="F2019" s="25">
        <f>F1994</f>
        <v>0</v>
      </c>
      <c r="H2019" s="155"/>
      <c r="I2019" s="155"/>
      <c r="J2019" s="155"/>
      <c r="K2019" s="155"/>
      <c r="L2019" s="155"/>
      <c r="M2019" s="155"/>
      <c r="N2019" s="155"/>
    </row>
    <row r="2020" spans="1:14" x14ac:dyDescent="0.25">
      <c r="A2020" s="64"/>
      <c r="B2020" s="26"/>
      <c r="C2020" s="54"/>
      <c r="D2020" s="137"/>
      <c r="E2020" s="65"/>
      <c r="F2020" s="66"/>
      <c r="H2020" s="155"/>
      <c r="I2020" s="155"/>
      <c r="J2020" s="155"/>
      <c r="K2020" s="155"/>
      <c r="L2020" s="155"/>
      <c r="M2020" s="155"/>
      <c r="N2020" s="155"/>
    </row>
    <row r="2021" spans="1:14" ht="13.2" x14ac:dyDescent="0.25">
      <c r="A2021" s="64"/>
      <c r="B2021" s="144" t="s">
        <v>4304</v>
      </c>
      <c r="C2021" s="138"/>
      <c r="D2021" s="141"/>
      <c r="E2021" s="138"/>
      <c r="F2021" s="25">
        <f>SUM(F2000:F2020)</f>
        <v>0</v>
      </c>
      <c r="H2021" s="155"/>
      <c r="I2021" s="155"/>
      <c r="J2021" s="155"/>
      <c r="K2021" s="155"/>
      <c r="L2021" s="155"/>
      <c r="M2021" s="155"/>
      <c r="N2021" s="155"/>
    </row>
    <row r="2022" spans="1:14" ht="13.2" x14ac:dyDescent="0.25">
      <c r="A2022" s="64"/>
      <c r="B2022" s="144" t="s">
        <v>4305</v>
      </c>
      <c r="C2022" s="138"/>
      <c r="D2022" s="141"/>
      <c r="E2022" s="138"/>
      <c r="F2022" s="25">
        <f>F2021*0.2</f>
        <v>0</v>
      </c>
      <c r="H2022" s="155"/>
      <c r="I2022" s="155"/>
      <c r="J2022" s="155"/>
      <c r="K2022" s="155"/>
      <c r="L2022" s="155"/>
      <c r="M2022" s="155"/>
      <c r="N2022" s="155"/>
    </row>
    <row r="2023" spans="1:14" ht="13.2" x14ac:dyDescent="0.25">
      <c r="A2023" s="64"/>
      <c r="B2023" s="144" t="s">
        <v>4306</v>
      </c>
      <c r="C2023" s="138"/>
      <c r="D2023" s="141"/>
      <c r="E2023" s="138"/>
      <c r="F2023" s="25">
        <f>F2021+F2022</f>
        <v>0</v>
      </c>
      <c r="H2023" s="155"/>
      <c r="I2023" s="155"/>
      <c r="J2023" s="155"/>
      <c r="K2023" s="155"/>
      <c r="L2023" s="155"/>
      <c r="M2023" s="155"/>
      <c r="N2023" s="155"/>
    </row>
    <row r="2024" spans="1:14" x14ac:dyDescent="0.25">
      <c r="A2024" s="184"/>
      <c r="B2024" s="26"/>
      <c r="C2024" s="185"/>
      <c r="D2024" s="186"/>
      <c r="E2024" s="187"/>
      <c r="F2024" s="188"/>
      <c r="H2024" s="155"/>
      <c r="I2024" s="155"/>
      <c r="J2024" s="155"/>
      <c r="K2024" s="155"/>
      <c r="L2024" s="155"/>
      <c r="M2024" s="155"/>
      <c r="N2024" s="155"/>
    </row>
    <row r="2025" spans="1:14" x14ac:dyDescent="0.25">
      <c r="A2025" s="184"/>
      <c r="B2025" s="26"/>
      <c r="C2025" s="185"/>
      <c r="D2025" s="186"/>
      <c r="E2025" s="187"/>
      <c r="F2025" s="188"/>
      <c r="H2025" s="155"/>
      <c r="I2025" s="155"/>
      <c r="J2025" s="155"/>
      <c r="K2025" s="155"/>
      <c r="L2025" s="155"/>
      <c r="M2025" s="155"/>
      <c r="N2025" s="155"/>
    </row>
    <row r="2026" spans="1:14" x14ac:dyDescent="0.25">
      <c r="A2026" s="184"/>
      <c r="B2026" s="26"/>
      <c r="C2026" s="185"/>
      <c r="D2026" s="186"/>
      <c r="E2026" s="187"/>
      <c r="F2026" s="188"/>
      <c r="H2026" s="155"/>
      <c r="I2026" s="155"/>
      <c r="J2026" s="155"/>
      <c r="K2026" s="155"/>
      <c r="L2026" s="155"/>
      <c r="M2026" s="155"/>
      <c r="N2026" s="155"/>
    </row>
    <row r="2027" spans="1:14" x14ac:dyDescent="0.25">
      <c r="A2027" s="184"/>
      <c r="B2027" s="26"/>
      <c r="C2027" s="185"/>
      <c r="D2027" s="186"/>
      <c r="E2027" s="187"/>
      <c r="F2027" s="188"/>
      <c r="H2027" s="155"/>
      <c r="I2027" s="155"/>
      <c r="J2027" s="155"/>
      <c r="K2027" s="155"/>
      <c r="L2027" s="155"/>
      <c r="M2027" s="155"/>
      <c r="N2027" s="155"/>
    </row>
    <row r="2028" spans="1:14" x14ac:dyDescent="0.25">
      <c r="A2028" s="184"/>
      <c r="B2028" s="26"/>
      <c r="C2028" s="185"/>
      <c r="D2028" s="186"/>
      <c r="E2028" s="187"/>
      <c r="F2028" s="188"/>
      <c r="H2028" s="155"/>
      <c r="I2028" s="155"/>
      <c r="J2028" s="155"/>
      <c r="K2028" s="155"/>
      <c r="L2028" s="155"/>
      <c r="M2028" s="155"/>
      <c r="N2028" s="155"/>
    </row>
    <row r="2029" spans="1:14" x14ac:dyDescent="0.25">
      <c r="A2029" s="184"/>
      <c r="B2029" s="26"/>
      <c r="C2029" s="185"/>
      <c r="D2029" s="186"/>
      <c r="E2029" s="187"/>
      <c r="F2029" s="188"/>
      <c r="H2029" s="155"/>
      <c r="I2029" s="155"/>
      <c r="J2029" s="155"/>
      <c r="K2029" s="155"/>
      <c r="L2029" s="155"/>
      <c r="M2029" s="155"/>
      <c r="N2029" s="155"/>
    </row>
    <row r="2030" spans="1:14" x14ac:dyDescent="0.25">
      <c r="A2030" s="184"/>
      <c r="B2030" s="26"/>
      <c r="C2030" s="185"/>
      <c r="D2030" s="186"/>
      <c r="E2030" s="187"/>
      <c r="F2030" s="188"/>
      <c r="H2030" s="155"/>
      <c r="I2030" s="155"/>
      <c r="J2030" s="155"/>
      <c r="K2030" s="155"/>
      <c r="L2030" s="155"/>
      <c r="M2030" s="155"/>
      <c r="N2030" s="155"/>
    </row>
    <row r="2031" spans="1:14" x14ac:dyDescent="0.25">
      <c r="A2031" s="184"/>
      <c r="B2031" s="26"/>
      <c r="C2031" s="185"/>
      <c r="D2031" s="186"/>
      <c r="E2031" s="187"/>
      <c r="F2031" s="188"/>
      <c r="H2031" s="155"/>
      <c r="I2031" s="155"/>
      <c r="J2031" s="155"/>
      <c r="K2031" s="155"/>
      <c r="L2031" s="155"/>
      <c r="M2031" s="155"/>
      <c r="N2031" s="155"/>
    </row>
    <row r="2032" spans="1:14" x14ac:dyDescent="0.25">
      <c r="A2032" s="184"/>
      <c r="B2032" s="26"/>
      <c r="C2032" s="185"/>
      <c r="D2032" s="186"/>
      <c r="E2032" s="187"/>
      <c r="F2032" s="188"/>
      <c r="H2032" s="155"/>
      <c r="I2032" s="155"/>
      <c r="J2032" s="155"/>
      <c r="K2032" s="155"/>
      <c r="L2032" s="155"/>
      <c r="M2032" s="155"/>
      <c r="N2032" s="155"/>
    </row>
    <row r="2033" spans="1:14" x14ac:dyDescent="0.25">
      <c r="A2033" s="184"/>
      <c r="B2033" s="26"/>
      <c r="C2033" s="185"/>
      <c r="D2033" s="186"/>
      <c r="E2033" s="187"/>
      <c r="F2033" s="188"/>
      <c r="H2033" s="155"/>
      <c r="I2033" s="155"/>
      <c r="J2033" s="155"/>
      <c r="K2033" s="155"/>
      <c r="L2033" s="155"/>
      <c r="M2033" s="155"/>
      <c r="N2033" s="155"/>
    </row>
    <row r="2034" spans="1:14" x14ac:dyDescent="0.25">
      <c r="A2034" s="184"/>
      <c r="B2034" s="26"/>
      <c r="C2034" s="185"/>
      <c r="D2034" s="186"/>
      <c r="E2034" s="187"/>
      <c r="F2034" s="188"/>
      <c r="H2034" s="155"/>
      <c r="I2034" s="155"/>
      <c r="J2034" s="155"/>
      <c r="K2034" s="155"/>
      <c r="L2034" s="155"/>
      <c r="M2034" s="155"/>
      <c r="N2034" s="155"/>
    </row>
    <row r="2035" spans="1:14" x14ac:dyDescent="0.25">
      <c r="A2035" s="184"/>
      <c r="B2035" s="26"/>
      <c r="C2035" s="185"/>
      <c r="D2035" s="186"/>
      <c r="E2035" s="187"/>
      <c r="F2035" s="188"/>
      <c r="H2035" s="155"/>
      <c r="I2035" s="155"/>
      <c r="J2035" s="155"/>
      <c r="K2035" s="155"/>
      <c r="L2035" s="155"/>
      <c r="M2035" s="155"/>
      <c r="N2035" s="155"/>
    </row>
    <row r="2036" spans="1:14" x14ac:dyDescent="0.25">
      <c r="A2036" s="184"/>
      <c r="B2036" s="26"/>
      <c r="C2036" s="185"/>
      <c r="D2036" s="186"/>
      <c r="E2036" s="187"/>
      <c r="F2036" s="188"/>
      <c r="H2036" s="155"/>
      <c r="I2036" s="155"/>
      <c r="J2036" s="155"/>
      <c r="K2036" s="155"/>
      <c r="L2036" s="155"/>
      <c r="M2036" s="155"/>
      <c r="N2036" s="155"/>
    </row>
    <row r="2037" spans="1:14" x14ac:dyDescent="0.25">
      <c r="A2037" s="184"/>
      <c r="B2037" s="26"/>
      <c r="C2037" s="185"/>
      <c r="D2037" s="186"/>
      <c r="E2037" s="187"/>
      <c r="F2037" s="188"/>
      <c r="H2037" s="155"/>
      <c r="I2037" s="155"/>
      <c r="J2037" s="155"/>
      <c r="K2037" s="155"/>
      <c r="L2037" s="155"/>
      <c r="M2037" s="155"/>
      <c r="N2037" s="155"/>
    </row>
    <row r="2038" spans="1:14" x14ac:dyDescent="0.25">
      <c r="A2038" s="184"/>
      <c r="B2038" s="26"/>
      <c r="C2038" s="185"/>
      <c r="D2038" s="186"/>
      <c r="E2038" s="187"/>
      <c r="F2038" s="188"/>
      <c r="H2038" s="155"/>
      <c r="I2038" s="155"/>
      <c r="J2038" s="155"/>
      <c r="K2038" s="155"/>
      <c r="L2038" s="155"/>
      <c r="M2038" s="155"/>
      <c r="N2038" s="155"/>
    </row>
    <row r="2039" spans="1:14" x14ac:dyDescent="0.25">
      <c r="A2039" s="184"/>
      <c r="B2039" s="26"/>
      <c r="C2039" s="185"/>
      <c r="D2039" s="186"/>
      <c r="E2039" s="187"/>
      <c r="F2039" s="188"/>
      <c r="H2039" s="155"/>
      <c r="I2039" s="155"/>
      <c r="J2039" s="155"/>
      <c r="K2039" s="155"/>
      <c r="L2039" s="155"/>
      <c r="M2039" s="155"/>
      <c r="N2039" s="155"/>
    </row>
    <row r="2040" spans="1:14" x14ac:dyDescent="0.25">
      <c r="A2040" s="184"/>
      <c r="B2040" s="26"/>
      <c r="C2040" s="185"/>
      <c r="D2040" s="186"/>
      <c r="E2040" s="187"/>
      <c r="F2040" s="188"/>
      <c r="H2040" s="155"/>
      <c r="I2040" s="155"/>
      <c r="J2040" s="155"/>
      <c r="K2040" s="155"/>
      <c r="L2040" s="155"/>
      <c r="M2040" s="155"/>
      <c r="N2040" s="155"/>
    </row>
    <row r="2041" spans="1:14" x14ac:dyDescent="0.25">
      <c r="A2041" s="184"/>
      <c r="B2041" s="26"/>
      <c r="C2041" s="185"/>
      <c r="D2041" s="186"/>
      <c r="E2041" s="187"/>
      <c r="F2041" s="188"/>
      <c r="H2041" s="155"/>
      <c r="I2041" s="155"/>
      <c r="J2041" s="155"/>
      <c r="K2041" s="155"/>
      <c r="L2041" s="155"/>
      <c r="M2041" s="155"/>
      <c r="N2041" s="155"/>
    </row>
    <row r="2042" spans="1:14" x14ac:dyDescent="0.25">
      <c r="A2042" s="184"/>
      <c r="B2042" s="26"/>
      <c r="C2042" s="185"/>
      <c r="D2042" s="186"/>
      <c r="E2042" s="187"/>
      <c r="F2042" s="188"/>
      <c r="H2042" s="155"/>
      <c r="I2042" s="155"/>
      <c r="J2042" s="155"/>
      <c r="K2042" s="155"/>
      <c r="L2042" s="155"/>
      <c r="M2042" s="155"/>
      <c r="N2042" s="155"/>
    </row>
    <row r="2043" spans="1:14" x14ac:dyDescent="0.25">
      <c r="A2043" s="184"/>
      <c r="B2043" s="26"/>
      <c r="C2043" s="185"/>
      <c r="D2043" s="186"/>
      <c r="E2043" s="187"/>
      <c r="F2043" s="188"/>
      <c r="H2043" s="155"/>
      <c r="I2043" s="155"/>
      <c r="J2043" s="155"/>
      <c r="K2043" s="155"/>
      <c r="L2043" s="155"/>
      <c r="M2043" s="155"/>
      <c r="N2043" s="155"/>
    </row>
    <row r="2044" spans="1:14" x14ac:dyDescent="0.25">
      <c r="A2044" s="184"/>
      <c r="B2044" s="26"/>
      <c r="C2044" s="185"/>
      <c r="D2044" s="186"/>
      <c r="E2044" s="187"/>
      <c r="F2044" s="188"/>
      <c r="H2044" s="155"/>
      <c r="I2044" s="155"/>
      <c r="J2044" s="155"/>
      <c r="K2044" s="155"/>
      <c r="L2044" s="155"/>
      <c r="M2044" s="155"/>
      <c r="N2044" s="155"/>
    </row>
    <row r="2045" spans="1:14" x14ac:dyDescent="0.25">
      <c r="A2045" s="184"/>
      <c r="B2045" s="26"/>
      <c r="C2045" s="185"/>
      <c r="D2045" s="186"/>
      <c r="E2045" s="187"/>
      <c r="F2045" s="188"/>
      <c r="H2045" s="155"/>
      <c r="I2045" s="155"/>
      <c r="J2045" s="155"/>
      <c r="K2045" s="155"/>
      <c r="L2045" s="155"/>
      <c r="M2045" s="155"/>
      <c r="N2045" s="155"/>
    </row>
    <row r="2046" spans="1:14" x14ac:dyDescent="0.25">
      <c r="A2046" s="184"/>
      <c r="B2046" s="26"/>
      <c r="C2046" s="185"/>
      <c r="D2046" s="186"/>
      <c r="E2046" s="187"/>
      <c r="F2046" s="188"/>
      <c r="H2046" s="155"/>
      <c r="I2046" s="155"/>
      <c r="J2046" s="155"/>
      <c r="K2046" s="155"/>
      <c r="L2046" s="155"/>
      <c r="M2046" s="155"/>
      <c r="N2046" s="155"/>
    </row>
    <row r="2047" spans="1:14" x14ac:dyDescent="0.25">
      <c r="A2047" s="184"/>
      <c r="B2047" s="26"/>
      <c r="C2047" s="185"/>
      <c r="D2047" s="186"/>
      <c r="E2047" s="187"/>
      <c r="F2047" s="188"/>
      <c r="H2047" s="155"/>
      <c r="I2047" s="155"/>
      <c r="J2047" s="155"/>
      <c r="K2047" s="155"/>
      <c r="L2047" s="155"/>
      <c r="M2047" s="155"/>
      <c r="N2047" s="155"/>
    </row>
    <row r="2048" spans="1:14" x14ac:dyDescent="0.25">
      <c r="A2048" s="184"/>
      <c r="B2048" s="26"/>
      <c r="C2048" s="185"/>
      <c r="D2048" s="186"/>
      <c r="E2048" s="187"/>
      <c r="F2048" s="188"/>
      <c r="H2048" s="155"/>
      <c r="I2048" s="155"/>
      <c r="J2048" s="155"/>
      <c r="K2048" s="155"/>
      <c r="L2048" s="155"/>
      <c r="M2048" s="155"/>
      <c r="N2048" s="155"/>
    </row>
    <row r="2049" spans="1:14" x14ac:dyDescent="0.25">
      <c r="A2049" s="184"/>
      <c r="B2049" s="26"/>
      <c r="C2049" s="185"/>
      <c r="D2049" s="186"/>
      <c r="E2049" s="187"/>
      <c r="F2049" s="188"/>
      <c r="H2049" s="155"/>
      <c r="I2049" s="155"/>
      <c r="J2049" s="155"/>
      <c r="K2049" s="155"/>
      <c r="L2049" s="155"/>
      <c r="M2049" s="155"/>
      <c r="N2049" s="155"/>
    </row>
    <row r="2050" spans="1:14" x14ac:dyDescent="0.25">
      <c r="A2050" s="184"/>
      <c r="B2050" s="26"/>
      <c r="C2050" s="185"/>
      <c r="D2050" s="186"/>
      <c r="E2050" s="187"/>
      <c r="F2050" s="188"/>
      <c r="H2050" s="155"/>
      <c r="I2050" s="155"/>
      <c r="J2050" s="155"/>
      <c r="K2050" s="155"/>
      <c r="L2050" s="155"/>
      <c r="M2050" s="155"/>
      <c r="N2050" s="155"/>
    </row>
    <row r="2051" spans="1:14" x14ac:dyDescent="0.25">
      <c r="A2051" s="184"/>
      <c r="B2051" s="26"/>
      <c r="C2051" s="185"/>
      <c r="D2051" s="186"/>
      <c r="E2051" s="187"/>
      <c r="F2051" s="188"/>
      <c r="H2051" s="155"/>
      <c r="I2051" s="155"/>
      <c r="J2051" s="155"/>
      <c r="K2051" s="155"/>
      <c r="L2051" s="155"/>
      <c r="M2051" s="155"/>
      <c r="N2051" s="155"/>
    </row>
    <row r="2052" spans="1:14" x14ac:dyDescent="0.25">
      <c r="A2052" s="184"/>
      <c r="B2052" s="26"/>
      <c r="C2052" s="185"/>
      <c r="D2052" s="186"/>
      <c r="E2052" s="187"/>
      <c r="F2052" s="188"/>
      <c r="H2052" s="155"/>
      <c r="I2052" s="155"/>
      <c r="J2052" s="155"/>
      <c r="K2052" s="155"/>
      <c r="L2052" s="155"/>
      <c r="M2052" s="155"/>
      <c r="N2052" s="155"/>
    </row>
    <row r="2053" spans="1:14" x14ac:dyDescent="0.25">
      <c r="A2053" s="184"/>
      <c r="B2053" s="26"/>
      <c r="C2053" s="185"/>
      <c r="D2053" s="186"/>
      <c r="E2053" s="187"/>
      <c r="F2053" s="188"/>
      <c r="H2053" s="155"/>
      <c r="I2053" s="155"/>
      <c r="J2053" s="155"/>
      <c r="K2053" s="155"/>
      <c r="L2053" s="155"/>
      <c r="M2053" s="155"/>
      <c r="N2053" s="155"/>
    </row>
    <row r="2054" spans="1:14" x14ac:dyDescent="0.25">
      <c r="A2054" s="184"/>
      <c r="B2054" s="26"/>
      <c r="C2054" s="185"/>
      <c r="D2054" s="186"/>
      <c r="E2054" s="187"/>
      <c r="F2054" s="188"/>
      <c r="H2054" s="155"/>
      <c r="I2054" s="155"/>
      <c r="J2054" s="155"/>
      <c r="K2054" s="155"/>
      <c r="L2054" s="155"/>
      <c r="M2054" s="155"/>
      <c r="N2054" s="155"/>
    </row>
    <row r="2055" spans="1:14" x14ac:dyDescent="0.25">
      <c r="A2055" s="184"/>
      <c r="B2055" s="26"/>
      <c r="C2055" s="185"/>
      <c r="D2055" s="186"/>
      <c r="E2055" s="187"/>
      <c r="F2055" s="188"/>
      <c r="H2055" s="155"/>
      <c r="I2055" s="155"/>
      <c r="J2055" s="155"/>
      <c r="K2055" s="155"/>
      <c r="L2055" s="155"/>
      <c r="M2055" s="155"/>
      <c r="N2055" s="155"/>
    </row>
    <row r="2056" spans="1:14" x14ac:dyDescent="0.25">
      <c r="A2056" s="184"/>
      <c r="B2056" s="26"/>
      <c r="C2056" s="185"/>
      <c r="D2056" s="186"/>
      <c r="E2056" s="187"/>
      <c r="F2056" s="188"/>
      <c r="H2056" s="155"/>
      <c r="I2056" s="155"/>
      <c r="J2056" s="155"/>
      <c r="K2056" s="155"/>
      <c r="L2056" s="155"/>
      <c r="M2056" s="155"/>
      <c r="N2056" s="155"/>
    </row>
    <row r="2057" spans="1:14" x14ac:dyDescent="0.25">
      <c r="A2057" s="184"/>
      <c r="B2057" s="26"/>
      <c r="C2057" s="185"/>
      <c r="D2057" s="186"/>
      <c r="E2057" s="187"/>
      <c r="F2057" s="188"/>
      <c r="H2057" s="155"/>
      <c r="I2057" s="155"/>
      <c r="J2057" s="155"/>
      <c r="K2057" s="155"/>
      <c r="L2057" s="155"/>
      <c r="M2057" s="155"/>
      <c r="N2057" s="155"/>
    </row>
    <row r="2058" spans="1:14" x14ac:dyDescent="0.25">
      <c r="A2058" s="184"/>
      <c r="B2058" s="26"/>
      <c r="C2058" s="185"/>
      <c r="D2058" s="186"/>
      <c r="E2058" s="187"/>
      <c r="F2058" s="188"/>
      <c r="H2058" s="155"/>
      <c r="I2058" s="155"/>
      <c r="J2058" s="155"/>
      <c r="K2058" s="155"/>
      <c r="L2058" s="155"/>
      <c r="M2058" s="155"/>
      <c r="N2058" s="155"/>
    </row>
    <row r="2059" spans="1:14" x14ac:dyDescent="0.25">
      <c r="A2059" s="184"/>
      <c r="B2059" s="26"/>
      <c r="C2059" s="185"/>
      <c r="D2059" s="186"/>
      <c r="E2059" s="187"/>
      <c r="F2059" s="188"/>
      <c r="H2059" s="155"/>
      <c r="I2059" s="155"/>
      <c r="J2059" s="155"/>
      <c r="K2059" s="155"/>
      <c r="L2059" s="155"/>
      <c r="M2059" s="155"/>
      <c r="N2059" s="155"/>
    </row>
    <row r="2060" spans="1:14" x14ac:dyDescent="0.25">
      <c r="A2060" s="184"/>
      <c r="B2060" s="26"/>
      <c r="C2060" s="185"/>
      <c r="D2060" s="186"/>
      <c r="E2060" s="187"/>
      <c r="F2060" s="188"/>
      <c r="H2060" s="155"/>
      <c r="I2060" s="155"/>
      <c r="J2060" s="155"/>
      <c r="K2060" s="155"/>
      <c r="L2060" s="155"/>
      <c r="M2060" s="155"/>
      <c r="N2060" s="155"/>
    </row>
    <row r="2061" spans="1:14" x14ac:dyDescent="0.25">
      <c r="A2061" s="184"/>
      <c r="B2061" s="26"/>
      <c r="C2061" s="185"/>
      <c r="D2061" s="186"/>
      <c r="E2061" s="187"/>
      <c r="F2061" s="188"/>
      <c r="H2061" s="155"/>
      <c r="I2061" s="155"/>
      <c r="J2061" s="155"/>
      <c r="K2061" s="155"/>
      <c r="L2061" s="155"/>
      <c r="M2061" s="155"/>
      <c r="N2061" s="155"/>
    </row>
    <row r="2062" spans="1:14" x14ac:dyDescent="0.25">
      <c r="A2062" s="184"/>
      <c r="B2062" s="26"/>
      <c r="C2062" s="185"/>
      <c r="D2062" s="186"/>
      <c r="E2062" s="187"/>
      <c r="F2062" s="188"/>
      <c r="H2062" s="155"/>
      <c r="I2062" s="155"/>
      <c r="J2062" s="155"/>
      <c r="K2062" s="155"/>
      <c r="L2062" s="155"/>
      <c r="M2062" s="155"/>
      <c r="N2062" s="155"/>
    </row>
    <row r="2063" spans="1:14" x14ac:dyDescent="0.25">
      <c r="A2063" s="184"/>
      <c r="B2063" s="26"/>
      <c r="C2063" s="185"/>
      <c r="D2063" s="186"/>
      <c r="E2063" s="187"/>
      <c r="F2063" s="188"/>
      <c r="H2063" s="155"/>
      <c r="I2063" s="155"/>
      <c r="J2063" s="155"/>
      <c r="K2063" s="155"/>
      <c r="L2063" s="155"/>
      <c r="M2063" s="155"/>
      <c r="N2063" s="155"/>
    </row>
    <row r="2064" spans="1:14" x14ac:dyDescent="0.25">
      <c r="A2064" s="184"/>
      <c r="B2064" s="26"/>
      <c r="C2064" s="185"/>
      <c r="D2064" s="186"/>
      <c r="E2064" s="187"/>
      <c r="F2064" s="188"/>
      <c r="H2064" s="155"/>
      <c r="I2064" s="155"/>
      <c r="J2064" s="155"/>
      <c r="K2064" s="155"/>
      <c r="L2064" s="155"/>
      <c r="M2064" s="155"/>
      <c r="N2064" s="155"/>
    </row>
    <row r="2065" spans="1:14" x14ac:dyDescent="0.25">
      <c r="A2065" s="184"/>
      <c r="B2065" s="26"/>
      <c r="C2065" s="185"/>
      <c r="D2065" s="186"/>
      <c r="E2065" s="187"/>
      <c r="F2065" s="188"/>
      <c r="H2065" s="155"/>
      <c r="I2065" s="155"/>
      <c r="J2065" s="155"/>
      <c r="K2065" s="155"/>
      <c r="L2065" s="155"/>
      <c r="M2065" s="155"/>
      <c r="N2065" s="155"/>
    </row>
    <row r="2066" spans="1:14" x14ac:dyDescent="0.25">
      <c r="A2066" s="184"/>
      <c r="B2066" s="26"/>
      <c r="C2066" s="185"/>
      <c r="D2066" s="186"/>
      <c r="E2066" s="187"/>
      <c r="F2066" s="188"/>
      <c r="H2066" s="155"/>
      <c r="I2066" s="155"/>
      <c r="J2066" s="155"/>
      <c r="K2066" s="155"/>
      <c r="L2066" s="155"/>
      <c r="M2066" s="155"/>
      <c r="N2066" s="155"/>
    </row>
    <row r="2067" spans="1:14" x14ac:dyDescent="0.25">
      <c r="A2067" s="184"/>
      <c r="B2067" s="26"/>
      <c r="C2067" s="185"/>
      <c r="D2067" s="186"/>
      <c r="E2067" s="187"/>
      <c r="F2067" s="188"/>
      <c r="H2067" s="155"/>
      <c r="I2067" s="155"/>
      <c r="J2067" s="155"/>
      <c r="K2067" s="155"/>
      <c r="L2067" s="155"/>
      <c r="M2067" s="155"/>
      <c r="N2067" s="155"/>
    </row>
    <row r="2068" spans="1:14" x14ac:dyDescent="0.25">
      <c r="A2068" s="184"/>
      <c r="B2068" s="26"/>
      <c r="C2068" s="185"/>
      <c r="D2068" s="186"/>
      <c r="E2068" s="187"/>
      <c r="F2068" s="188"/>
      <c r="H2068" s="155"/>
      <c r="I2068" s="155"/>
      <c r="J2068" s="155"/>
      <c r="K2068" s="155"/>
      <c r="L2068" s="155"/>
      <c r="M2068" s="155"/>
      <c r="N2068" s="155"/>
    </row>
    <row r="2069" spans="1:14" x14ac:dyDescent="0.25">
      <c r="A2069" s="184"/>
      <c r="B2069" s="26"/>
      <c r="C2069" s="185"/>
      <c r="D2069" s="186"/>
      <c r="E2069" s="187"/>
      <c r="F2069" s="188"/>
      <c r="H2069" s="155"/>
      <c r="I2069" s="155"/>
      <c r="J2069" s="155"/>
      <c r="K2069" s="155"/>
      <c r="L2069" s="155"/>
      <c r="M2069" s="155"/>
      <c r="N2069" s="155"/>
    </row>
    <row r="2070" spans="1:14" x14ac:dyDescent="0.25">
      <c r="A2070" s="184"/>
      <c r="B2070" s="26"/>
      <c r="C2070" s="185"/>
      <c r="D2070" s="186"/>
      <c r="E2070" s="187"/>
      <c r="F2070" s="188"/>
      <c r="H2070" s="155"/>
      <c r="I2070" s="155"/>
      <c r="J2070" s="155"/>
      <c r="K2070" s="155"/>
      <c r="L2070" s="155"/>
      <c r="M2070" s="155"/>
      <c r="N2070" s="155"/>
    </row>
    <row r="2071" spans="1:14" x14ac:dyDescent="0.25">
      <c r="A2071" s="184"/>
      <c r="B2071" s="26"/>
      <c r="C2071" s="185"/>
      <c r="D2071" s="186"/>
      <c r="E2071" s="187"/>
      <c r="F2071" s="188"/>
      <c r="H2071" s="155"/>
      <c r="I2071" s="155"/>
      <c r="J2071" s="155"/>
      <c r="K2071" s="155"/>
      <c r="L2071" s="155"/>
      <c r="M2071" s="155"/>
      <c r="N2071" s="155"/>
    </row>
    <row r="2072" spans="1:14" x14ac:dyDescent="0.25">
      <c r="A2072" s="184"/>
      <c r="B2072" s="26"/>
      <c r="C2072" s="185"/>
      <c r="D2072" s="186"/>
      <c r="E2072" s="187"/>
      <c r="F2072" s="188"/>
      <c r="H2072" s="155"/>
      <c r="I2072" s="155"/>
      <c r="J2072" s="155"/>
      <c r="K2072" s="155"/>
      <c r="L2072" s="155"/>
      <c r="M2072" s="155"/>
      <c r="N2072" s="155"/>
    </row>
    <row r="2073" spans="1:14" x14ac:dyDescent="0.25">
      <c r="A2073" s="184"/>
      <c r="B2073" s="26"/>
      <c r="C2073" s="185"/>
      <c r="D2073" s="186"/>
      <c r="E2073" s="187"/>
      <c r="F2073" s="188"/>
      <c r="H2073" s="155"/>
      <c r="I2073" s="155"/>
      <c r="J2073" s="155"/>
      <c r="K2073" s="155"/>
      <c r="L2073" s="155"/>
      <c r="M2073" s="155"/>
      <c r="N2073" s="155"/>
    </row>
    <row r="2074" spans="1:14" x14ac:dyDescent="0.25">
      <c r="A2074" s="184"/>
      <c r="B2074" s="26"/>
      <c r="C2074" s="185"/>
      <c r="D2074" s="186"/>
      <c r="E2074" s="187"/>
      <c r="F2074" s="188"/>
      <c r="H2074" s="155"/>
      <c r="I2074" s="155"/>
      <c r="J2074" s="155"/>
      <c r="K2074" s="155"/>
      <c r="L2074" s="155"/>
      <c r="M2074" s="155"/>
      <c r="N2074" s="155"/>
    </row>
    <row r="2075" spans="1:14" x14ac:dyDescent="0.25">
      <c r="A2075" s="184"/>
      <c r="B2075" s="26"/>
      <c r="C2075" s="185"/>
      <c r="D2075" s="186"/>
      <c r="E2075" s="187"/>
      <c r="F2075" s="188"/>
      <c r="H2075" s="155"/>
      <c r="I2075" s="155"/>
      <c r="J2075" s="155"/>
      <c r="K2075" s="155"/>
      <c r="L2075" s="155"/>
      <c r="M2075" s="155"/>
      <c r="N2075" s="155"/>
    </row>
    <row r="2076" spans="1:14" x14ac:dyDescent="0.25">
      <c r="A2076" s="184"/>
      <c r="B2076" s="26"/>
      <c r="C2076" s="185"/>
      <c r="D2076" s="186"/>
      <c r="E2076" s="187"/>
      <c r="F2076" s="188"/>
      <c r="H2076" s="155"/>
      <c r="I2076" s="155"/>
      <c r="J2076" s="155"/>
      <c r="K2076" s="155"/>
      <c r="L2076" s="155"/>
      <c r="M2076" s="155"/>
      <c r="N2076" s="155"/>
    </row>
    <row r="2077" spans="1:14" x14ac:dyDescent="0.25">
      <c r="A2077" s="184"/>
      <c r="B2077" s="26"/>
      <c r="C2077" s="185"/>
      <c r="D2077" s="186"/>
      <c r="E2077" s="187"/>
      <c r="F2077" s="188"/>
      <c r="H2077" s="155"/>
      <c r="I2077" s="155"/>
      <c r="J2077" s="155"/>
      <c r="K2077" s="155"/>
      <c r="L2077" s="155"/>
      <c r="M2077" s="155"/>
      <c r="N2077" s="155"/>
    </row>
    <row r="2078" spans="1:14" x14ac:dyDescent="0.25">
      <c r="A2078" s="184"/>
      <c r="B2078" s="26"/>
      <c r="C2078" s="185"/>
      <c r="D2078" s="186"/>
      <c r="E2078" s="187"/>
      <c r="F2078" s="188"/>
      <c r="H2078" s="155"/>
      <c r="I2078" s="155"/>
      <c r="J2078" s="155"/>
      <c r="K2078" s="155"/>
      <c r="L2078" s="155"/>
      <c r="M2078" s="155"/>
      <c r="N2078" s="155"/>
    </row>
    <row r="2079" spans="1:14" x14ac:dyDescent="0.25">
      <c r="A2079" s="184"/>
      <c r="B2079" s="26"/>
      <c r="C2079" s="185"/>
      <c r="D2079" s="186"/>
      <c r="E2079" s="187"/>
      <c r="F2079" s="188"/>
      <c r="H2079" s="155"/>
      <c r="I2079" s="155"/>
      <c r="J2079" s="155"/>
      <c r="K2079" s="155"/>
      <c r="L2079" s="155"/>
      <c r="M2079" s="155"/>
      <c r="N2079" s="155"/>
    </row>
    <row r="2080" spans="1:14" x14ac:dyDescent="0.25">
      <c r="A2080" s="184"/>
      <c r="B2080" s="26"/>
      <c r="C2080" s="185"/>
      <c r="D2080" s="186"/>
      <c r="E2080" s="187"/>
      <c r="F2080" s="188"/>
      <c r="H2080" s="155"/>
      <c r="I2080" s="155"/>
      <c r="J2080" s="155"/>
      <c r="K2080" s="155"/>
      <c r="L2080" s="155"/>
      <c r="M2080" s="155"/>
      <c r="N2080" s="155"/>
    </row>
    <row r="2081" spans="1:14" x14ac:dyDescent="0.25">
      <c r="A2081" s="184"/>
      <c r="B2081" s="26"/>
      <c r="C2081" s="185"/>
      <c r="D2081" s="186"/>
      <c r="E2081" s="187"/>
      <c r="F2081" s="188"/>
      <c r="H2081" s="155"/>
      <c r="I2081" s="155"/>
      <c r="J2081" s="155"/>
      <c r="K2081" s="155"/>
      <c r="L2081" s="155"/>
      <c r="M2081" s="155"/>
      <c r="N2081" s="155"/>
    </row>
    <row r="2082" spans="1:14" x14ac:dyDescent="0.25">
      <c r="A2082" s="184"/>
      <c r="B2082" s="26"/>
      <c r="C2082" s="185"/>
      <c r="D2082" s="186"/>
      <c r="E2082" s="187"/>
      <c r="F2082" s="188"/>
      <c r="H2082" s="155"/>
      <c r="I2082" s="155"/>
      <c r="J2082" s="155"/>
      <c r="K2082" s="155"/>
      <c r="L2082" s="155"/>
      <c r="M2082" s="155"/>
      <c r="N2082" s="155"/>
    </row>
    <row r="2083" spans="1:14" x14ac:dyDescent="0.25">
      <c r="A2083" s="184"/>
      <c r="B2083" s="26"/>
      <c r="C2083" s="185"/>
      <c r="D2083" s="186"/>
      <c r="E2083" s="187"/>
      <c r="F2083" s="188"/>
      <c r="H2083" s="155"/>
      <c r="I2083" s="155"/>
      <c r="J2083" s="155"/>
      <c r="K2083" s="155"/>
      <c r="L2083" s="155"/>
      <c r="M2083" s="155"/>
      <c r="N2083" s="155"/>
    </row>
    <row r="2084" spans="1:14" x14ac:dyDescent="0.25">
      <c r="A2084" s="184"/>
      <c r="B2084" s="26"/>
      <c r="C2084" s="185"/>
      <c r="D2084" s="186"/>
      <c r="E2084" s="187"/>
      <c r="F2084" s="188"/>
      <c r="H2084" s="155"/>
      <c r="I2084" s="155"/>
      <c r="J2084" s="155"/>
      <c r="K2084" s="155"/>
      <c r="L2084" s="155"/>
      <c r="M2084" s="155"/>
      <c r="N2084" s="155"/>
    </row>
    <row r="2085" spans="1:14" x14ac:dyDescent="0.25">
      <c r="A2085" s="184"/>
      <c r="B2085" s="26"/>
      <c r="C2085" s="185"/>
      <c r="D2085" s="186"/>
      <c r="E2085" s="187"/>
      <c r="F2085" s="188"/>
      <c r="H2085" s="155"/>
      <c r="I2085" s="155"/>
      <c r="J2085" s="155"/>
      <c r="K2085" s="155"/>
      <c r="L2085" s="155"/>
      <c r="M2085" s="155"/>
      <c r="N2085" s="155"/>
    </row>
    <row r="2086" spans="1:14" x14ac:dyDescent="0.25">
      <c r="A2086" s="184"/>
      <c r="B2086" s="26"/>
      <c r="C2086" s="185"/>
      <c r="D2086" s="186"/>
      <c r="E2086" s="187"/>
      <c r="F2086" s="188"/>
      <c r="H2086" s="155"/>
      <c r="I2086" s="155"/>
      <c r="J2086" s="155"/>
      <c r="K2086" s="155"/>
      <c r="L2086" s="155"/>
      <c r="M2086" s="155"/>
      <c r="N2086" s="155"/>
    </row>
    <row r="2087" spans="1:14" x14ac:dyDescent="0.25">
      <c r="A2087" s="184"/>
      <c r="B2087" s="26"/>
      <c r="C2087" s="185"/>
      <c r="D2087" s="186"/>
      <c r="E2087" s="187"/>
      <c r="F2087" s="188"/>
      <c r="H2087" s="155"/>
      <c r="I2087" s="155"/>
      <c r="J2087" s="155"/>
      <c r="K2087" s="155"/>
      <c r="L2087" s="155"/>
      <c r="M2087" s="155"/>
      <c r="N2087" s="155"/>
    </row>
    <row r="2088" spans="1:14" x14ac:dyDescent="0.25">
      <c r="A2088" s="184"/>
      <c r="B2088" s="26"/>
      <c r="C2088" s="185"/>
      <c r="D2088" s="186"/>
      <c r="E2088" s="187"/>
      <c r="F2088" s="188"/>
      <c r="H2088" s="155"/>
      <c r="I2088" s="155"/>
      <c r="J2088" s="155"/>
      <c r="K2088" s="155"/>
      <c r="L2088" s="155"/>
      <c r="M2088" s="155"/>
      <c r="N2088" s="155"/>
    </row>
    <row r="2089" spans="1:14" x14ac:dyDescent="0.25">
      <c r="A2089" s="184"/>
      <c r="B2089" s="26"/>
      <c r="C2089" s="185"/>
      <c r="D2089" s="186"/>
      <c r="E2089" s="187"/>
      <c r="F2089" s="188"/>
      <c r="H2089" s="155"/>
      <c r="I2089" s="155"/>
      <c r="J2089" s="155"/>
      <c r="K2089" s="155"/>
      <c r="L2089" s="155"/>
      <c r="M2089" s="155"/>
      <c r="N2089" s="155"/>
    </row>
    <row r="2090" spans="1:14" x14ac:dyDescent="0.25">
      <c r="A2090" s="184"/>
      <c r="B2090" s="26"/>
      <c r="C2090" s="185"/>
      <c r="D2090" s="186"/>
      <c r="E2090" s="187"/>
      <c r="F2090" s="188"/>
      <c r="H2090" s="155"/>
      <c r="I2090" s="155"/>
      <c r="J2090" s="155"/>
      <c r="K2090" s="155"/>
      <c r="L2090" s="155"/>
      <c r="M2090" s="155"/>
      <c r="N2090" s="155"/>
    </row>
    <row r="2091" spans="1:14" x14ac:dyDescent="0.25">
      <c r="A2091" s="184"/>
      <c r="B2091" s="26"/>
      <c r="C2091" s="185"/>
      <c r="D2091" s="186"/>
      <c r="E2091" s="187"/>
      <c r="F2091" s="188"/>
      <c r="H2091" s="155"/>
      <c r="I2091" s="155"/>
      <c r="J2091" s="155"/>
      <c r="K2091" s="155"/>
      <c r="L2091" s="155"/>
      <c r="M2091" s="155"/>
      <c r="N2091" s="155"/>
    </row>
    <row r="2092" spans="1:14" x14ac:dyDescent="0.25">
      <c r="A2092" s="184"/>
      <c r="B2092" s="26"/>
      <c r="C2092" s="185"/>
      <c r="D2092" s="186"/>
      <c r="E2092" s="187"/>
      <c r="F2092" s="188"/>
      <c r="H2092" s="155"/>
      <c r="I2092" s="155"/>
      <c r="J2092" s="155"/>
      <c r="K2092" s="155"/>
      <c r="L2092" s="155"/>
      <c r="M2092" s="155"/>
      <c r="N2092" s="155"/>
    </row>
    <row r="2093" spans="1:14" x14ac:dyDescent="0.25">
      <c r="A2093" s="184"/>
      <c r="B2093" s="26"/>
      <c r="C2093" s="185"/>
      <c r="D2093" s="186"/>
      <c r="E2093" s="187"/>
      <c r="F2093" s="188"/>
      <c r="H2093" s="155"/>
      <c r="I2093" s="155"/>
      <c r="J2093" s="155"/>
      <c r="K2093" s="155"/>
      <c r="L2093" s="155"/>
      <c r="M2093" s="155"/>
      <c r="N2093" s="155"/>
    </row>
    <row r="2094" spans="1:14" x14ac:dyDescent="0.25">
      <c r="A2094" s="184"/>
      <c r="B2094" s="26"/>
      <c r="C2094" s="185"/>
      <c r="D2094" s="186"/>
      <c r="E2094" s="187"/>
      <c r="F2094" s="188"/>
      <c r="H2094" s="155"/>
      <c r="I2094" s="155"/>
      <c r="J2094" s="155"/>
      <c r="K2094" s="155"/>
      <c r="L2094" s="155"/>
      <c r="M2094" s="155"/>
      <c r="N2094" s="155"/>
    </row>
    <row r="2095" spans="1:14" x14ac:dyDescent="0.25">
      <c r="A2095" s="184"/>
      <c r="B2095" s="26"/>
      <c r="C2095" s="185"/>
      <c r="D2095" s="186"/>
      <c r="E2095" s="187"/>
      <c r="F2095" s="188"/>
      <c r="H2095" s="155"/>
      <c r="I2095" s="155"/>
      <c r="J2095" s="155"/>
      <c r="K2095" s="155"/>
      <c r="L2095" s="155"/>
      <c r="M2095" s="155"/>
      <c r="N2095" s="155"/>
    </row>
    <row r="2096" spans="1:14" x14ac:dyDescent="0.25">
      <c r="A2096" s="184"/>
      <c r="B2096" s="26"/>
      <c r="C2096" s="185"/>
      <c r="D2096" s="186"/>
      <c r="E2096" s="187"/>
      <c r="F2096" s="188"/>
      <c r="H2096" s="155"/>
      <c r="I2096" s="155"/>
      <c r="J2096" s="155"/>
      <c r="K2096" s="155"/>
      <c r="L2096" s="155"/>
      <c r="M2096" s="155"/>
      <c r="N2096" s="155"/>
    </row>
    <row r="2097" spans="1:14" x14ac:dyDescent="0.25">
      <c r="A2097" s="184"/>
      <c r="B2097" s="26"/>
      <c r="C2097" s="185"/>
      <c r="D2097" s="186"/>
      <c r="E2097" s="187"/>
      <c r="F2097" s="188"/>
      <c r="H2097" s="155"/>
      <c r="I2097" s="155"/>
      <c r="J2097" s="155"/>
      <c r="K2097" s="155"/>
      <c r="L2097" s="155"/>
      <c r="M2097" s="155"/>
      <c r="N2097" s="155"/>
    </row>
    <row r="2098" spans="1:14" x14ac:dyDescent="0.25">
      <c r="A2098" s="184"/>
      <c r="B2098" s="26"/>
      <c r="C2098" s="185"/>
      <c r="D2098" s="186"/>
      <c r="E2098" s="187"/>
      <c r="F2098" s="188"/>
      <c r="H2098" s="155"/>
      <c r="I2098" s="155"/>
      <c r="J2098" s="155"/>
      <c r="K2098" s="155"/>
      <c r="L2098" s="155"/>
      <c r="M2098" s="155"/>
      <c r="N2098" s="155"/>
    </row>
    <row r="2099" spans="1:14" x14ac:dyDescent="0.25">
      <c r="A2099" s="184"/>
      <c r="B2099" s="26"/>
      <c r="C2099" s="185"/>
      <c r="D2099" s="186"/>
      <c r="E2099" s="187"/>
      <c r="F2099" s="188"/>
      <c r="H2099" s="155"/>
      <c r="I2099" s="155"/>
      <c r="J2099" s="155"/>
      <c r="K2099" s="155"/>
      <c r="L2099" s="155"/>
      <c r="M2099" s="155"/>
      <c r="N2099" s="155"/>
    </row>
    <row r="2100" spans="1:14" x14ac:dyDescent="0.25">
      <c r="A2100" s="184"/>
      <c r="B2100" s="26"/>
      <c r="C2100" s="185"/>
      <c r="D2100" s="186"/>
      <c r="E2100" s="187"/>
      <c r="F2100" s="188"/>
      <c r="H2100" s="155"/>
      <c r="I2100" s="155"/>
      <c r="J2100" s="155"/>
      <c r="K2100" s="155"/>
      <c r="L2100" s="155"/>
      <c r="M2100" s="155"/>
      <c r="N2100" s="155"/>
    </row>
    <row r="2101" spans="1:14" x14ac:dyDescent="0.25">
      <c r="A2101" s="184"/>
      <c r="B2101" s="26"/>
      <c r="C2101" s="185"/>
      <c r="D2101" s="186"/>
      <c r="E2101" s="187"/>
      <c r="F2101" s="188"/>
      <c r="H2101" s="155"/>
      <c r="I2101" s="155"/>
      <c r="J2101" s="155"/>
      <c r="K2101" s="155"/>
      <c r="L2101" s="155"/>
      <c r="M2101" s="155"/>
      <c r="N2101" s="155"/>
    </row>
    <row r="2102" spans="1:14" x14ac:dyDescent="0.25">
      <c r="A2102" s="184"/>
      <c r="B2102" s="26"/>
      <c r="C2102" s="185"/>
      <c r="D2102" s="186"/>
      <c r="E2102" s="187"/>
      <c r="F2102" s="188"/>
      <c r="H2102" s="155"/>
      <c r="I2102" s="155"/>
      <c r="J2102" s="155"/>
      <c r="K2102" s="155"/>
      <c r="L2102" s="155"/>
      <c r="M2102" s="155"/>
      <c r="N2102" s="155"/>
    </row>
    <row r="2103" spans="1:14" x14ac:dyDescent="0.25">
      <c r="A2103" s="184"/>
      <c r="B2103" s="26"/>
      <c r="C2103" s="185"/>
      <c r="D2103" s="186"/>
      <c r="E2103" s="187"/>
      <c r="F2103" s="188"/>
      <c r="H2103" s="155"/>
      <c r="I2103" s="155"/>
      <c r="J2103" s="155"/>
      <c r="K2103" s="155"/>
      <c r="L2103" s="155"/>
      <c r="M2103" s="155"/>
      <c r="N2103" s="155"/>
    </row>
    <row r="2104" spans="1:14" x14ac:dyDescent="0.25">
      <c r="A2104" s="184"/>
      <c r="B2104" s="26"/>
      <c r="C2104" s="185"/>
      <c r="D2104" s="186"/>
      <c r="E2104" s="187"/>
      <c r="F2104" s="188"/>
      <c r="H2104" s="155"/>
      <c r="I2104" s="155"/>
      <c r="J2104" s="155"/>
      <c r="K2104" s="155"/>
      <c r="L2104" s="155"/>
      <c r="M2104" s="155"/>
      <c r="N2104" s="155"/>
    </row>
    <row r="2105" spans="1:14" x14ac:dyDescent="0.25">
      <c r="A2105" s="184"/>
      <c r="B2105" s="26"/>
      <c r="C2105" s="185"/>
      <c r="D2105" s="186"/>
      <c r="E2105" s="187"/>
      <c r="F2105" s="188"/>
      <c r="H2105" s="155"/>
      <c r="I2105" s="155"/>
      <c r="J2105" s="155"/>
      <c r="K2105" s="155"/>
      <c r="L2105" s="155"/>
      <c r="M2105" s="155"/>
      <c r="N2105" s="155"/>
    </row>
    <row r="2106" spans="1:14" x14ac:dyDescent="0.25">
      <c r="A2106" s="184"/>
      <c r="B2106" s="26"/>
      <c r="C2106" s="185"/>
      <c r="D2106" s="186"/>
      <c r="E2106" s="187"/>
      <c r="F2106" s="188"/>
      <c r="H2106" s="155"/>
      <c r="I2106" s="155"/>
      <c r="J2106" s="155"/>
      <c r="K2106" s="155"/>
      <c r="L2106" s="155"/>
      <c r="M2106" s="155"/>
      <c r="N2106" s="155"/>
    </row>
    <row r="2107" spans="1:14" x14ac:dyDescent="0.25">
      <c r="A2107" s="184"/>
      <c r="B2107" s="26"/>
      <c r="C2107" s="185"/>
      <c r="D2107" s="186"/>
      <c r="E2107" s="187"/>
      <c r="F2107" s="188"/>
      <c r="H2107" s="155"/>
      <c r="I2107" s="155"/>
      <c r="J2107" s="155"/>
      <c r="K2107" s="155"/>
      <c r="L2107" s="155"/>
      <c r="M2107" s="155"/>
      <c r="N2107" s="155"/>
    </row>
    <row r="2108" spans="1:14" x14ac:dyDescent="0.25">
      <c r="A2108" s="184"/>
      <c r="B2108" s="26"/>
      <c r="C2108" s="185"/>
      <c r="D2108" s="186"/>
      <c r="E2108" s="187"/>
      <c r="F2108" s="188"/>
      <c r="H2108" s="155"/>
      <c r="I2108" s="155"/>
      <c r="J2108" s="155"/>
      <c r="K2108" s="155"/>
      <c r="L2108" s="155"/>
      <c r="M2108" s="155"/>
      <c r="N2108" s="155"/>
    </row>
    <row r="2109" spans="1:14" x14ac:dyDescent="0.25">
      <c r="A2109" s="184"/>
      <c r="B2109" s="26"/>
      <c r="C2109" s="185"/>
      <c r="D2109" s="186"/>
      <c r="E2109" s="187"/>
      <c r="F2109" s="188"/>
      <c r="H2109" s="155"/>
      <c r="I2109" s="155"/>
      <c r="J2109" s="155"/>
      <c r="K2109" s="155"/>
      <c r="L2109" s="155"/>
      <c r="M2109" s="155"/>
      <c r="N2109" s="155"/>
    </row>
    <row r="2110" spans="1:14" x14ac:dyDescent="0.25">
      <c r="A2110" s="184"/>
      <c r="B2110" s="26"/>
      <c r="C2110" s="185"/>
      <c r="D2110" s="186"/>
      <c r="E2110" s="187"/>
      <c r="F2110" s="188"/>
      <c r="H2110" s="155"/>
      <c r="I2110" s="155"/>
      <c r="J2110" s="155"/>
      <c r="K2110" s="155"/>
      <c r="L2110" s="155"/>
      <c r="M2110" s="155"/>
      <c r="N2110" s="155"/>
    </row>
  </sheetData>
  <sheetProtection algorithmName="SHA-512" hashValue="Bs5s2oRr92a1y83WNVfwVEKK6ofZjVIA6Ps9HzOBR1bYgHTZRlIwT7yF4FX8Q/XRoAJjD1JdGhKFTQllEpVJ6g==" saltValue="2cHASQ3y9ysDliG8W0mFDQ==" spinCount="100000" sheet="1" objects="1" scenarios="1"/>
  <mergeCells count="1">
    <mergeCell ref="A1:A2"/>
  </mergeCells>
  <phoneticPr fontId="12" type="noConversion"/>
  <conditionalFormatting sqref="D7:D11 D385 D428:F428 D599">
    <cfRule type="cellIs" dxfId="121" priority="419" stopIfTrue="1" operator="notEqual">
      <formula>0</formula>
    </cfRule>
  </conditionalFormatting>
  <conditionalFormatting sqref="D120:D384 F214:F328 D387:D425 D711:D840 F711:F840 F1963:F1984 F1989:F1992">
    <cfRule type="cellIs" dxfId="120" priority="273" stopIfTrue="1" operator="notEqual">
      <formula>0</formula>
    </cfRule>
  </conditionalFormatting>
  <conditionalFormatting sqref="D842:D861">
    <cfRule type="cellIs" dxfId="119" priority="256" stopIfTrue="1" operator="notEqual">
      <formula>0</formula>
    </cfRule>
  </conditionalFormatting>
  <conditionalFormatting sqref="D863:D1063">
    <cfRule type="cellIs" dxfId="118" priority="105" stopIfTrue="1" operator="notEqual">
      <formula>0</formula>
    </cfRule>
  </conditionalFormatting>
  <conditionalFormatting sqref="D1065:D1107">
    <cfRule type="cellIs" dxfId="117" priority="101" stopIfTrue="1" operator="notEqual">
      <formula>0</formula>
    </cfRule>
  </conditionalFormatting>
  <conditionalFormatting sqref="D1111:D1232">
    <cfRule type="cellIs" dxfId="116" priority="246" stopIfTrue="1" operator="notEqual">
      <formula>0</formula>
    </cfRule>
  </conditionalFormatting>
  <conditionalFormatting sqref="D1238:D1363">
    <cfRule type="cellIs" dxfId="115" priority="245" stopIfTrue="1" operator="notEqual">
      <formula>0</formula>
    </cfRule>
  </conditionalFormatting>
  <conditionalFormatting sqref="D1518:D1601">
    <cfRule type="cellIs" dxfId="114" priority="243" stopIfTrue="1" operator="notEqual">
      <formula>0</formula>
    </cfRule>
  </conditionalFormatting>
  <conditionalFormatting sqref="D1608:D1614 D1616:D1618 D1620:D1817">
    <cfRule type="cellIs" dxfId="113" priority="242" stopIfTrue="1" operator="notEqual">
      <formula>0</formula>
    </cfRule>
  </conditionalFormatting>
  <conditionalFormatting sqref="D1823:D1872">
    <cfRule type="cellIs" dxfId="112" priority="239" stopIfTrue="1" operator="notEqual">
      <formula>0</formula>
    </cfRule>
  </conditionalFormatting>
  <conditionalFormatting sqref="D1877:D1894">
    <cfRule type="cellIs" dxfId="111" priority="235" stopIfTrue="1" operator="notEqual">
      <formula>0</formula>
    </cfRule>
  </conditionalFormatting>
  <conditionalFormatting sqref="D1900:D1933">
    <cfRule type="cellIs" dxfId="110" priority="234" stopIfTrue="1" operator="notEqual">
      <formula>0</formula>
    </cfRule>
  </conditionalFormatting>
  <conditionalFormatting sqref="D1937:D1957">
    <cfRule type="cellIs" dxfId="109" priority="233" stopIfTrue="1" operator="notEqual">
      <formula>0</formula>
    </cfRule>
  </conditionalFormatting>
  <conditionalFormatting sqref="D1963:D1984">
    <cfRule type="cellIs" dxfId="108" priority="232" stopIfTrue="1" operator="notEqual">
      <formula>0</formula>
    </cfRule>
  </conditionalFormatting>
  <conditionalFormatting sqref="E8:E21 E599 E1963:E1984">
    <cfRule type="cellIs" dxfId="107" priority="200" stopIfTrue="1" operator="notEqual">
      <formula>0</formula>
    </cfRule>
  </conditionalFormatting>
  <conditionalFormatting sqref="E22 E25 E39 E44 E48">
    <cfRule type="cellIs" dxfId="106" priority="286" stopIfTrue="1" operator="notEqual">
      <formula>0</formula>
    </cfRule>
  </conditionalFormatting>
  <conditionalFormatting sqref="E23:E24">
    <cfRule type="cellIs" dxfId="105" priority="94" stopIfTrue="1" operator="notEqual">
      <formula>0</formula>
    </cfRule>
  </conditionalFormatting>
  <conditionalFormatting sqref="E26:E38">
    <cfRule type="cellIs" dxfId="104" priority="93" stopIfTrue="1" operator="notEqual">
      <formula>0</formula>
    </cfRule>
  </conditionalFormatting>
  <conditionalFormatting sqref="E40:E43">
    <cfRule type="cellIs" dxfId="103" priority="92" stopIfTrue="1" operator="notEqual">
      <formula>0</formula>
    </cfRule>
  </conditionalFormatting>
  <conditionalFormatting sqref="E45:E47">
    <cfRule type="cellIs" dxfId="102" priority="91" stopIfTrue="1" operator="notEqual">
      <formula>0</formula>
    </cfRule>
  </conditionalFormatting>
  <conditionalFormatting sqref="E49:E118">
    <cfRule type="cellIs" dxfId="101" priority="89" stopIfTrue="1" operator="notEqual">
      <formula>0</formula>
    </cfRule>
  </conditionalFormatting>
  <conditionalFormatting sqref="E121:E385 E387:E425">
    <cfRule type="cellIs" dxfId="100" priority="88" stopIfTrue="1" operator="notEqual">
      <formula>0</formula>
    </cfRule>
  </conditionalFormatting>
  <conditionalFormatting sqref="E431:E597">
    <cfRule type="cellIs" dxfId="99" priority="67" stopIfTrue="1" operator="notEqual">
      <formula>0</formula>
    </cfRule>
  </conditionalFormatting>
  <conditionalFormatting sqref="E602:E708">
    <cfRule type="cellIs" dxfId="98" priority="36" stopIfTrue="1" operator="notEqual">
      <formula>0</formula>
    </cfRule>
  </conditionalFormatting>
  <conditionalFormatting sqref="E711:E840">
    <cfRule type="cellIs" dxfId="97" priority="22" stopIfTrue="1" operator="notEqual">
      <formula>0</formula>
    </cfRule>
  </conditionalFormatting>
  <conditionalFormatting sqref="E842:E861">
    <cfRule type="cellIs" dxfId="96" priority="21" stopIfTrue="1" operator="notEqual">
      <formula>0</formula>
    </cfRule>
  </conditionalFormatting>
  <conditionalFormatting sqref="E863:E1063">
    <cfRule type="cellIs" dxfId="95" priority="20" stopIfTrue="1" operator="notEqual">
      <formula>0</formula>
    </cfRule>
  </conditionalFormatting>
  <conditionalFormatting sqref="E1065:E1104">
    <cfRule type="cellIs" dxfId="94" priority="19" stopIfTrue="1" operator="notEqual">
      <formula>0</formula>
    </cfRule>
  </conditionalFormatting>
  <conditionalFormatting sqref="E1106:E1107">
    <cfRule type="cellIs" dxfId="93" priority="171" stopIfTrue="1" operator="notEqual">
      <formula>0</formula>
    </cfRule>
  </conditionalFormatting>
  <conditionalFormatting sqref="E1111:E1232">
    <cfRule type="cellIs" dxfId="92" priority="18" stopIfTrue="1" operator="notEqual">
      <formula>0</formula>
    </cfRule>
  </conditionalFormatting>
  <conditionalFormatting sqref="E1238:E1376">
    <cfRule type="cellIs" dxfId="91" priority="15" stopIfTrue="1" operator="notEqual">
      <formula>0</formula>
    </cfRule>
  </conditionalFormatting>
  <conditionalFormatting sqref="E1382:E1512">
    <cfRule type="cellIs" dxfId="90" priority="14" stopIfTrue="1" operator="notEqual">
      <formula>0</formula>
    </cfRule>
  </conditionalFormatting>
  <conditionalFormatting sqref="E1518:E1601">
    <cfRule type="cellIs" dxfId="89" priority="13" stopIfTrue="1" operator="notEqual">
      <formula>0</formula>
    </cfRule>
  </conditionalFormatting>
  <conditionalFormatting sqref="E1608:E1817">
    <cfRule type="cellIs" dxfId="88" priority="12" stopIfTrue="1" operator="notEqual">
      <formula>0</formula>
    </cfRule>
  </conditionalFormatting>
  <conditionalFormatting sqref="E1822:E1872">
    <cfRule type="cellIs" dxfId="87" priority="9" stopIfTrue="1" operator="notEqual">
      <formula>0</formula>
    </cfRule>
  </conditionalFormatting>
  <conditionalFormatting sqref="E1877:E1894">
    <cfRule type="cellIs" dxfId="86" priority="8" stopIfTrue="1" operator="notEqual">
      <formula>0</formula>
    </cfRule>
  </conditionalFormatting>
  <conditionalFormatting sqref="E1900:E1935 E1937:E1957">
    <cfRule type="cellIs" dxfId="85" priority="7" stopIfTrue="1" operator="notEqual">
      <formula>0</formula>
    </cfRule>
  </conditionalFormatting>
  <conditionalFormatting sqref="E1989:E1992">
    <cfRule type="cellIs" dxfId="84" priority="1" stopIfTrue="1" operator="notEqual">
      <formula>0</formula>
    </cfRule>
  </conditionalFormatting>
  <conditionalFormatting sqref="F9:F111 D12:D111 D113:D118 F330:F384 D431:D597 F431:F597 D602:D708 F602:F708">
    <cfRule type="cellIs" dxfId="83" priority="103" stopIfTrue="1" operator="notEqual">
      <formula>0</formula>
    </cfRule>
  </conditionalFormatting>
  <conditionalFormatting sqref="F113:F118 G387:G388 F387:F425 D426:F426 D427:E427 D430:G430 F842:F861 F1111:F1232 D1365:D1376 D1382:D1512 F1382:F1512 F1518:F1601 F1608:F1817">
    <cfRule type="cellIs" dxfId="82" priority="420" stopIfTrue="1" operator="notEqual">
      <formula>0</formula>
    </cfRule>
  </conditionalFormatting>
  <conditionalFormatting sqref="F120:F212">
    <cfRule type="cellIs" dxfId="81" priority="120" stopIfTrue="1" operator="notEqual">
      <formula>0</formula>
    </cfRule>
  </conditionalFormatting>
  <conditionalFormatting sqref="F863:F1063">
    <cfRule type="cellIs" dxfId="80" priority="383" stopIfTrue="1" operator="notEqual">
      <formula>0</formula>
    </cfRule>
  </conditionalFormatting>
  <conditionalFormatting sqref="F1065:F1107">
    <cfRule type="cellIs" dxfId="79" priority="370" stopIfTrue="1" operator="notEqual">
      <formula>0</formula>
    </cfRule>
  </conditionalFormatting>
  <conditionalFormatting sqref="F1234">
    <cfRule type="cellIs" dxfId="78" priority="296" stopIfTrue="1" operator="notEqual">
      <formula>0</formula>
    </cfRule>
  </conditionalFormatting>
  <conditionalFormatting sqref="F1238:F1377">
    <cfRule type="cellIs" dxfId="77" priority="295" stopIfTrue="1" operator="notEqual">
      <formula>0</formula>
    </cfRule>
  </conditionalFormatting>
  <conditionalFormatting sqref="F1514">
    <cfRule type="cellIs" dxfId="76" priority="294" stopIfTrue="1" operator="notEqual">
      <formula>0</formula>
    </cfRule>
  </conditionalFormatting>
  <conditionalFormatting sqref="F1603">
    <cfRule type="cellIs" dxfId="75" priority="293" stopIfTrue="1" operator="notEqual">
      <formula>0</formula>
    </cfRule>
  </conditionalFormatting>
  <conditionalFormatting sqref="F1819">
    <cfRule type="cellIs" dxfId="74" priority="292" stopIfTrue="1" operator="notEqual">
      <formula>0</formula>
    </cfRule>
  </conditionalFormatting>
  <conditionalFormatting sqref="F1823:F1872">
    <cfRule type="cellIs" dxfId="73" priority="301" stopIfTrue="1" operator="notEqual">
      <formula>0</formula>
    </cfRule>
  </conditionalFormatting>
  <conditionalFormatting sqref="F1874">
    <cfRule type="cellIs" dxfId="72" priority="291" stopIfTrue="1" operator="notEqual">
      <formula>0</formula>
    </cfRule>
  </conditionalFormatting>
  <conditionalFormatting sqref="F1877:F1894">
    <cfRule type="cellIs" dxfId="71" priority="300" stopIfTrue="1" operator="notEqual">
      <formula>0</formula>
    </cfRule>
  </conditionalFormatting>
  <conditionalFormatting sqref="F1896">
    <cfRule type="cellIs" dxfId="70" priority="290" stopIfTrue="1" operator="notEqual">
      <formula>0</formula>
    </cfRule>
  </conditionalFormatting>
  <conditionalFormatting sqref="F1900:F1932">
    <cfRule type="cellIs" dxfId="69" priority="299" stopIfTrue="1" operator="notEqual">
      <formula>0</formula>
    </cfRule>
  </conditionalFormatting>
  <conditionalFormatting sqref="F1934">
    <cfRule type="cellIs" dxfId="68" priority="289" stopIfTrue="1" operator="notEqual">
      <formula>0</formula>
    </cfRule>
  </conditionalFormatting>
  <conditionalFormatting sqref="F1938:F1957">
    <cfRule type="cellIs" dxfId="67" priority="298" stopIfTrue="1" operator="notEqual">
      <formula>0</formula>
    </cfRule>
  </conditionalFormatting>
  <conditionalFormatting sqref="F1959">
    <cfRule type="cellIs" dxfId="66" priority="288" stopIfTrue="1" operator="notEqual">
      <formula>0</formula>
    </cfRule>
  </conditionalFormatting>
  <conditionalFormatting sqref="F1986">
    <cfRule type="cellIs" dxfId="65" priority="3" stopIfTrue="1" operator="notEqual">
      <formula>0</formula>
    </cfRule>
  </conditionalFormatting>
  <conditionalFormatting sqref="F1994">
    <cfRule type="cellIs" dxfId="64" priority="2" stopIfTrue="1" operator="notEqual">
      <formula>0</formula>
    </cfRule>
  </conditionalFormatting>
  <printOptions horizontalCentered="1" gridLines="1"/>
  <pageMargins left="0.23622047244094491" right="0.15748031496062992" top="0.36" bottom="0.34" header="0.31496062992125984" footer="0.31496062992125984"/>
  <pageSetup paperSize="9" scale="53" orientation="portrait" r:id="rId1"/>
  <headerFooter alignWithMargins="0">
    <oddFooter>&amp;R&amp;P/&amp;N</oddFooter>
  </headerFooter>
  <rowBreaks count="18" manualBreakCount="18">
    <brk id="118" max="7" man="1"/>
    <brk id="385" max="7" man="1"/>
    <brk id="428" max="16383" man="1"/>
    <brk id="600" max="16383" man="1"/>
    <brk id="709" max="16383" man="1"/>
    <brk id="839" max="16383" man="1"/>
    <brk id="860" max="16383" man="1"/>
    <brk id="1062" max="16383" man="1"/>
    <brk id="1106" max="16383" man="1"/>
    <brk id="1234" max="16383" man="1"/>
    <brk id="1377" max="16383" man="1"/>
    <brk id="1514" max="16383" man="1"/>
    <brk id="1604" max="7" man="1"/>
    <brk id="1819" max="16383" man="1"/>
    <brk id="1874" max="16383" man="1"/>
    <brk id="1896" max="16383" man="1"/>
    <brk id="1934" max="16383" man="1"/>
    <brk id="195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B101B-7713-49C1-9E1C-C19D61A35975}">
  <sheetPr>
    <tabColor indexed="11"/>
  </sheetPr>
  <dimension ref="A3:I22"/>
  <sheetViews>
    <sheetView view="pageBreakPreview" zoomScaleNormal="100" workbookViewId="0">
      <selection activeCell="F11" sqref="F11"/>
    </sheetView>
  </sheetViews>
  <sheetFormatPr baseColWidth="10" defaultColWidth="11.44140625" defaultRowHeight="13.2" x14ac:dyDescent="0.25"/>
  <cols>
    <col min="1" max="5" width="11.44140625" style="10"/>
    <col min="6" max="8" width="15.5546875" style="10" customWidth="1"/>
    <col min="9" max="16384" width="11.44140625" style="10"/>
  </cols>
  <sheetData>
    <row r="3" spans="1:9" x14ac:dyDescent="0.25">
      <c r="C3" s="291" t="s">
        <v>948</v>
      </c>
      <c r="D3" s="291"/>
      <c r="E3" s="291"/>
      <c r="F3" s="291"/>
      <c r="G3" s="291"/>
      <c r="H3" s="291"/>
    </row>
    <row r="5" spans="1:9" x14ac:dyDescent="0.25">
      <c r="A5" s="299" t="str">
        <f>Saisie!$B$2</f>
        <v>Accord cadre travaux d'infrastructure - Lot 1</v>
      </c>
      <c r="B5" s="299"/>
      <c r="C5" s="299"/>
      <c r="D5" s="299"/>
      <c r="E5" s="299"/>
      <c r="F5" s="299"/>
      <c r="G5" s="299"/>
      <c r="H5" s="299"/>
      <c r="I5" s="299"/>
    </row>
    <row r="8" spans="1:9" x14ac:dyDescent="0.25">
      <c r="B8" s="292" t="s">
        <v>971</v>
      </c>
      <c r="C8" s="293"/>
      <c r="D8" s="294">
        <f>Saisie!$C$3</f>
        <v>0</v>
      </c>
      <c r="E8" s="295"/>
      <c r="F8" s="295"/>
      <c r="G8" s="295"/>
      <c r="H8" s="293"/>
      <c r="I8" s="14"/>
    </row>
    <row r="10" spans="1:9" ht="30" customHeight="1" x14ac:dyDescent="0.25">
      <c r="F10" s="13" t="s">
        <v>4307</v>
      </c>
      <c r="G10" s="13" t="s">
        <v>4305</v>
      </c>
      <c r="H10" s="13" t="s">
        <v>4308</v>
      </c>
    </row>
    <row r="11" spans="1:9" s="11" customFormat="1" ht="18" customHeight="1" x14ac:dyDescent="0.25">
      <c r="B11" s="296" t="str">
        <f>'Etude de cas n°1'!$C$2</f>
        <v>Etude de cas n°1</v>
      </c>
      <c r="C11" s="297"/>
      <c r="D11" s="297"/>
      <c r="E11" s="298"/>
      <c r="F11" s="12">
        <f>'Etude de cas n°1'!F2019</f>
        <v>0</v>
      </c>
      <c r="G11" s="12">
        <f>'Etude de cas n°1'!F2020</f>
        <v>0</v>
      </c>
      <c r="H11" s="12">
        <f>'Etude de cas n°1'!F2021</f>
        <v>0</v>
      </c>
    </row>
    <row r="12" spans="1:9" x14ac:dyDescent="0.25">
      <c r="F12" s="90">
        <f>SUM(F11:F11)</f>
        <v>0</v>
      </c>
      <c r="G12" s="90">
        <f>SUM(G11:G11)</f>
        <v>0</v>
      </c>
      <c r="H12" s="90">
        <f>SUM(H11:H11)</f>
        <v>0</v>
      </c>
    </row>
    <row r="18" spans="6:6" x14ac:dyDescent="0.25">
      <c r="F18" s="114"/>
    </row>
    <row r="19" spans="6:6" x14ac:dyDescent="0.25">
      <c r="F19" s="114"/>
    </row>
    <row r="22" spans="6:6" x14ac:dyDescent="0.25">
      <c r="F22" s="114"/>
    </row>
  </sheetData>
  <sheetProtection algorithmName="SHA-512" hashValue="XSCBjZ5kUuwg3Gwvn8XZBStVV1ifS+8Seq7VB04Iloodb9nTdHAk41dQxwx8tVIcsqsVh/ifVHbD/Q8Z20rIpw==" saltValue="FP785MYPENBm79ZgkA/fKQ==" spinCount="100000" sheet="1" objects="1" scenarios="1"/>
  <mergeCells count="5">
    <mergeCell ref="C3:H3"/>
    <mergeCell ref="B8:C8"/>
    <mergeCell ref="D8:H8"/>
    <mergeCell ref="B11:E11"/>
    <mergeCell ref="A5:I5"/>
  </mergeCells>
  <phoneticPr fontId="12" type="noConversion"/>
  <pageMargins left="0.52" right="0.78740157499999996" top="0.984251969" bottom="0.984251969" header="0.4921259845" footer="0.4921259845"/>
  <pageSetup paperSize="9" scale="7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FF42C-76EC-45A3-A7B9-41840C6BC793}">
  <sheetPr codeName="Feuil4">
    <tabColor indexed="34"/>
  </sheetPr>
  <dimension ref="A1:J2108"/>
  <sheetViews>
    <sheetView view="pageBreakPreview" zoomScaleNormal="100" zoomScaleSheetLayoutView="100" workbookViewId="0">
      <pane xSplit="2" ySplit="6" topLeftCell="C105" activePane="bottomRight" state="frozen"/>
      <selection pane="topRight" activeCell="C1" sqref="C1"/>
      <selection pane="bottomLeft" activeCell="A7" sqref="A7"/>
      <selection pane="bottomRight" activeCell="H1994" sqref="H1994"/>
    </sheetView>
  </sheetViews>
  <sheetFormatPr baseColWidth="10" defaultColWidth="11.44140625" defaultRowHeight="12" x14ac:dyDescent="0.25"/>
  <cols>
    <col min="1" max="1" width="11.5546875" style="64" customWidth="1"/>
    <col min="2" max="2" width="71" style="26" customWidth="1"/>
    <col min="3" max="3" width="12.88671875" style="54" customWidth="1"/>
    <col min="4" max="4" width="10.5546875" style="65" customWidth="1"/>
    <col min="5" max="5" width="14.6640625" style="65" customWidth="1"/>
    <col min="6" max="6" width="17.44140625" style="66" customWidth="1"/>
    <col min="7" max="7" width="12.88671875" style="55" bestFit="1" customWidth="1"/>
    <col min="8" max="8" width="26.109375" style="55" customWidth="1"/>
    <col min="9" max="9" width="23.33203125" style="55" customWidth="1"/>
    <col min="10" max="16384" width="11.44140625" style="55"/>
  </cols>
  <sheetData>
    <row r="1" spans="1:9" s="15" customFormat="1" ht="20.100000000000001" customHeight="1" x14ac:dyDescent="0.25">
      <c r="A1" s="290"/>
      <c r="B1" s="116" t="s">
        <v>948</v>
      </c>
      <c r="C1" s="116"/>
      <c r="D1" s="116"/>
      <c r="E1" s="116"/>
      <c r="F1" s="208"/>
      <c r="G1" s="208"/>
      <c r="H1" s="208"/>
      <c r="I1" s="208"/>
    </row>
    <row r="2" spans="1:9" s="15" customFormat="1" ht="36.75" customHeight="1" x14ac:dyDescent="0.25">
      <c r="A2" s="290"/>
      <c r="B2" s="85" t="str">
        <f>Saisie!$B$2</f>
        <v>Accord cadre travaux d'infrastructure - Lot 1</v>
      </c>
      <c r="C2" s="89" t="s">
        <v>4398</v>
      </c>
      <c r="D2" s="89"/>
      <c r="E2" s="89"/>
      <c r="F2" s="89"/>
      <c r="G2" s="208"/>
      <c r="H2" s="208"/>
      <c r="I2" s="208"/>
    </row>
    <row r="3" spans="1:9" s="15" customFormat="1" ht="20.100000000000001" customHeight="1" x14ac:dyDescent="0.25">
      <c r="A3" s="212"/>
      <c r="B3" s="68" t="s">
        <v>4309</v>
      </c>
      <c r="C3" s="300">
        <f>Saisie!$C$3</f>
        <v>0</v>
      </c>
      <c r="D3" s="300"/>
      <c r="E3" s="300"/>
      <c r="F3" s="300"/>
      <c r="G3" s="208"/>
      <c r="H3" s="208"/>
      <c r="I3" s="208"/>
    </row>
    <row r="4" spans="1:9" s="15" customFormat="1" ht="20.100000000000001" customHeight="1" x14ac:dyDescent="0.25">
      <c r="A4" s="213"/>
      <c r="B4" s="301" t="s">
        <v>972</v>
      </c>
      <c r="C4" s="301"/>
      <c r="D4" s="301"/>
      <c r="E4" s="301"/>
      <c r="F4" s="301"/>
      <c r="G4" s="208"/>
      <c r="H4" s="208"/>
      <c r="I4" s="208"/>
    </row>
    <row r="5" spans="1:9" s="15" customFormat="1" ht="6" customHeight="1" x14ac:dyDescent="0.25">
      <c r="A5" s="214"/>
      <c r="B5" s="69"/>
      <c r="C5" s="70"/>
      <c r="D5" s="71"/>
      <c r="E5" s="71"/>
      <c r="F5" s="72"/>
      <c r="G5" s="208"/>
      <c r="H5" s="208"/>
      <c r="I5" s="208"/>
    </row>
    <row r="6" spans="1:9" ht="13.8" x14ac:dyDescent="0.25">
      <c r="A6" s="145" t="s">
        <v>0</v>
      </c>
      <c r="B6" s="48" t="s">
        <v>974</v>
      </c>
      <c r="C6" s="49" t="s">
        <v>975</v>
      </c>
      <c r="D6" s="49" t="s">
        <v>977</v>
      </c>
      <c r="E6" s="117" t="s">
        <v>976</v>
      </c>
      <c r="F6" s="50" t="s">
        <v>978</v>
      </c>
    </row>
    <row r="7" spans="1:9" s="8" customFormat="1" ht="13.2" x14ac:dyDescent="0.25">
      <c r="A7" s="29" t="s">
        <v>979</v>
      </c>
      <c r="B7" s="30" t="s">
        <v>980</v>
      </c>
      <c r="C7" s="31"/>
      <c r="D7" s="56"/>
      <c r="E7" s="118"/>
      <c r="F7" s="57"/>
    </row>
    <row r="8" spans="1:9" s="8" customFormat="1" ht="26.4" x14ac:dyDescent="0.25">
      <c r="A8" s="27" t="s">
        <v>981</v>
      </c>
      <c r="B8" s="6" t="s">
        <v>982</v>
      </c>
      <c r="C8" s="215"/>
      <c r="D8" s="44"/>
      <c r="E8" s="119"/>
      <c r="F8" s="51"/>
      <c r="G8" s="115"/>
    </row>
    <row r="9" spans="1:9" s="16" customFormat="1" ht="13.2" x14ac:dyDescent="0.25">
      <c r="A9" s="202" t="s">
        <v>4</v>
      </c>
      <c r="B9" s="216" t="s">
        <v>983</v>
      </c>
      <c r="C9" s="217" t="s">
        <v>984</v>
      </c>
      <c r="D9" s="165">
        <f>Saisie!G9</f>
        <v>0</v>
      </c>
      <c r="E9" s="121">
        <f>Saisie!D9</f>
        <v>0</v>
      </c>
      <c r="F9" s="51">
        <f>E9*D9</f>
        <v>0</v>
      </c>
      <c r="G9" s="221"/>
      <c r="H9" s="221"/>
      <c r="I9" s="221"/>
    </row>
    <row r="10" spans="1:9" s="16" customFormat="1" ht="13.2" x14ac:dyDescent="0.25">
      <c r="A10" s="202" t="s">
        <v>5</v>
      </c>
      <c r="B10" s="216" t="s">
        <v>985</v>
      </c>
      <c r="C10" s="217" t="s">
        <v>984</v>
      </c>
      <c r="D10" s="165">
        <f>Saisie!G10</f>
        <v>0</v>
      </c>
      <c r="E10" s="121">
        <f>Saisie!D10</f>
        <v>0</v>
      </c>
      <c r="F10" s="51">
        <f>E10*D10</f>
        <v>0</v>
      </c>
      <c r="G10" s="221"/>
      <c r="H10" s="208"/>
      <c r="I10" s="208"/>
    </row>
    <row r="11" spans="1:9" s="58" customFormat="1" ht="13.2" x14ac:dyDescent="0.25">
      <c r="A11" s="202" t="s">
        <v>986</v>
      </c>
      <c r="B11" s="216" t="s">
        <v>987</v>
      </c>
      <c r="C11" s="217" t="s">
        <v>984</v>
      </c>
      <c r="D11" s="165">
        <f>Saisie!G11</f>
        <v>0</v>
      </c>
      <c r="E11" s="121">
        <f>Saisie!D11</f>
        <v>0</v>
      </c>
      <c r="F11" s="51">
        <f t="shared" ref="F11:F20" si="0">E11*D11</f>
        <v>0</v>
      </c>
      <c r="G11" s="45"/>
      <c r="H11" s="55"/>
      <c r="I11" s="55"/>
    </row>
    <row r="12" spans="1:9" s="58" customFormat="1" ht="13.2" x14ac:dyDescent="0.25">
      <c r="A12" s="202" t="s">
        <v>988</v>
      </c>
      <c r="B12" s="216" t="s">
        <v>1019</v>
      </c>
      <c r="C12" s="217" t="s">
        <v>984</v>
      </c>
      <c r="D12" s="165">
        <f>Saisie!G12</f>
        <v>0</v>
      </c>
      <c r="E12" s="121">
        <f>Saisie!D12</f>
        <v>0</v>
      </c>
      <c r="F12" s="51">
        <f t="shared" si="0"/>
        <v>0</v>
      </c>
      <c r="G12" s="45"/>
      <c r="H12" s="8"/>
      <c r="I12" s="8"/>
    </row>
    <row r="13" spans="1:9" s="58" customFormat="1" ht="13.2" x14ac:dyDescent="0.25">
      <c r="A13" s="202" t="s">
        <v>990</v>
      </c>
      <c r="B13" s="216" t="s">
        <v>991</v>
      </c>
      <c r="C13" s="217" t="s">
        <v>984</v>
      </c>
      <c r="D13" s="165">
        <f>Saisie!G13</f>
        <v>0</v>
      </c>
      <c r="E13" s="121">
        <f>Saisie!D13</f>
        <v>0</v>
      </c>
      <c r="F13" s="51">
        <f t="shared" si="0"/>
        <v>0</v>
      </c>
      <c r="G13" s="45"/>
      <c r="H13" s="8"/>
      <c r="I13" s="8"/>
    </row>
    <row r="14" spans="1:9" s="58" customFormat="1" ht="13.2" x14ac:dyDescent="0.25">
      <c r="A14" s="202" t="s">
        <v>992</v>
      </c>
      <c r="B14" s="216" t="s">
        <v>993</v>
      </c>
      <c r="C14" s="217" t="s">
        <v>984</v>
      </c>
      <c r="D14" s="165">
        <f>Saisie!G14</f>
        <v>0</v>
      </c>
      <c r="E14" s="121">
        <f>Saisie!D14</f>
        <v>0</v>
      </c>
      <c r="F14" s="51">
        <f t="shared" si="0"/>
        <v>0</v>
      </c>
      <c r="G14" s="45"/>
      <c r="H14" s="221"/>
      <c r="I14" s="221"/>
    </row>
    <row r="15" spans="1:9" s="2" customFormat="1" ht="13.2" x14ac:dyDescent="0.25">
      <c r="A15" s="202" t="s">
        <v>994</v>
      </c>
      <c r="B15" s="216" t="s">
        <v>995</v>
      </c>
      <c r="C15" s="217" t="s">
        <v>984</v>
      </c>
      <c r="D15" s="165">
        <f>Saisie!G15</f>
        <v>0</v>
      </c>
      <c r="E15" s="121">
        <f>Saisie!D15</f>
        <v>0</v>
      </c>
      <c r="F15" s="51">
        <f t="shared" si="0"/>
        <v>0</v>
      </c>
      <c r="G15" s="45"/>
      <c r="H15" s="221"/>
      <c r="I15" s="221"/>
    </row>
    <row r="16" spans="1:9" s="2" customFormat="1" ht="13.2" x14ac:dyDescent="0.25">
      <c r="A16" s="202" t="s">
        <v>996</v>
      </c>
      <c r="B16" s="216" t="s">
        <v>997</v>
      </c>
      <c r="C16" s="217" t="s">
        <v>984</v>
      </c>
      <c r="D16" s="165">
        <f>Saisie!G16</f>
        <v>0</v>
      </c>
      <c r="E16" s="121">
        <f>Saisie!D16</f>
        <v>0</v>
      </c>
      <c r="F16" s="51">
        <f t="shared" si="0"/>
        <v>0</v>
      </c>
      <c r="G16" s="45"/>
      <c r="H16" s="58"/>
      <c r="I16" s="58"/>
    </row>
    <row r="17" spans="1:10" s="2" customFormat="1" ht="13.2" x14ac:dyDescent="0.25">
      <c r="A17" s="202" t="s">
        <v>998</v>
      </c>
      <c r="B17" s="216" t="s">
        <v>999</v>
      </c>
      <c r="C17" s="217" t="s">
        <v>984</v>
      </c>
      <c r="D17" s="165">
        <f>Saisie!G17</f>
        <v>0</v>
      </c>
      <c r="E17" s="121">
        <f>Saisie!D17</f>
        <v>0</v>
      </c>
      <c r="F17" s="51">
        <f t="shared" si="0"/>
        <v>0</v>
      </c>
      <c r="G17" s="45"/>
      <c r="H17" s="58"/>
      <c r="I17" s="58"/>
    </row>
    <row r="18" spans="1:10" s="2" customFormat="1" ht="13.2" x14ac:dyDescent="0.25">
      <c r="A18" s="202" t="s">
        <v>1000</v>
      </c>
      <c r="B18" s="216" t="s">
        <v>1001</v>
      </c>
      <c r="C18" s="217" t="s">
        <v>984</v>
      </c>
      <c r="D18" s="165">
        <f>Saisie!G18</f>
        <v>0</v>
      </c>
      <c r="E18" s="121">
        <f>Saisie!D18</f>
        <v>0</v>
      </c>
      <c r="F18" s="51">
        <f t="shared" si="0"/>
        <v>0</v>
      </c>
      <c r="G18" s="45"/>
      <c r="H18" s="58"/>
      <c r="I18" s="58"/>
      <c r="J18" s="43"/>
    </row>
    <row r="19" spans="1:10" s="2" customFormat="1" ht="13.2" x14ac:dyDescent="0.25">
      <c r="A19" s="202" t="s">
        <v>1002</v>
      </c>
      <c r="B19" s="216" t="s">
        <v>1003</v>
      </c>
      <c r="C19" s="217" t="s">
        <v>984</v>
      </c>
      <c r="D19" s="165">
        <f>Saisie!G19</f>
        <v>0</v>
      </c>
      <c r="E19" s="121">
        <f>Saisie!D19</f>
        <v>0</v>
      </c>
      <c r="F19" s="51">
        <f t="shared" si="0"/>
        <v>0</v>
      </c>
      <c r="G19" s="45"/>
      <c r="H19" s="58"/>
      <c r="I19" s="58"/>
      <c r="J19" s="43"/>
    </row>
    <row r="20" spans="1:10" s="2" customFormat="1" ht="13.2" x14ac:dyDescent="0.25">
      <c r="A20" s="202" t="s">
        <v>1004</v>
      </c>
      <c r="B20" s="216" t="s">
        <v>4316</v>
      </c>
      <c r="C20" s="217" t="s">
        <v>984</v>
      </c>
      <c r="D20" s="165">
        <f>Saisie!G20</f>
        <v>0</v>
      </c>
      <c r="E20" s="121">
        <f>Saisie!D20</f>
        <v>0</v>
      </c>
      <c r="F20" s="51">
        <f t="shared" si="0"/>
        <v>0</v>
      </c>
      <c r="G20" s="45"/>
      <c r="H20" s="58"/>
      <c r="I20" s="58"/>
      <c r="J20" s="43"/>
    </row>
    <row r="21" spans="1:10" s="2" customFormat="1" ht="13.2" x14ac:dyDescent="0.25">
      <c r="A21" s="202" t="s">
        <v>1006</v>
      </c>
      <c r="B21" s="216" t="s">
        <v>1007</v>
      </c>
      <c r="C21" s="217" t="s">
        <v>984</v>
      </c>
      <c r="D21" s="165">
        <f>Saisie!G21</f>
        <v>0</v>
      </c>
      <c r="E21" s="121">
        <f>Saisie!D21</f>
        <v>0</v>
      </c>
      <c r="F21" s="51">
        <f t="shared" ref="F21" si="1">E21*D21</f>
        <v>0</v>
      </c>
      <c r="G21" s="45"/>
      <c r="H21" s="58"/>
      <c r="I21" s="58"/>
      <c r="J21" s="43"/>
    </row>
    <row r="22" spans="1:10" s="43" customFormat="1" ht="13.2" x14ac:dyDescent="0.25">
      <c r="A22" s="27" t="s">
        <v>6</v>
      </c>
      <c r="B22" s="6" t="s">
        <v>1008</v>
      </c>
      <c r="C22" s="215"/>
      <c r="D22" s="45"/>
      <c r="E22" s="121"/>
      <c r="F22" s="51"/>
      <c r="G22" s="45"/>
      <c r="H22" s="58"/>
      <c r="I22" s="58"/>
    </row>
    <row r="23" spans="1:10" s="43" customFormat="1" ht="13.2" x14ac:dyDescent="0.25">
      <c r="A23" s="202" t="s">
        <v>1009</v>
      </c>
      <c r="B23" s="216" t="s">
        <v>1010</v>
      </c>
      <c r="C23" s="219" t="s">
        <v>1011</v>
      </c>
      <c r="D23" s="53">
        <v>0</v>
      </c>
      <c r="E23" s="121">
        <f>Saisie!D23</f>
        <v>0</v>
      </c>
      <c r="F23" s="51">
        <f>D23*E23</f>
        <v>0</v>
      </c>
      <c r="G23" s="52"/>
      <c r="H23" s="2"/>
      <c r="I23" s="2"/>
    </row>
    <row r="24" spans="1:10" s="43" customFormat="1" ht="13.2" x14ac:dyDescent="0.25">
      <c r="A24" s="202" t="s">
        <v>1012</v>
      </c>
      <c r="B24" s="216" t="s">
        <v>1013</v>
      </c>
      <c r="C24" s="219" t="s">
        <v>1011</v>
      </c>
      <c r="D24" s="53">
        <v>2</v>
      </c>
      <c r="E24" s="121">
        <f>Saisie!D24</f>
        <v>0</v>
      </c>
      <c r="F24" s="51">
        <f>D24*E24</f>
        <v>0</v>
      </c>
      <c r="G24" s="52"/>
      <c r="H24" s="2"/>
      <c r="I24" s="2"/>
    </row>
    <row r="25" spans="1:10" s="8" customFormat="1" ht="13.2" x14ac:dyDescent="0.25">
      <c r="A25" s="27" t="s">
        <v>1014</v>
      </c>
      <c r="B25" s="6" t="s">
        <v>1015</v>
      </c>
      <c r="C25" s="215"/>
      <c r="D25" s="45"/>
      <c r="E25" s="121"/>
      <c r="F25" s="51"/>
      <c r="G25" s="45"/>
      <c r="H25" s="2"/>
      <c r="I25" s="2"/>
    </row>
    <row r="26" spans="1:10" s="58" customFormat="1" ht="13.2" x14ac:dyDescent="0.25">
      <c r="A26" s="202" t="s">
        <v>1016</v>
      </c>
      <c r="B26" s="216" t="s">
        <v>983</v>
      </c>
      <c r="C26" s="217" t="s">
        <v>984</v>
      </c>
      <c r="D26" s="165">
        <f>Saisie!G26</f>
        <v>0</v>
      </c>
      <c r="E26" s="121">
        <f>Saisie!D26</f>
        <v>0</v>
      </c>
      <c r="F26" s="51">
        <f t="shared" ref="F26:F35" si="2">E26*D26</f>
        <v>0</v>
      </c>
      <c r="G26" s="45"/>
      <c r="H26" s="2"/>
      <c r="I26" s="2"/>
    </row>
    <row r="27" spans="1:10" s="16" customFormat="1" ht="13.2" x14ac:dyDescent="0.25">
      <c r="A27" s="202" t="s">
        <v>1017</v>
      </c>
      <c r="B27" s="216" t="s">
        <v>985</v>
      </c>
      <c r="C27" s="217" t="s">
        <v>984</v>
      </c>
      <c r="D27" s="165">
        <f>Saisie!G27</f>
        <v>0</v>
      </c>
      <c r="E27" s="121">
        <f>Saisie!D27</f>
        <v>0</v>
      </c>
      <c r="F27" s="51">
        <f t="shared" si="2"/>
        <v>0</v>
      </c>
      <c r="G27" s="221"/>
      <c r="H27" s="43"/>
      <c r="I27" s="43"/>
      <c r="J27" s="221"/>
    </row>
    <row r="28" spans="1:10" s="16" customFormat="1" ht="13.2" x14ac:dyDescent="0.25">
      <c r="A28" s="202" t="s">
        <v>1018</v>
      </c>
      <c r="B28" s="216" t="s">
        <v>987</v>
      </c>
      <c r="C28" s="217" t="s">
        <v>984</v>
      </c>
      <c r="D28" s="165">
        <f>Saisie!G28</f>
        <v>0</v>
      </c>
      <c r="E28" s="121">
        <f>Saisie!D28</f>
        <v>0</v>
      </c>
      <c r="F28" s="51">
        <f t="shared" si="2"/>
        <v>0</v>
      </c>
      <c r="G28" s="221"/>
      <c r="H28" s="43"/>
      <c r="I28" s="43"/>
      <c r="J28" s="221"/>
    </row>
    <row r="29" spans="1:10" s="58" customFormat="1" ht="13.2" x14ac:dyDescent="0.25">
      <c r="A29" s="202" t="s">
        <v>23</v>
      </c>
      <c r="B29" s="216" t="s">
        <v>1019</v>
      </c>
      <c r="C29" s="217" t="s">
        <v>984</v>
      </c>
      <c r="D29" s="165">
        <f>Saisie!G29</f>
        <v>0</v>
      </c>
      <c r="E29" s="121">
        <f>Saisie!D29</f>
        <v>0</v>
      </c>
      <c r="F29" s="51">
        <f t="shared" si="2"/>
        <v>0</v>
      </c>
      <c r="G29" s="45"/>
      <c r="H29" s="43"/>
      <c r="I29" s="43"/>
    </row>
    <row r="30" spans="1:10" s="58" customFormat="1" ht="13.2" x14ac:dyDescent="0.25">
      <c r="A30" s="202" t="s">
        <v>24</v>
      </c>
      <c r="B30" s="216" t="s">
        <v>991</v>
      </c>
      <c r="C30" s="217" t="s">
        <v>984</v>
      </c>
      <c r="D30" s="165">
        <f>Saisie!G30</f>
        <v>0</v>
      </c>
      <c r="E30" s="121">
        <f>Saisie!D30</f>
        <v>0</v>
      </c>
      <c r="F30" s="51">
        <f t="shared" si="2"/>
        <v>0</v>
      </c>
      <c r="G30" s="45"/>
      <c r="H30" s="8"/>
      <c r="I30" s="8"/>
    </row>
    <row r="31" spans="1:10" s="58" customFormat="1" ht="13.2" x14ac:dyDescent="0.25">
      <c r="A31" s="202" t="s">
        <v>25</v>
      </c>
      <c r="B31" s="216" t="s">
        <v>993</v>
      </c>
      <c r="C31" s="217" t="s">
        <v>984</v>
      </c>
      <c r="D31" s="165">
        <f>Saisie!G31</f>
        <v>0</v>
      </c>
      <c r="E31" s="121">
        <f>Saisie!D31</f>
        <v>0</v>
      </c>
      <c r="F31" s="51">
        <f t="shared" si="2"/>
        <v>0</v>
      </c>
      <c r="G31" s="45"/>
    </row>
    <row r="32" spans="1:10" s="58" customFormat="1" ht="13.2" x14ac:dyDescent="0.25">
      <c r="A32" s="202" t="s">
        <v>26</v>
      </c>
      <c r="B32" s="216" t="s">
        <v>995</v>
      </c>
      <c r="C32" s="217" t="s">
        <v>984</v>
      </c>
      <c r="D32" s="165">
        <f>Saisie!G32</f>
        <v>0</v>
      </c>
      <c r="E32" s="121">
        <f>Saisie!D32</f>
        <v>0</v>
      </c>
      <c r="F32" s="51">
        <f t="shared" si="2"/>
        <v>0</v>
      </c>
      <c r="G32" s="45"/>
      <c r="H32" s="221"/>
      <c r="I32" s="221"/>
    </row>
    <row r="33" spans="1:9" s="2" customFormat="1" ht="13.2" x14ac:dyDescent="0.25">
      <c r="A33" s="202" t="s">
        <v>27</v>
      </c>
      <c r="B33" s="216" t="s">
        <v>997</v>
      </c>
      <c r="C33" s="217" t="s">
        <v>984</v>
      </c>
      <c r="D33" s="165">
        <f>Saisie!G33</f>
        <v>0</v>
      </c>
      <c r="E33" s="121">
        <f>Saisie!D33</f>
        <v>0</v>
      </c>
      <c r="F33" s="51">
        <f t="shared" si="2"/>
        <v>0</v>
      </c>
      <c r="G33" s="45"/>
      <c r="H33" s="221"/>
      <c r="I33" s="221"/>
    </row>
    <row r="34" spans="1:9" s="2" customFormat="1" ht="13.2" x14ac:dyDescent="0.25">
      <c r="A34" s="202" t="s">
        <v>28</v>
      </c>
      <c r="B34" s="216" t="s">
        <v>999</v>
      </c>
      <c r="C34" s="217" t="s">
        <v>984</v>
      </c>
      <c r="D34" s="165">
        <f>Saisie!G34</f>
        <v>0</v>
      </c>
      <c r="E34" s="121">
        <f>Saisie!D34</f>
        <v>0</v>
      </c>
      <c r="F34" s="51">
        <f t="shared" si="2"/>
        <v>0</v>
      </c>
      <c r="G34" s="45"/>
      <c r="H34" s="58"/>
      <c r="I34" s="58"/>
    </row>
    <row r="35" spans="1:9" s="2" customFormat="1" ht="13.2" x14ac:dyDescent="0.25">
      <c r="A35" s="202" t="s">
        <v>29</v>
      </c>
      <c r="B35" s="216" t="s">
        <v>1001</v>
      </c>
      <c r="C35" s="217" t="s">
        <v>984</v>
      </c>
      <c r="D35" s="165">
        <f>Saisie!G35</f>
        <v>0</v>
      </c>
      <c r="E35" s="121">
        <f>Saisie!D35</f>
        <v>0</v>
      </c>
      <c r="F35" s="51">
        <f t="shared" si="2"/>
        <v>0</v>
      </c>
      <c r="G35" s="45"/>
      <c r="H35" s="58"/>
      <c r="I35" s="58"/>
    </row>
    <row r="36" spans="1:9" s="2" customFormat="1" ht="13.2" x14ac:dyDescent="0.25">
      <c r="A36" s="202" t="s">
        <v>30</v>
      </c>
      <c r="B36" s="216" t="s">
        <v>1003</v>
      </c>
      <c r="C36" s="217" t="s">
        <v>984</v>
      </c>
      <c r="D36" s="165">
        <f>Saisie!G36</f>
        <v>0</v>
      </c>
      <c r="E36" s="121">
        <f>Saisie!D36</f>
        <v>0</v>
      </c>
      <c r="F36" s="51">
        <f t="shared" ref="F36:F37" si="3">E36*D36</f>
        <v>0</v>
      </c>
      <c r="G36" s="45"/>
      <c r="H36" s="58"/>
      <c r="I36" s="58"/>
    </row>
    <row r="37" spans="1:9" s="2" customFormat="1" ht="13.2" x14ac:dyDescent="0.25">
      <c r="A37" s="202" t="s">
        <v>1020</v>
      </c>
      <c r="B37" s="240" t="s">
        <v>4310</v>
      </c>
      <c r="C37" s="217" t="s">
        <v>984</v>
      </c>
      <c r="D37" s="165">
        <f>Saisie!G37</f>
        <v>0</v>
      </c>
      <c r="E37" s="121">
        <f>Saisie!D38</f>
        <v>0</v>
      </c>
      <c r="F37" s="51">
        <f t="shared" si="3"/>
        <v>0</v>
      </c>
      <c r="G37" s="45"/>
      <c r="H37" s="58"/>
      <c r="I37" s="58"/>
    </row>
    <row r="38" spans="1:9" s="2" customFormat="1" ht="13.2" x14ac:dyDescent="0.25">
      <c r="A38" s="202" t="s">
        <v>1021</v>
      </c>
      <c r="B38" s="216" t="s">
        <v>1007</v>
      </c>
      <c r="C38" s="217" t="s">
        <v>984</v>
      </c>
      <c r="D38" s="165">
        <f>Saisie!G38</f>
        <v>0</v>
      </c>
      <c r="E38" s="121">
        <f>Saisie!D38</f>
        <v>0</v>
      </c>
      <c r="F38" s="51">
        <f t="shared" ref="F38" si="4">E38*D38</f>
        <v>0</v>
      </c>
      <c r="G38" s="45"/>
      <c r="H38" s="58"/>
      <c r="I38" s="58"/>
    </row>
    <row r="39" spans="1:9" s="2" customFormat="1" ht="13.2" x14ac:dyDescent="0.25">
      <c r="A39" s="27" t="s">
        <v>1023</v>
      </c>
      <c r="B39" s="6" t="s">
        <v>1024</v>
      </c>
      <c r="C39" s="217"/>
      <c r="D39" s="45"/>
      <c r="E39" s="121"/>
      <c r="F39" s="51"/>
      <c r="G39" s="45"/>
      <c r="H39" s="58"/>
      <c r="I39" s="58"/>
    </row>
    <row r="40" spans="1:9" s="43" customFormat="1" ht="13.2" x14ac:dyDescent="0.25">
      <c r="A40" s="202" t="s">
        <v>31</v>
      </c>
      <c r="B40" s="216" t="s">
        <v>1025</v>
      </c>
      <c r="C40" s="217" t="s">
        <v>1026</v>
      </c>
      <c r="D40" s="53">
        <v>0</v>
      </c>
      <c r="E40" s="121">
        <f>Saisie!D40</f>
        <v>0</v>
      </c>
      <c r="F40" s="51">
        <f>E40*D40</f>
        <v>0</v>
      </c>
      <c r="G40" s="52"/>
      <c r="H40" s="58"/>
      <c r="I40" s="58"/>
    </row>
    <row r="41" spans="1:9" s="8" customFormat="1" ht="13.2" x14ac:dyDescent="0.25">
      <c r="A41" s="202" t="s">
        <v>32</v>
      </c>
      <c r="B41" s="216" t="s">
        <v>1027</v>
      </c>
      <c r="C41" s="217" t="s">
        <v>1026</v>
      </c>
      <c r="D41" s="53">
        <v>40</v>
      </c>
      <c r="E41" s="121">
        <f>Saisie!D41</f>
        <v>0</v>
      </c>
      <c r="F41" s="51">
        <f>E41*D41</f>
        <v>0</v>
      </c>
      <c r="G41" s="52"/>
      <c r="H41" s="2"/>
      <c r="I41" s="2"/>
    </row>
    <row r="42" spans="1:9" s="43" customFormat="1" ht="13.2" x14ac:dyDescent="0.25">
      <c r="A42" s="202" t="s">
        <v>33</v>
      </c>
      <c r="B42" s="216" t="s">
        <v>1028</v>
      </c>
      <c r="C42" s="217" t="s">
        <v>1026</v>
      </c>
      <c r="D42" s="53">
        <v>0</v>
      </c>
      <c r="E42" s="121">
        <f>Saisie!D42</f>
        <v>0</v>
      </c>
      <c r="F42" s="51">
        <f>E42*D42</f>
        <v>0</v>
      </c>
      <c r="G42" s="52"/>
      <c r="H42" s="2"/>
      <c r="I42" s="2"/>
    </row>
    <row r="43" spans="1:9" s="43" customFormat="1" ht="13.2" x14ac:dyDescent="0.25">
      <c r="A43" s="202" t="s">
        <v>1029</v>
      </c>
      <c r="B43" s="216" t="s">
        <v>1030</v>
      </c>
      <c r="C43" s="217" t="s">
        <v>1026</v>
      </c>
      <c r="D43" s="53">
        <v>0</v>
      </c>
      <c r="E43" s="121">
        <f>Saisie!D43</f>
        <v>0</v>
      </c>
      <c r="F43" s="51">
        <f>E43*D43</f>
        <v>0</v>
      </c>
      <c r="G43" s="52"/>
      <c r="H43" s="2"/>
      <c r="I43" s="2"/>
    </row>
    <row r="44" spans="1:9" s="43" customFormat="1" ht="26.4" x14ac:dyDescent="0.25">
      <c r="A44" s="27" t="s">
        <v>34</v>
      </c>
      <c r="B44" s="6" t="s">
        <v>1031</v>
      </c>
      <c r="C44" s="217"/>
      <c r="D44" s="45"/>
      <c r="E44" s="121"/>
      <c r="F44" s="51"/>
      <c r="G44" s="52"/>
      <c r="H44" s="2"/>
      <c r="I44" s="2"/>
    </row>
    <row r="45" spans="1:9" s="43" customFormat="1" ht="13.2" x14ac:dyDescent="0.25">
      <c r="A45" s="202" t="s">
        <v>1032</v>
      </c>
      <c r="B45" s="223" t="s">
        <v>1033</v>
      </c>
      <c r="C45" s="217" t="s">
        <v>1034</v>
      </c>
      <c r="D45" s="53">
        <v>0</v>
      </c>
      <c r="E45" s="121">
        <f>Saisie!D45</f>
        <v>0</v>
      </c>
      <c r="F45" s="51">
        <f>E45*D45</f>
        <v>0</v>
      </c>
      <c r="G45" s="52"/>
    </row>
    <row r="46" spans="1:9" s="43" customFormat="1" ht="13.2" x14ac:dyDescent="0.25">
      <c r="A46" s="202" t="s">
        <v>1035</v>
      </c>
      <c r="B46" s="223" t="s">
        <v>1036</v>
      </c>
      <c r="C46" s="217" t="s">
        <v>1037</v>
      </c>
      <c r="D46" s="53">
        <v>0</v>
      </c>
      <c r="E46" s="121">
        <f>Saisie!D46</f>
        <v>0</v>
      </c>
      <c r="F46" s="51">
        <f>E46*D46</f>
        <v>0</v>
      </c>
      <c r="G46" s="52"/>
    </row>
    <row r="47" spans="1:9" s="43" customFormat="1" ht="13.2" x14ac:dyDescent="0.25">
      <c r="A47" s="202" t="s">
        <v>1038</v>
      </c>
      <c r="B47" s="223" t="s">
        <v>1039</v>
      </c>
      <c r="C47" s="217" t="s">
        <v>1034</v>
      </c>
      <c r="D47" s="53">
        <v>0</v>
      </c>
      <c r="E47" s="121">
        <f>Saisie!D47</f>
        <v>0</v>
      </c>
      <c r="F47" s="51">
        <f>E47*D47</f>
        <v>0</v>
      </c>
      <c r="G47" s="52"/>
    </row>
    <row r="48" spans="1:9" s="43" customFormat="1" ht="28.5" customHeight="1" x14ac:dyDescent="0.25">
      <c r="A48" s="27" t="s">
        <v>35</v>
      </c>
      <c r="B48" s="6" t="s">
        <v>1040</v>
      </c>
      <c r="C48" s="217"/>
      <c r="D48" s="45"/>
      <c r="E48" s="121"/>
      <c r="F48" s="51"/>
      <c r="G48" s="52"/>
    </row>
    <row r="49" spans="1:7" s="43" customFormat="1" ht="14.25" customHeight="1" x14ac:dyDescent="0.25">
      <c r="A49" s="202" t="s">
        <v>1041</v>
      </c>
      <c r="B49" s="223" t="s">
        <v>4317</v>
      </c>
      <c r="C49" s="217" t="s">
        <v>1034</v>
      </c>
      <c r="D49" s="53">
        <v>0</v>
      </c>
      <c r="E49" s="121">
        <f>Saisie!D49</f>
        <v>0</v>
      </c>
      <c r="F49" s="51">
        <f>E49*D49</f>
        <v>0</v>
      </c>
      <c r="G49" s="52"/>
    </row>
    <row r="50" spans="1:7" s="43" customFormat="1" ht="14.25" customHeight="1" x14ac:dyDescent="0.25">
      <c r="A50" s="202" t="s">
        <v>1043</v>
      </c>
      <c r="B50" s="223" t="s">
        <v>1044</v>
      </c>
      <c r="C50" s="217" t="s">
        <v>1037</v>
      </c>
      <c r="D50" s="53">
        <v>0</v>
      </c>
      <c r="E50" s="121">
        <f>Saisie!D50</f>
        <v>0</v>
      </c>
      <c r="F50" s="51">
        <f>E50*D50</f>
        <v>0</v>
      </c>
      <c r="G50" s="52"/>
    </row>
    <row r="51" spans="1:7" s="43" customFormat="1" ht="13.2" x14ac:dyDescent="0.25">
      <c r="A51" s="27" t="s">
        <v>1045</v>
      </c>
      <c r="B51" s="6" t="s">
        <v>1046</v>
      </c>
      <c r="C51" s="217"/>
      <c r="D51" s="45"/>
      <c r="E51" s="121"/>
      <c r="F51" s="51">
        <f>E51*D51</f>
        <v>0</v>
      </c>
      <c r="G51" s="52"/>
    </row>
    <row r="52" spans="1:7" s="43" customFormat="1" ht="13.2" x14ac:dyDescent="0.25">
      <c r="A52" s="202" t="s">
        <v>36</v>
      </c>
      <c r="B52" s="216" t="s">
        <v>1047</v>
      </c>
      <c r="C52" s="217" t="s">
        <v>1037</v>
      </c>
      <c r="D52" s="53">
        <v>0</v>
      </c>
      <c r="E52" s="121">
        <f>Saisie!D52</f>
        <v>0</v>
      </c>
      <c r="F52" s="51">
        <f t="shared" ref="F52:F56" si="5">E52*D52</f>
        <v>0</v>
      </c>
      <c r="G52" s="52"/>
    </row>
    <row r="53" spans="1:7" s="43" customFormat="1" ht="13.2" x14ac:dyDescent="0.25">
      <c r="A53" s="202" t="s">
        <v>37</v>
      </c>
      <c r="B53" s="216" t="s">
        <v>1048</v>
      </c>
      <c r="C53" s="217" t="s">
        <v>984</v>
      </c>
      <c r="D53" s="53">
        <v>0</v>
      </c>
      <c r="E53" s="121">
        <f>Saisie!D53</f>
        <v>0</v>
      </c>
      <c r="F53" s="51">
        <f t="shared" si="5"/>
        <v>0</v>
      </c>
      <c r="G53" s="52"/>
    </row>
    <row r="54" spans="1:7" s="43" customFormat="1" ht="26.4" x14ac:dyDescent="0.25">
      <c r="A54" s="202" t="s">
        <v>38</v>
      </c>
      <c r="B54" s="216" t="s">
        <v>1049</v>
      </c>
      <c r="C54" s="217" t="s">
        <v>984</v>
      </c>
      <c r="D54" s="53">
        <v>0</v>
      </c>
      <c r="E54" s="121">
        <f>Saisie!D54</f>
        <v>0</v>
      </c>
      <c r="F54" s="51">
        <f t="shared" si="5"/>
        <v>0</v>
      </c>
      <c r="G54" s="52"/>
    </row>
    <row r="55" spans="1:7" s="43" customFormat="1" ht="26.4" x14ac:dyDescent="0.25">
      <c r="A55" s="202" t="s">
        <v>1050</v>
      </c>
      <c r="B55" s="216" t="s">
        <v>1051</v>
      </c>
      <c r="C55" s="217" t="s">
        <v>984</v>
      </c>
      <c r="D55" s="53">
        <v>1000</v>
      </c>
      <c r="E55" s="121">
        <f>Saisie!D55</f>
        <v>0</v>
      </c>
      <c r="F55" s="51">
        <f t="shared" si="5"/>
        <v>0</v>
      </c>
      <c r="G55" s="52"/>
    </row>
    <row r="56" spans="1:7" s="43" customFormat="1" ht="20.25" customHeight="1" x14ac:dyDescent="0.25">
      <c r="A56" s="202" t="s">
        <v>1052</v>
      </c>
      <c r="B56" s="216" t="s">
        <v>1053</v>
      </c>
      <c r="C56" s="217" t="s">
        <v>984</v>
      </c>
      <c r="D56" s="53">
        <v>0</v>
      </c>
      <c r="E56" s="121">
        <f>Saisie!D56</f>
        <v>0</v>
      </c>
      <c r="F56" s="51">
        <f t="shared" si="5"/>
        <v>0</v>
      </c>
      <c r="G56" s="52"/>
    </row>
    <row r="57" spans="1:7" s="43" customFormat="1" ht="13.2" x14ac:dyDescent="0.25">
      <c r="A57" s="27" t="s">
        <v>1054</v>
      </c>
      <c r="B57" s="6" t="s">
        <v>4328</v>
      </c>
      <c r="C57" s="217"/>
      <c r="D57" s="45"/>
      <c r="E57" s="121"/>
      <c r="F57" s="51"/>
      <c r="G57" s="52"/>
    </row>
    <row r="58" spans="1:7" s="43" customFormat="1" ht="14.25" customHeight="1" x14ac:dyDescent="0.25">
      <c r="A58" s="202" t="s">
        <v>1055</v>
      </c>
      <c r="B58" s="216" t="s">
        <v>1056</v>
      </c>
      <c r="C58" s="217" t="s">
        <v>1037</v>
      </c>
      <c r="D58" s="53">
        <v>0</v>
      </c>
      <c r="E58" s="121">
        <f>Saisie!D58</f>
        <v>0</v>
      </c>
      <c r="F58" s="51">
        <f t="shared" ref="F58:F62" si="6">E58*D58</f>
        <v>0</v>
      </c>
      <c r="G58" s="52"/>
    </row>
    <row r="59" spans="1:7" s="43" customFormat="1" ht="15" customHeight="1" x14ac:dyDescent="0.25">
      <c r="A59" s="202" t="s">
        <v>1057</v>
      </c>
      <c r="B59" s="216" t="s">
        <v>1058</v>
      </c>
      <c r="C59" s="217" t="s">
        <v>984</v>
      </c>
      <c r="D59" s="53">
        <v>0</v>
      </c>
      <c r="E59" s="121">
        <f>Saisie!D59</f>
        <v>0</v>
      </c>
      <c r="F59" s="51">
        <f t="shared" si="6"/>
        <v>0</v>
      </c>
      <c r="G59" s="52"/>
    </row>
    <row r="60" spans="1:7" s="43" customFormat="1" ht="13.5" customHeight="1" x14ac:dyDescent="0.25">
      <c r="A60" s="202" t="s">
        <v>1059</v>
      </c>
      <c r="B60" s="216" t="s">
        <v>1060</v>
      </c>
      <c r="C60" s="217" t="s">
        <v>984</v>
      </c>
      <c r="D60" s="53">
        <v>0</v>
      </c>
      <c r="E60" s="121">
        <f>Saisie!D60</f>
        <v>0</v>
      </c>
      <c r="F60" s="51">
        <f t="shared" si="6"/>
        <v>0</v>
      </c>
      <c r="G60" s="52"/>
    </row>
    <row r="61" spans="1:7" s="43" customFormat="1" ht="16.5" customHeight="1" x14ac:dyDescent="0.25">
      <c r="A61" s="202" t="s">
        <v>1061</v>
      </c>
      <c r="B61" s="216" t="s">
        <v>1062</v>
      </c>
      <c r="C61" s="217" t="s">
        <v>984</v>
      </c>
      <c r="D61" s="53">
        <v>1000</v>
      </c>
      <c r="E61" s="121">
        <f>Saisie!D61</f>
        <v>0</v>
      </c>
      <c r="F61" s="51">
        <f t="shared" si="6"/>
        <v>0</v>
      </c>
      <c r="G61" s="52"/>
    </row>
    <row r="62" spans="1:7" s="43" customFormat="1" ht="17.25" customHeight="1" x14ac:dyDescent="0.25">
      <c r="A62" s="202" t="s">
        <v>1063</v>
      </c>
      <c r="B62" s="216" t="s">
        <v>1064</v>
      </c>
      <c r="C62" s="217" t="s">
        <v>984</v>
      </c>
      <c r="D62" s="53">
        <v>0</v>
      </c>
      <c r="E62" s="121">
        <f>Saisie!D62</f>
        <v>0</v>
      </c>
      <c r="F62" s="51">
        <f t="shared" si="6"/>
        <v>0</v>
      </c>
      <c r="G62" s="52"/>
    </row>
    <row r="63" spans="1:7" s="8" customFormat="1" ht="13.2" x14ac:dyDescent="0.25">
      <c r="A63" s="27" t="s">
        <v>1065</v>
      </c>
      <c r="B63" s="6" t="s">
        <v>1069</v>
      </c>
      <c r="C63" s="217"/>
      <c r="D63" s="45"/>
      <c r="E63" s="121"/>
      <c r="F63" s="51"/>
      <c r="G63" s="52"/>
    </row>
    <row r="64" spans="1:7" s="8" customFormat="1" ht="13.2" x14ac:dyDescent="0.25">
      <c r="A64" s="202" t="s">
        <v>1066</v>
      </c>
      <c r="B64" s="216" t="s">
        <v>1071</v>
      </c>
      <c r="C64" s="217" t="s">
        <v>1011</v>
      </c>
      <c r="D64" s="53">
        <v>673.2</v>
      </c>
      <c r="E64" s="121">
        <f>Saisie!D64</f>
        <v>0</v>
      </c>
      <c r="F64" s="51">
        <f>E64*D64</f>
        <v>0</v>
      </c>
      <c r="G64" s="45"/>
    </row>
    <row r="65" spans="1:7" s="43" customFormat="1" ht="13.2" x14ac:dyDescent="0.25">
      <c r="A65" s="202" t="s">
        <v>1067</v>
      </c>
      <c r="B65" s="216" t="s">
        <v>1073</v>
      </c>
      <c r="C65" s="217" t="s">
        <v>1011</v>
      </c>
      <c r="D65" s="53">
        <v>384</v>
      </c>
      <c r="E65" s="121">
        <f>Saisie!D65</f>
        <v>0</v>
      </c>
      <c r="F65" s="51">
        <f>E65*D65</f>
        <v>0</v>
      </c>
      <c r="G65" s="52"/>
    </row>
    <row r="66" spans="1:7" s="43" customFormat="1" ht="13.2" x14ac:dyDescent="0.25">
      <c r="A66" s="27" t="s">
        <v>1068</v>
      </c>
      <c r="B66" s="6" t="s">
        <v>1075</v>
      </c>
      <c r="C66" s="217"/>
      <c r="D66" s="45"/>
      <c r="E66" s="121"/>
      <c r="F66" s="51"/>
      <c r="G66" s="52"/>
    </row>
    <row r="67" spans="1:7" s="43" customFormat="1" ht="13.2" x14ac:dyDescent="0.25">
      <c r="A67" s="202" t="s">
        <v>1070</v>
      </c>
      <c r="B67" s="216" t="s">
        <v>1077</v>
      </c>
      <c r="C67" s="217" t="s">
        <v>984</v>
      </c>
      <c r="D67" s="53">
        <v>0</v>
      </c>
      <c r="E67" s="121">
        <f>Saisie!D67</f>
        <v>0</v>
      </c>
      <c r="F67" s="51">
        <f>E67*D67</f>
        <v>0</v>
      </c>
      <c r="G67" s="52"/>
    </row>
    <row r="68" spans="1:7" s="43" customFormat="1" ht="13.2" x14ac:dyDescent="0.25">
      <c r="A68" s="202" t="s">
        <v>1072</v>
      </c>
      <c r="B68" s="216" t="s">
        <v>1079</v>
      </c>
      <c r="C68" s="217" t="s">
        <v>984</v>
      </c>
      <c r="D68" s="53">
        <v>1</v>
      </c>
      <c r="E68" s="121">
        <f>Saisie!D68</f>
        <v>0</v>
      </c>
      <c r="F68" s="51">
        <f>E68*D68</f>
        <v>0</v>
      </c>
      <c r="G68" s="53"/>
    </row>
    <row r="69" spans="1:7" s="43" customFormat="1" ht="13.2" x14ac:dyDescent="0.25">
      <c r="A69" s="202" t="s">
        <v>4329</v>
      </c>
      <c r="B69" s="216" t="s">
        <v>1081</v>
      </c>
      <c r="C69" s="217" t="s">
        <v>984</v>
      </c>
      <c r="D69" s="53">
        <v>0</v>
      </c>
      <c r="E69" s="121">
        <f>Saisie!D69</f>
        <v>0</v>
      </c>
      <c r="F69" s="51">
        <f>E69*D69</f>
        <v>0</v>
      </c>
      <c r="G69" s="45"/>
    </row>
    <row r="70" spans="1:7" s="58" customFormat="1" ht="13.2" x14ac:dyDescent="0.25">
      <c r="A70" s="27" t="s">
        <v>1074</v>
      </c>
      <c r="B70" s="6" t="s">
        <v>1083</v>
      </c>
      <c r="C70" s="217"/>
      <c r="D70" s="45"/>
      <c r="E70" s="121"/>
      <c r="F70" s="51"/>
      <c r="G70" s="45"/>
    </row>
    <row r="71" spans="1:7" s="16" customFormat="1" ht="13.2" x14ac:dyDescent="0.25">
      <c r="A71" s="202" t="s">
        <v>1076</v>
      </c>
      <c r="B71" s="216" t="s">
        <v>983</v>
      </c>
      <c r="C71" s="217" t="s">
        <v>984</v>
      </c>
      <c r="D71" s="165">
        <f>Saisie!G71</f>
        <v>0</v>
      </c>
      <c r="E71" s="121">
        <f>Saisie!D71</f>
        <v>0</v>
      </c>
      <c r="F71" s="51">
        <f t="shared" ref="F71:F76" si="7">E71*D71</f>
        <v>0</v>
      </c>
      <c r="G71" s="221"/>
    </row>
    <row r="72" spans="1:7" s="16" customFormat="1" ht="13.2" x14ac:dyDescent="0.25">
      <c r="A72" s="202" t="s">
        <v>1078</v>
      </c>
      <c r="B72" s="216" t="s">
        <v>985</v>
      </c>
      <c r="C72" s="217" t="s">
        <v>984</v>
      </c>
      <c r="D72" s="165">
        <f>Saisie!G72</f>
        <v>0</v>
      </c>
      <c r="E72" s="121">
        <f>Saisie!D72</f>
        <v>0</v>
      </c>
      <c r="F72" s="51">
        <f t="shared" si="7"/>
        <v>0</v>
      </c>
      <c r="G72" s="221"/>
    </row>
    <row r="73" spans="1:7" s="58" customFormat="1" ht="13.2" x14ac:dyDescent="0.25">
      <c r="A73" s="202" t="s">
        <v>1080</v>
      </c>
      <c r="B73" s="216" t="s">
        <v>987</v>
      </c>
      <c r="C73" s="217" t="s">
        <v>984</v>
      </c>
      <c r="D73" s="165">
        <f>Saisie!G73</f>
        <v>0</v>
      </c>
      <c r="E73" s="121">
        <f>Saisie!D73</f>
        <v>0</v>
      </c>
      <c r="F73" s="51">
        <f t="shared" si="7"/>
        <v>0</v>
      </c>
      <c r="G73" s="45"/>
    </row>
    <row r="74" spans="1:7" s="58" customFormat="1" ht="13.2" x14ac:dyDescent="0.25">
      <c r="A74" s="202" t="s">
        <v>4330</v>
      </c>
      <c r="B74" s="216" t="s">
        <v>1019</v>
      </c>
      <c r="C74" s="217" t="s">
        <v>984</v>
      </c>
      <c r="D74" s="165">
        <f>Saisie!G74</f>
        <v>0</v>
      </c>
      <c r="E74" s="121">
        <f>Saisie!D74</f>
        <v>0</v>
      </c>
      <c r="F74" s="51">
        <f t="shared" si="7"/>
        <v>0</v>
      </c>
      <c r="G74" s="45"/>
    </row>
    <row r="75" spans="1:7" s="58" customFormat="1" ht="13.2" x14ac:dyDescent="0.25">
      <c r="A75" s="202" t="s">
        <v>4331</v>
      </c>
      <c r="B75" s="216" t="s">
        <v>991</v>
      </c>
      <c r="C75" s="217" t="s">
        <v>984</v>
      </c>
      <c r="D75" s="165">
        <f>Saisie!G75</f>
        <v>0</v>
      </c>
      <c r="E75" s="121">
        <f>Saisie!D75</f>
        <v>0</v>
      </c>
      <c r="F75" s="51">
        <f t="shared" si="7"/>
        <v>0</v>
      </c>
      <c r="G75" s="45"/>
    </row>
    <row r="76" spans="1:7" s="58" customFormat="1" ht="13.2" x14ac:dyDescent="0.25">
      <c r="A76" s="202" t="s">
        <v>4332</v>
      </c>
      <c r="B76" s="216" t="s">
        <v>993</v>
      </c>
      <c r="C76" s="217" t="s">
        <v>984</v>
      </c>
      <c r="D76" s="165">
        <f>Saisie!G76</f>
        <v>0</v>
      </c>
      <c r="E76" s="121">
        <f>Saisie!D76</f>
        <v>0</v>
      </c>
      <c r="F76" s="51">
        <f t="shared" si="7"/>
        <v>0</v>
      </c>
      <c r="G76" s="45"/>
    </row>
    <row r="77" spans="1:7" s="2" customFormat="1" ht="13.2" x14ac:dyDescent="0.25">
      <c r="A77" s="202" t="s">
        <v>4333</v>
      </c>
      <c r="B77" s="216" t="s">
        <v>995</v>
      </c>
      <c r="C77" s="217" t="s">
        <v>984</v>
      </c>
      <c r="D77" s="165">
        <f>Saisie!G77</f>
        <v>0</v>
      </c>
      <c r="E77" s="121">
        <f>Saisie!D77</f>
        <v>0</v>
      </c>
      <c r="F77" s="51">
        <f>E77*D77</f>
        <v>0</v>
      </c>
      <c r="G77" s="45"/>
    </row>
    <row r="78" spans="1:7" s="2" customFormat="1" ht="13.2" x14ac:dyDescent="0.25">
      <c r="A78" s="202" t="s">
        <v>4334</v>
      </c>
      <c r="B78" s="216" t="s">
        <v>997</v>
      </c>
      <c r="C78" s="217" t="s">
        <v>984</v>
      </c>
      <c r="D78" s="165">
        <f>Saisie!G78</f>
        <v>0</v>
      </c>
      <c r="E78" s="121">
        <f>Saisie!D78</f>
        <v>0</v>
      </c>
      <c r="F78" s="51">
        <f>E78*D78</f>
        <v>0</v>
      </c>
      <c r="G78" s="45"/>
    </row>
    <row r="79" spans="1:7" s="2" customFormat="1" ht="13.2" x14ac:dyDescent="0.25">
      <c r="A79" s="202" t="s">
        <v>4335</v>
      </c>
      <c r="B79" s="216" t="s">
        <v>999</v>
      </c>
      <c r="C79" s="217" t="s">
        <v>984</v>
      </c>
      <c r="D79" s="165">
        <f>Saisie!G79</f>
        <v>0</v>
      </c>
      <c r="E79" s="121">
        <f>Saisie!D79</f>
        <v>0</v>
      </c>
      <c r="F79" s="51">
        <f>E79*D79</f>
        <v>0</v>
      </c>
      <c r="G79" s="45"/>
    </row>
    <row r="80" spans="1:7" s="2" customFormat="1" ht="13.2" x14ac:dyDescent="0.25">
      <c r="A80" s="202" t="s">
        <v>4336</v>
      </c>
      <c r="B80" s="216" t="s">
        <v>1001</v>
      </c>
      <c r="C80" s="217" t="s">
        <v>984</v>
      </c>
      <c r="D80" s="165">
        <f>Saisie!G80</f>
        <v>0</v>
      </c>
      <c r="E80" s="121">
        <f>Saisie!D80</f>
        <v>0</v>
      </c>
      <c r="F80" s="51">
        <f t="shared" ref="F80:F83" si="8">E80*D80</f>
        <v>0</v>
      </c>
      <c r="G80" s="45"/>
    </row>
    <row r="81" spans="1:7" s="2" customFormat="1" ht="13.2" x14ac:dyDescent="0.25">
      <c r="A81" s="202" t="s">
        <v>4337</v>
      </c>
      <c r="B81" s="216" t="s">
        <v>1003</v>
      </c>
      <c r="C81" s="217" t="s">
        <v>984</v>
      </c>
      <c r="D81" s="165">
        <f>Saisie!G81</f>
        <v>0</v>
      </c>
      <c r="E81" s="121">
        <f>Saisie!D81</f>
        <v>0</v>
      </c>
      <c r="F81" s="51">
        <f t="shared" si="8"/>
        <v>0</v>
      </c>
      <c r="G81" s="45"/>
    </row>
    <row r="82" spans="1:7" s="2" customFormat="1" ht="13.2" x14ac:dyDescent="0.25">
      <c r="A82" s="202" t="s">
        <v>4338</v>
      </c>
      <c r="B82" s="216" t="s">
        <v>4310</v>
      </c>
      <c r="C82" s="217" t="s">
        <v>984</v>
      </c>
      <c r="D82" s="165">
        <f>Saisie!G82</f>
        <v>0</v>
      </c>
      <c r="E82" s="121">
        <f>Saisie!D82</f>
        <v>0</v>
      </c>
      <c r="F82" s="51">
        <f t="shared" si="8"/>
        <v>0</v>
      </c>
      <c r="G82" s="45"/>
    </row>
    <row r="83" spans="1:7" s="2" customFormat="1" ht="13.2" x14ac:dyDescent="0.25">
      <c r="A83" s="202" t="s">
        <v>4339</v>
      </c>
      <c r="B83" s="216" t="s">
        <v>1007</v>
      </c>
      <c r="C83" s="217" t="s">
        <v>984</v>
      </c>
      <c r="D83" s="165">
        <f>Saisie!G83</f>
        <v>0</v>
      </c>
      <c r="E83" s="121">
        <f>Saisie!D83</f>
        <v>0</v>
      </c>
      <c r="F83" s="51">
        <f t="shared" si="8"/>
        <v>0</v>
      </c>
      <c r="G83" s="45"/>
    </row>
    <row r="84" spans="1:7" s="58" customFormat="1" ht="13.2" x14ac:dyDescent="0.25">
      <c r="A84" s="27" t="s">
        <v>1082</v>
      </c>
      <c r="B84" s="6" t="s">
        <v>1099</v>
      </c>
      <c r="C84" s="217"/>
      <c r="D84" s="45"/>
      <c r="E84" s="121"/>
      <c r="F84" s="51"/>
      <c r="G84" s="45"/>
    </row>
    <row r="85" spans="1:7" s="58" customFormat="1" ht="13.2" x14ac:dyDescent="0.25">
      <c r="A85" s="202" t="s">
        <v>1084</v>
      </c>
      <c r="B85" s="216" t="s">
        <v>983</v>
      </c>
      <c r="C85" s="217" t="s">
        <v>984</v>
      </c>
      <c r="D85" s="165">
        <f>Saisie!G85</f>
        <v>0</v>
      </c>
      <c r="E85" s="121">
        <f>Saisie!D85</f>
        <v>0</v>
      </c>
      <c r="F85" s="51">
        <f t="shared" ref="F85:F90" si="9">E85*D85</f>
        <v>0</v>
      </c>
      <c r="G85" s="45"/>
    </row>
    <row r="86" spans="1:7" s="16" customFormat="1" ht="13.2" x14ac:dyDescent="0.25">
      <c r="A86" s="202" t="s">
        <v>1085</v>
      </c>
      <c r="B86" s="216" t="s">
        <v>985</v>
      </c>
      <c r="C86" s="217" t="s">
        <v>984</v>
      </c>
      <c r="D86" s="165">
        <f>Saisie!G86</f>
        <v>0</v>
      </c>
      <c r="E86" s="121">
        <f>Saisie!D86</f>
        <v>0</v>
      </c>
      <c r="F86" s="51">
        <f t="shared" si="9"/>
        <v>0</v>
      </c>
      <c r="G86" s="221"/>
    </row>
    <row r="87" spans="1:7" s="16" customFormat="1" ht="13.2" x14ac:dyDescent="0.25">
      <c r="A87" s="202" t="s">
        <v>1086</v>
      </c>
      <c r="B87" s="216" t="s">
        <v>987</v>
      </c>
      <c r="C87" s="217" t="s">
        <v>984</v>
      </c>
      <c r="D87" s="165">
        <f>Saisie!G87</f>
        <v>0</v>
      </c>
      <c r="E87" s="121">
        <f>Saisie!D87</f>
        <v>0</v>
      </c>
      <c r="F87" s="51">
        <f t="shared" si="9"/>
        <v>0</v>
      </c>
      <c r="G87" s="221"/>
    </row>
    <row r="88" spans="1:7" s="58" customFormat="1" ht="13.2" x14ac:dyDescent="0.25">
      <c r="A88" s="202" t="s">
        <v>1087</v>
      </c>
      <c r="B88" s="216" t="s">
        <v>1019</v>
      </c>
      <c r="C88" s="217" t="s">
        <v>984</v>
      </c>
      <c r="D88" s="165">
        <f>Saisie!G88</f>
        <v>0</v>
      </c>
      <c r="E88" s="121">
        <f>Saisie!D88</f>
        <v>0</v>
      </c>
      <c r="F88" s="51">
        <f t="shared" si="9"/>
        <v>0</v>
      </c>
      <c r="G88" s="45"/>
    </row>
    <row r="89" spans="1:7" s="58" customFormat="1" ht="12" customHeight="1" x14ac:dyDescent="0.25">
      <c r="A89" s="202" t="s">
        <v>1088</v>
      </c>
      <c r="B89" s="216" t="s">
        <v>991</v>
      </c>
      <c r="C89" s="217" t="s">
        <v>984</v>
      </c>
      <c r="D89" s="165">
        <f>Saisie!G89</f>
        <v>0</v>
      </c>
      <c r="E89" s="121">
        <f>Saisie!D89</f>
        <v>0</v>
      </c>
      <c r="F89" s="51">
        <f t="shared" si="9"/>
        <v>0</v>
      </c>
      <c r="G89" s="45"/>
    </row>
    <row r="90" spans="1:7" s="58" customFormat="1" ht="13.2" x14ac:dyDescent="0.25">
      <c r="A90" s="202" t="s">
        <v>1089</v>
      </c>
      <c r="B90" s="216" t="s">
        <v>993</v>
      </c>
      <c r="C90" s="217" t="s">
        <v>984</v>
      </c>
      <c r="D90" s="165">
        <f>Saisie!G90</f>
        <v>0</v>
      </c>
      <c r="E90" s="121">
        <f>Saisie!D90</f>
        <v>0</v>
      </c>
      <c r="F90" s="51">
        <f t="shared" si="9"/>
        <v>0</v>
      </c>
      <c r="G90" s="45"/>
    </row>
    <row r="91" spans="1:7" s="58" customFormat="1" ht="13.2" x14ac:dyDescent="0.25">
      <c r="A91" s="202" t="s">
        <v>1090</v>
      </c>
      <c r="B91" s="216" t="s">
        <v>995</v>
      </c>
      <c r="C91" s="217" t="s">
        <v>984</v>
      </c>
      <c r="D91" s="165">
        <f>Saisie!G91</f>
        <v>0</v>
      </c>
      <c r="E91" s="121">
        <f>Saisie!D91</f>
        <v>0</v>
      </c>
      <c r="F91" s="51">
        <f>E91*D91</f>
        <v>0</v>
      </c>
      <c r="G91" s="45"/>
    </row>
    <row r="92" spans="1:7" s="2" customFormat="1" ht="13.2" x14ac:dyDescent="0.25">
      <c r="A92" s="202" t="s">
        <v>1091</v>
      </c>
      <c r="B92" s="216" t="s">
        <v>997</v>
      </c>
      <c r="C92" s="217" t="s">
        <v>984</v>
      </c>
      <c r="D92" s="165">
        <f>Saisie!G92</f>
        <v>0</v>
      </c>
      <c r="E92" s="121">
        <f>Saisie!D92</f>
        <v>0</v>
      </c>
      <c r="F92" s="51">
        <f>E92*D92</f>
        <v>0</v>
      </c>
      <c r="G92" s="45"/>
    </row>
    <row r="93" spans="1:7" s="2" customFormat="1" ht="13.2" x14ac:dyDescent="0.25">
      <c r="A93" s="202" t="s">
        <v>1092</v>
      </c>
      <c r="B93" s="216" t="s">
        <v>999</v>
      </c>
      <c r="C93" s="217" t="s">
        <v>984</v>
      </c>
      <c r="D93" s="165">
        <f>Saisie!G93</f>
        <v>0</v>
      </c>
      <c r="E93" s="121">
        <f>Saisie!D93</f>
        <v>0</v>
      </c>
      <c r="F93" s="51">
        <f t="shared" ref="F93:F107" si="10">E93*D93</f>
        <v>0</v>
      </c>
      <c r="G93" s="45"/>
    </row>
    <row r="94" spans="1:7" s="2" customFormat="1" ht="13.2" x14ac:dyDescent="0.25">
      <c r="A94" s="202" t="s">
        <v>1093</v>
      </c>
      <c r="B94" s="240" t="s">
        <v>1001</v>
      </c>
      <c r="C94" s="217" t="s">
        <v>984</v>
      </c>
      <c r="D94" s="165">
        <f>Saisie!G94</f>
        <v>0</v>
      </c>
      <c r="E94" s="121">
        <f>Saisie!D94</f>
        <v>0</v>
      </c>
      <c r="F94" s="51">
        <f t="shared" si="10"/>
        <v>0</v>
      </c>
      <c r="G94" s="45"/>
    </row>
    <row r="95" spans="1:7" s="2" customFormat="1" ht="13.2" x14ac:dyDescent="0.25">
      <c r="A95" s="202" t="s">
        <v>1094</v>
      </c>
      <c r="B95" s="216" t="s">
        <v>1003</v>
      </c>
      <c r="C95" s="217" t="s">
        <v>984</v>
      </c>
      <c r="D95" s="165">
        <f>Saisie!G95</f>
        <v>0</v>
      </c>
      <c r="E95" s="195">
        <f>Saisie!D95</f>
        <v>0</v>
      </c>
      <c r="F95" s="196">
        <f t="shared" ref="F95:F97" si="11">E95*D95</f>
        <v>0</v>
      </c>
      <c r="G95" s="45"/>
    </row>
    <row r="96" spans="1:7" s="2" customFormat="1" ht="13.2" x14ac:dyDescent="0.25">
      <c r="A96" s="202" t="s">
        <v>1095</v>
      </c>
      <c r="B96" s="216" t="s">
        <v>4310</v>
      </c>
      <c r="C96" s="217" t="s">
        <v>984</v>
      </c>
      <c r="D96" s="165">
        <f>Saisie!G96</f>
        <v>0</v>
      </c>
      <c r="E96" s="195">
        <f>Saisie!D96</f>
        <v>0</v>
      </c>
      <c r="F96" s="196">
        <f t="shared" si="11"/>
        <v>0</v>
      </c>
      <c r="G96" s="45"/>
    </row>
    <row r="97" spans="1:7" s="2" customFormat="1" ht="13.2" x14ac:dyDescent="0.25">
      <c r="A97" s="202" t="s">
        <v>1097</v>
      </c>
      <c r="B97" s="216" t="s">
        <v>1007</v>
      </c>
      <c r="C97" s="217" t="s">
        <v>984</v>
      </c>
      <c r="D97" s="165">
        <f>Saisie!G97</f>
        <v>0</v>
      </c>
      <c r="E97" s="195">
        <f>Saisie!D97</f>
        <v>0</v>
      </c>
      <c r="F97" s="196">
        <f t="shared" si="11"/>
        <v>0</v>
      </c>
      <c r="G97" s="45"/>
    </row>
    <row r="98" spans="1:7" s="2" customFormat="1" ht="13.2" x14ac:dyDescent="0.25">
      <c r="A98" s="28" t="s">
        <v>1098</v>
      </c>
      <c r="B98" s="6" t="s">
        <v>1114</v>
      </c>
      <c r="C98" s="217"/>
      <c r="D98" s="45"/>
      <c r="E98" s="121"/>
      <c r="F98" s="51"/>
      <c r="G98" s="45"/>
    </row>
    <row r="99" spans="1:7" s="2" customFormat="1" ht="13.2" x14ac:dyDescent="0.25">
      <c r="A99" s="202" t="s">
        <v>1100</v>
      </c>
      <c r="B99" s="216" t="s">
        <v>983</v>
      </c>
      <c r="C99" s="217" t="s">
        <v>984</v>
      </c>
      <c r="D99" s="165">
        <f>Saisie!G99</f>
        <v>0</v>
      </c>
      <c r="E99" s="121">
        <f>Saisie!D99</f>
        <v>0</v>
      </c>
      <c r="F99" s="51">
        <f t="shared" si="10"/>
        <v>0</v>
      </c>
      <c r="G99" s="53"/>
    </row>
    <row r="100" spans="1:7" s="2" customFormat="1" ht="13.2" x14ac:dyDescent="0.25">
      <c r="A100" s="202" t="s">
        <v>1101</v>
      </c>
      <c r="B100" s="216" t="s">
        <v>985</v>
      </c>
      <c r="C100" s="217" t="s">
        <v>984</v>
      </c>
      <c r="D100" s="165">
        <f>Saisie!G100</f>
        <v>0</v>
      </c>
      <c r="E100" s="121">
        <f>Saisie!D100</f>
        <v>0</v>
      </c>
      <c r="F100" s="51">
        <f t="shared" si="10"/>
        <v>0</v>
      </c>
      <c r="G100" s="59"/>
    </row>
    <row r="101" spans="1:7" s="2" customFormat="1" ht="13.2" x14ac:dyDescent="0.25">
      <c r="A101" s="202" t="s">
        <v>1102</v>
      </c>
      <c r="B101" s="216" t="s">
        <v>987</v>
      </c>
      <c r="C101" s="217" t="s">
        <v>984</v>
      </c>
      <c r="D101" s="165">
        <f>Saisie!G101</f>
        <v>0</v>
      </c>
      <c r="E101" s="121">
        <f>Saisie!D101</f>
        <v>0</v>
      </c>
      <c r="F101" s="51">
        <f t="shared" si="10"/>
        <v>0</v>
      </c>
      <c r="G101" s="53"/>
    </row>
    <row r="102" spans="1:7" s="58" customFormat="1" ht="13.2" x14ac:dyDescent="0.25">
      <c r="A102" s="202" t="s">
        <v>1103</v>
      </c>
      <c r="B102" s="216" t="s">
        <v>1019</v>
      </c>
      <c r="C102" s="217" t="s">
        <v>984</v>
      </c>
      <c r="D102" s="165">
        <f>Saisie!G102</f>
        <v>0</v>
      </c>
      <c r="E102" s="121">
        <f>Saisie!D102</f>
        <v>0</v>
      </c>
      <c r="F102" s="51">
        <f t="shared" si="10"/>
        <v>0</v>
      </c>
      <c r="G102" s="45"/>
    </row>
    <row r="103" spans="1:7" s="58" customFormat="1" ht="12.75" customHeight="1" x14ac:dyDescent="0.25">
      <c r="A103" s="202" t="s">
        <v>1104</v>
      </c>
      <c r="B103" s="216" t="s">
        <v>991</v>
      </c>
      <c r="C103" s="217" t="s">
        <v>984</v>
      </c>
      <c r="D103" s="165">
        <f>Saisie!G103</f>
        <v>0</v>
      </c>
      <c r="E103" s="121">
        <f>Saisie!D103</f>
        <v>0</v>
      </c>
      <c r="F103" s="51">
        <f t="shared" si="10"/>
        <v>0</v>
      </c>
      <c r="G103" s="52"/>
    </row>
    <row r="104" spans="1:7" s="58" customFormat="1" ht="13.2" x14ac:dyDescent="0.25">
      <c r="A104" s="202" t="s">
        <v>1105</v>
      </c>
      <c r="B104" s="216" t="s">
        <v>993</v>
      </c>
      <c r="C104" s="217" t="s">
        <v>984</v>
      </c>
      <c r="D104" s="165">
        <f>Saisie!G104</f>
        <v>0</v>
      </c>
      <c r="E104" s="121">
        <f>Saisie!D104</f>
        <v>0</v>
      </c>
      <c r="F104" s="51">
        <f t="shared" si="10"/>
        <v>0</v>
      </c>
      <c r="G104" s="52"/>
    </row>
    <row r="105" spans="1:7" s="58" customFormat="1" ht="13.2" x14ac:dyDescent="0.25">
      <c r="A105" s="202" t="s">
        <v>1106</v>
      </c>
      <c r="B105" s="216" t="s">
        <v>995</v>
      </c>
      <c r="C105" s="217" t="s">
        <v>984</v>
      </c>
      <c r="D105" s="165">
        <f>Saisie!G105</f>
        <v>0</v>
      </c>
      <c r="E105" s="121">
        <f>Saisie!D105</f>
        <v>0</v>
      </c>
      <c r="F105" s="60">
        <f t="shared" si="10"/>
        <v>0</v>
      </c>
      <c r="G105" s="53"/>
    </row>
    <row r="106" spans="1:7" s="16" customFormat="1" ht="13.2" x14ac:dyDescent="0.25">
      <c r="A106" s="202" t="s">
        <v>1107</v>
      </c>
      <c r="B106" s="216" t="s">
        <v>997</v>
      </c>
      <c r="C106" s="217" t="s">
        <v>984</v>
      </c>
      <c r="D106" s="165">
        <f>Saisie!G106</f>
        <v>0</v>
      </c>
      <c r="E106" s="121">
        <f>Saisie!D106</f>
        <v>0</v>
      </c>
      <c r="F106" s="51">
        <f t="shared" si="10"/>
        <v>0</v>
      </c>
      <c r="G106" s="221"/>
    </row>
    <row r="107" spans="1:7" s="16" customFormat="1" ht="13.2" x14ac:dyDescent="0.25">
      <c r="A107" s="202" t="s">
        <v>1108</v>
      </c>
      <c r="B107" s="216" t="s">
        <v>999</v>
      </c>
      <c r="C107" s="217" t="s">
        <v>984</v>
      </c>
      <c r="D107" s="165">
        <f>Saisie!G107</f>
        <v>0</v>
      </c>
      <c r="E107" s="121">
        <f>Saisie!D107</f>
        <v>0</v>
      </c>
      <c r="F107" s="51">
        <f t="shared" si="10"/>
        <v>0</v>
      </c>
      <c r="G107" s="221"/>
    </row>
    <row r="108" spans="1:7" s="16" customFormat="1" ht="13.2" x14ac:dyDescent="0.25">
      <c r="A108" s="202" t="s">
        <v>1109</v>
      </c>
      <c r="B108" s="240" t="s">
        <v>1001</v>
      </c>
      <c r="C108" s="217" t="s">
        <v>984</v>
      </c>
      <c r="D108" s="165">
        <f>Saisie!G108</f>
        <v>0</v>
      </c>
      <c r="E108" s="121">
        <f>Saisie!D108</f>
        <v>0</v>
      </c>
      <c r="F108" s="51">
        <f>E108*D108</f>
        <v>0</v>
      </c>
      <c r="G108" s="221"/>
    </row>
    <row r="109" spans="1:7" s="16" customFormat="1" ht="13.2" x14ac:dyDescent="0.25">
      <c r="A109" s="202" t="s">
        <v>1110</v>
      </c>
      <c r="B109" s="240" t="s">
        <v>1003</v>
      </c>
      <c r="C109" s="217" t="s">
        <v>984</v>
      </c>
      <c r="D109" s="165">
        <f>Saisie!G109</f>
        <v>0</v>
      </c>
      <c r="E109" s="121">
        <f>Saisie!D109</f>
        <v>0</v>
      </c>
      <c r="F109" s="51">
        <f t="shared" ref="F109:F111" si="12">E109*D109</f>
        <v>0</v>
      </c>
      <c r="G109" s="221"/>
    </row>
    <row r="110" spans="1:7" s="16" customFormat="1" ht="13.2" x14ac:dyDescent="0.25">
      <c r="A110" s="202" t="s">
        <v>1111</v>
      </c>
      <c r="B110" s="240" t="s">
        <v>4310</v>
      </c>
      <c r="C110" s="217" t="s">
        <v>984</v>
      </c>
      <c r="D110" s="165">
        <f>Saisie!G110</f>
        <v>0</v>
      </c>
      <c r="E110" s="121">
        <f>Saisie!D110</f>
        <v>0</v>
      </c>
      <c r="F110" s="51">
        <f t="shared" si="12"/>
        <v>0</v>
      </c>
      <c r="G110" s="221"/>
    </row>
    <row r="111" spans="1:7" s="16" customFormat="1" ht="13.2" x14ac:dyDescent="0.25">
      <c r="A111" s="202" t="s">
        <v>1112</v>
      </c>
      <c r="B111" s="240" t="s">
        <v>1007</v>
      </c>
      <c r="C111" s="217" t="s">
        <v>984</v>
      </c>
      <c r="D111" s="165">
        <f>Saisie!G111</f>
        <v>0</v>
      </c>
      <c r="E111" s="121">
        <f>Saisie!D111</f>
        <v>0</v>
      </c>
      <c r="F111" s="51">
        <f t="shared" si="12"/>
        <v>0</v>
      </c>
      <c r="G111" s="221"/>
    </row>
    <row r="112" spans="1:7" s="16" customFormat="1" ht="13.2" x14ac:dyDescent="0.25">
      <c r="A112" s="28" t="s">
        <v>1113</v>
      </c>
      <c r="B112" s="6" t="s">
        <v>1118</v>
      </c>
      <c r="C112" s="217"/>
      <c r="D112" s="45"/>
      <c r="E112" s="121"/>
      <c r="F112" s="51"/>
      <c r="G112" s="221"/>
    </row>
    <row r="113" spans="1:7" s="16" customFormat="1" ht="13.2" x14ac:dyDescent="0.25">
      <c r="A113" s="202" t="s">
        <v>1115</v>
      </c>
      <c r="B113" s="216" t="s">
        <v>1119</v>
      </c>
      <c r="C113" s="217" t="s">
        <v>1141</v>
      </c>
      <c r="D113" s="53">
        <f>Saisie!G110</f>
        <v>0</v>
      </c>
      <c r="E113" s="121">
        <f>Saisie!D113</f>
        <v>0</v>
      </c>
      <c r="F113" s="51">
        <f>E113*D113</f>
        <v>0</v>
      </c>
      <c r="G113" s="221"/>
    </row>
    <row r="114" spans="1:7" s="16" customFormat="1" ht="13.2" x14ac:dyDescent="0.25">
      <c r="A114" s="202" t="s">
        <v>1116</v>
      </c>
      <c r="B114" s="216" t="s">
        <v>1121</v>
      </c>
      <c r="C114" s="217" t="s">
        <v>1141</v>
      </c>
      <c r="D114" s="53">
        <v>0</v>
      </c>
      <c r="E114" s="121">
        <f>Saisie!D114</f>
        <v>0</v>
      </c>
      <c r="F114" s="51">
        <f>E114*D114</f>
        <v>0</v>
      </c>
      <c r="G114" s="221"/>
    </row>
    <row r="115" spans="1:7" s="16" customFormat="1" ht="13.2" x14ac:dyDescent="0.25">
      <c r="A115" s="28" t="s">
        <v>1117</v>
      </c>
      <c r="B115" s="243" t="s">
        <v>1122</v>
      </c>
      <c r="C115" s="217" t="s">
        <v>1141</v>
      </c>
      <c r="D115" s="53">
        <f>Saisie!G113</f>
        <v>0</v>
      </c>
      <c r="E115" s="121">
        <f>Saisie!D115</f>
        <v>0</v>
      </c>
      <c r="F115" s="51">
        <f>E115*D115</f>
        <v>0</v>
      </c>
      <c r="G115" s="221"/>
    </row>
    <row r="116" spans="1:7" s="16" customFormat="1" ht="13.2" x14ac:dyDescent="0.25">
      <c r="A116" s="28"/>
      <c r="B116" s="216"/>
      <c r="C116" s="217"/>
      <c r="D116" s="45"/>
      <c r="E116" s="45"/>
      <c r="F116" s="51"/>
      <c r="G116" s="221"/>
    </row>
    <row r="117" spans="1:7" s="16" customFormat="1" ht="13.2" x14ac:dyDescent="0.25">
      <c r="A117" s="202"/>
      <c r="B117" s="122" t="s">
        <v>1123</v>
      </c>
      <c r="C117" s="217"/>
      <c r="D117" s="45"/>
      <c r="E117" s="45"/>
      <c r="F117" s="84">
        <f>SUM(F9:F115)</f>
        <v>0</v>
      </c>
      <c r="G117" s="221"/>
    </row>
    <row r="118" spans="1:7" s="16" customFormat="1" ht="13.2" x14ac:dyDescent="0.25">
      <c r="A118" s="202"/>
      <c r="B118" s="216"/>
      <c r="C118" s="217"/>
      <c r="D118" s="45"/>
      <c r="E118" s="45"/>
      <c r="F118" s="51"/>
      <c r="G118" s="221"/>
    </row>
    <row r="119" spans="1:7" s="16" customFormat="1" ht="26.4" x14ac:dyDescent="0.25">
      <c r="A119" s="29" t="s">
        <v>1124</v>
      </c>
      <c r="B119" s="30" t="s">
        <v>1125</v>
      </c>
      <c r="C119" s="224"/>
      <c r="D119" s="224"/>
      <c r="E119" s="224"/>
      <c r="F119" s="224"/>
      <c r="G119" s="221"/>
    </row>
    <row r="120" spans="1:7" s="16" customFormat="1" ht="13.2" x14ac:dyDescent="0.25">
      <c r="A120" s="27" t="s">
        <v>1126</v>
      </c>
      <c r="B120" s="6" t="s">
        <v>1127</v>
      </c>
      <c r="C120" s="217"/>
      <c r="D120" s="217"/>
      <c r="E120" s="217"/>
      <c r="F120" s="51"/>
      <c r="G120" s="221"/>
    </row>
    <row r="121" spans="1:7" s="16" customFormat="1" ht="13.2" x14ac:dyDescent="0.25">
      <c r="A121" s="202" t="s">
        <v>39</v>
      </c>
      <c r="B121" s="216" t="s">
        <v>1128</v>
      </c>
      <c r="C121" s="217"/>
      <c r="D121" s="45"/>
      <c r="E121" s="45"/>
      <c r="F121" s="51"/>
      <c r="G121" s="221"/>
    </row>
    <row r="122" spans="1:7" s="2" customFormat="1" ht="13.2" x14ac:dyDescent="0.25">
      <c r="A122" s="202" t="s">
        <v>1129</v>
      </c>
      <c r="B122" s="216" t="s">
        <v>1130</v>
      </c>
      <c r="C122" s="217" t="s">
        <v>1011</v>
      </c>
      <c r="D122" s="53">
        <v>0</v>
      </c>
      <c r="E122" s="121">
        <f>Saisie!D122</f>
        <v>0</v>
      </c>
      <c r="F122" s="51">
        <f>E122*D122</f>
        <v>0</v>
      </c>
      <c r="G122" s="45"/>
    </row>
    <row r="123" spans="1:7" s="2" customFormat="1" ht="13.2" x14ac:dyDescent="0.25">
      <c r="A123" s="202" t="s">
        <v>1131</v>
      </c>
      <c r="B123" s="216" t="s">
        <v>1132</v>
      </c>
      <c r="C123" s="217" t="s">
        <v>1011</v>
      </c>
      <c r="D123" s="53">
        <v>0</v>
      </c>
      <c r="E123" s="121">
        <f>Saisie!D123</f>
        <v>0</v>
      </c>
      <c r="F123" s="51">
        <f>E123*D123</f>
        <v>0</v>
      </c>
    </row>
    <row r="124" spans="1:7" s="2" customFormat="1" ht="13.2" x14ac:dyDescent="0.25">
      <c r="A124" s="202" t="s">
        <v>1133</v>
      </c>
      <c r="B124" s="216" t="s">
        <v>1134</v>
      </c>
      <c r="C124" s="217" t="s">
        <v>1011</v>
      </c>
      <c r="D124" s="53">
        <v>0</v>
      </c>
      <c r="E124" s="121">
        <f>Saisie!D124</f>
        <v>0</v>
      </c>
      <c r="F124" s="51">
        <f>E124*D124</f>
        <v>0</v>
      </c>
    </row>
    <row r="125" spans="1:7" s="2" customFormat="1" ht="13.2" x14ac:dyDescent="0.25">
      <c r="A125" s="202" t="s">
        <v>40</v>
      </c>
      <c r="B125" s="216" t="s">
        <v>1135</v>
      </c>
      <c r="C125" s="217"/>
      <c r="D125" s="45"/>
      <c r="E125" s="121"/>
      <c r="F125" s="51"/>
    </row>
    <row r="126" spans="1:7" s="2" customFormat="1" ht="13.2" x14ac:dyDescent="0.25">
      <c r="A126" s="201" t="s">
        <v>1136</v>
      </c>
      <c r="B126" s="216" t="s">
        <v>1132</v>
      </c>
      <c r="C126" s="217" t="s">
        <v>1011</v>
      </c>
      <c r="D126" s="53">
        <v>0</v>
      </c>
      <c r="E126" s="121">
        <f>Saisie!D126</f>
        <v>0</v>
      </c>
      <c r="F126" s="51">
        <f t="shared" ref="F126:F133" si="13">E126*D126</f>
        <v>0</v>
      </c>
    </row>
    <row r="127" spans="1:7" s="2" customFormat="1" ht="13.2" x14ac:dyDescent="0.25">
      <c r="A127" s="201" t="s">
        <v>1137</v>
      </c>
      <c r="B127" s="216" t="s">
        <v>1134</v>
      </c>
      <c r="C127" s="217" t="s">
        <v>1011</v>
      </c>
      <c r="D127" s="53">
        <v>0</v>
      </c>
      <c r="E127" s="121">
        <f>Saisie!D127</f>
        <v>0</v>
      </c>
      <c r="F127" s="51">
        <f t="shared" si="13"/>
        <v>0</v>
      </c>
    </row>
    <row r="128" spans="1:7" s="2" customFormat="1" ht="13.2" x14ac:dyDescent="0.25">
      <c r="A128" s="202" t="s">
        <v>41</v>
      </c>
      <c r="B128" s="216" t="s">
        <v>1138</v>
      </c>
      <c r="C128" s="217" t="s">
        <v>1011</v>
      </c>
      <c r="D128" s="53">
        <v>0</v>
      </c>
      <c r="E128" s="121">
        <f>Saisie!D128</f>
        <v>0</v>
      </c>
      <c r="F128" s="51">
        <f t="shared" si="13"/>
        <v>0</v>
      </c>
    </row>
    <row r="129" spans="1:7" s="2" customFormat="1" ht="13.2" x14ac:dyDescent="0.25">
      <c r="A129" s="202" t="s">
        <v>42</v>
      </c>
      <c r="B129" s="216" t="s">
        <v>1139</v>
      </c>
      <c r="C129" s="217" t="s">
        <v>1011</v>
      </c>
      <c r="D129" s="53">
        <v>0</v>
      </c>
      <c r="E129" s="121">
        <f>Saisie!D129</f>
        <v>0</v>
      </c>
      <c r="F129" s="51">
        <f t="shared" si="13"/>
        <v>0</v>
      </c>
      <c r="G129" s="52"/>
    </row>
    <row r="130" spans="1:7" s="2" customFormat="1" ht="13.2" x14ac:dyDescent="0.25">
      <c r="A130" s="202" t="s">
        <v>43</v>
      </c>
      <c r="B130" s="216" t="s">
        <v>1140</v>
      </c>
      <c r="C130" s="217" t="s">
        <v>1141</v>
      </c>
      <c r="D130" s="53">
        <v>0</v>
      </c>
      <c r="E130" s="121">
        <f>Saisie!D130</f>
        <v>0</v>
      </c>
      <c r="F130" s="51">
        <f t="shared" si="13"/>
        <v>0</v>
      </c>
    </row>
    <row r="131" spans="1:7" s="2" customFormat="1" ht="13.2" x14ac:dyDescent="0.25">
      <c r="A131" s="202" t="s">
        <v>1142</v>
      </c>
      <c r="B131" s="223" t="s">
        <v>1143</v>
      </c>
      <c r="C131" s="217" t="s">
        <v>1034</v>
      </c>
      <c r="D131" s="53">
        <v>0</v>
      </c>
      <c r="E131" s="121">
        <f>Saisie!D131</f>
        <v>0</v>
      </c>
      <c r="F131" s="51">
        <f t="shared" si="13"/>
        <v>0</v>
      </c>
    </row>
    <row r="132" spans="1:7" s="2" customFormat="1" ht="13.2" x14ac:dyDescent="0.25">
      <c r="A132" s="202" t="s">
        <v>1144</v>
      </c>
      <c r="B132" s="223" t="s">
        <v>1145</v>
      </c>
      <c r="C132" s="217" t="s">
        <v>1141</v>
      </c>
      <c r="D132" s="53">
        <v>0</v>
      </c>
      <c r="E132" s="121">
        <f>Saisie!D132</f>
        <v>0</v>
      </c>
      <c r="F132" s="51">
        <f t="shared" si="13"/>
        <v>0</v>
      </c>
    </row>
    <row r="133" spans="1:7" s="2" customFormat="1" ht="13.2" x14ac:dyDescent="0.25">
      <c r="A133" s="202" t="s">
        <v>1146</v>
      </c>
      <c r="B133" s="223" t="s">
        <v>1147</v>
      </c>
      <c r="C133" s="217" t="s">
        <v>1141</v>
      </c>
      <c r="D133" s="53">
        <v>0</v>
      </c>
      <c r="E133" s="121">
        <f>Saisie!D133</f>
        <v>0</v>
      </c>
      <c r="F133" s="51">
        <f t="shared" si="13"/>
        <v>0</v>
      </c>
    </row>
    <row r="134" spans="1:7" s="2" customFormat="1" ht="13.2" x14ac:dyDescent="0.25">
      <c r="A134" s="202" t="s">
        <v>1148</v>
      </c>
      <c r="B134" s="223" t="s">
        <v>1149</v>
      </c>
      <c r="C134" s="217"/>
      <c r="D134" s="45"/>
      <c r="E134" s="121"/>
      <c r="F134" s="51"/>
    </row>
    <row r="135" spans="1:7" s="2" customFormat="1" ht="13.2" x14ac:dyDescent="0.25">
      <c r="A135" s="202" t="s">
        <v>1150</v>
      </c>
      <c r="B135" s="223" t="s">
        <v>1151</v>
      </c>
      <c r="C135" s="217"/>
      <c r="D135" s="45"/>
      <c r="E135" s="121"/>
      <c r="F135" s="51"/>
    </row>
    <row r="136" spans="1:7" s="2" customFormat="1" ht="13.2" x14ac:dyDescent="0.25">
      <c r="A136" s="202" t="s">
        <v>1152</v>
      </c>
      <c r="B136" s="223" t="s">
        <v>1153</v>
      </c>
      <c r="C136" s="217" t="s">
        <v>1011</v>
      </c>
      <c r="D136" s="53">
        <v>0</v>
      </c>
      <c r="E136" s="121">
        <f>Saisie!D136</f>
        <v>0</v>
      </c>
      <c r="F136" s="51">
        <f t="shared" ref="F136:F153" si="14">E136*D136</f>
        <v>0</v>
      </c>
    </row>
    <row r="137" spans="1:7" s="2" customFormat="1" ht="13.2" x14ac:dyDescent="0.25">
      <c r="A137" s="202" t="s">
        <v>1154</v>
      </c>
      <c r="B137" s="223" t="s">
        <v>1155</v>
      </c>
      <c r="C137" s="217" t="s">
        <v>1011</v>
      </c>
      <c r="D137" s="53">
        <v>0</v>
      </c>
      <c r="E137" s="121">
        <f>Saisie!D137</f>
        <v>0</v>
      </c>
      <c r="F137" s="51">
        <f t="shared" si="14"/>
        <v>0</v>
      </c>
    </row>
    <row r="138" spans="1:7" s="2" customFormat="1" ht="13.2" x14ac:dyDescent="0.25">
      <c r="A138" s="202" t="s">
        <v>1156</v>
      </c>
      <c r="B138" s="223" t="s">
        <v>1157</v>
      </c>
      <c r="C138" s="217" t="s">
        <v>1011</v>
      </c>
      <c r="D138" s="53">
        <v>0</v>
      </c>
      <c r="E138" s="121">
        <f>Saisie!D138</f>
        <v>0</v>
      </c>
      <c r="F138" s="51">
        <f t="shared" si="14"/>
        <v>0</v>
      </c>
    </row>
    <row r="139" spans="1:7" s="2" customFormat="1" ht="13.2" x14ac:dyDescent="0.25">
      <c r="A139" s="202" t="s">
        <v>1158</v>
      </c>
      <c r="B139" s="135" t="s">
        <v>1159</v>
      </c>
      <c r="C139" s="217" t="s">
        <v>1011</v>
      </c>
      <c r="D139" s="53">
        <v>0</v>
      </c>
      <c r="E139" s="121">
        <f>Saisie!D139</f>
        <v>0</v>
      </c>
      <c r="F139" s="51">
        <f t="shared" si="14"/>
        <v>0</v>
      </c>
    </row>
    <row r="140" spans="1:7" s="2" customFormat="1" ht="13.2" x14ac:dyDescent="0.25">
      <c r="A140" s="202" t="s">
        <v>1160</v>
      </c>
      <c r="B140" s="135" t="s">
        <v>1161</v>
      </c>
      <c r="C140" s="217" t="s">
        <v>1011</v>
      </c>
      <c r="D140" s="53">
        <v>0</v>
      </c>
      <c r="E140" s="121">
        <f>Saisie!D140</f>
        <v>0</v>
      </c>
      <c r="F140" s="51">
        <f t="shared" si="14"/>
        <v>0</v>
      </c>
    </row>
    <row r="141" spans="1:7" s="2" customFormat="1" ht="13.2" x14ac:dyDescent="0.25">
      <c r="A141" s="202" t="s">
        <v>1162</v>
      </c>
      <c r="B141" s="135" t="s">
        <v>1163</v>
      </c>
      <c r="C141" s="217" t="s">
        <v>1011</v>
      </c>
      <c r="D141" s="53">
        <v>0</v>
      </c>
      <c r="E141" s="121">
        <f>Saisie!D141</f>
        <v>0</v>
      </c>
      <c r="F141" s="51">
        <f t="shared" si="14"/>
        <v>0</v>
      </c>
    </row>
    <row r="142" spans="1:7" s="2" customFormat="1" ht="13.2" x14ac:dyDescent="0.25">
      <c r="A142" s="202" t="s">
        <v>1164</v>
      </c>
      <c r="B142" s="223" t="s">
        <v>1165</v>
      </c>
      <c r="C142" s="217"/>
      <c r="D142" s="45"/>
      <c r="E142" s="121"/>
      <c r="F142" s="51"/>
    </row>
    <row r="143" spans="1:7" s="2" customFormat="1" ht="13.2" x14ac:dyDescent="0.25">
      <c r="A143" s="202" t="s">
        <v>1166</v>
      </c>
      <c r="B143" s="223" t="s">
        <v>1167</v>
      </c>
      <c r="C143" s="217" t="s">
        <v>1011</v>
      </c>
      <c r="D143" s="53">
        <v>0</v>
      </c>
      <c r="E143" s="121">
        <f>Saisie!D143</f>
        <v>0</v>
      </c>
      <c r="F143" s="51">
        <f t="shared" si="14"/>
        <v>0</v>
      </c>
    </row>
    <row r="144" spans="1:7" s="2" customFormat="1" ht="13.2" x14ac:dyDescent="0.25">
      <c r="A144" s="202" t="s">
        <v>1168</v>
      </c>
      <c r="B144" s="223" t="s">
        <v>1169</v>
      </c>
      <c r="C144" s="217" t="s">
        <v>1011</v>
      </c>
      <c r="D144" s="53">
        <v>0</v>
      </c>
      <c r="E144" s="121">
        <f>Saisie!D144</f>
        <v>0</v>
      </c>
      <c r="F144" s="51">
        <f t="shared" si="14"/>
        <v>0</v>
      </c>
    </row>
    <row r="145" spans="1:6" s="2" customFormat="1" ht="13.2" x14ac:dyDescent="0.25">
      <c r="A145" s="202" t="s">
        <v>1170</v>
      </c>
      <c r="B145" s="223" t="s">
        <v>1171</v>
      </c>
      <c r="C145" s="217"/>
      <c r="D145" s="45"/>
      <c r="E145" s="121"/>
      <c r="F145" s="51"/>
    </row>
    <row r="146" spans="1:6" s="2" customFormat="1" ht="13.2" x14ac:dyDescent="0.25">
      <c r="A146" s="202" t="s">
        <v>1172</v>
      </c>
      <c r="B146" s="223" t="s">
        <v>1173</v>
      </c>
      <c r="C146" s="217" t="s">
        <v>1011</v>
      </c>
      <c r="D146" s="53">
        <v>0</v>
      </c>
      <c r="E146" s="121">
        <f>Saisie!D146</f>
        <v>0</v>
      </c>
      <c r="F146" s="51">
        <f t="shared" si="14"/>
        <v>0</v>
      </c>
    </row>
    <row r="147" spans="1:6" s="2" customFormat="1" ht="13.2" x14ac:dyDescent="0.25">
      <c r="A147" s="202" t="s">
        <v>1174</v>
      </c>
      <c r="B147" s="223" t="s">
        <v>1175</v>
      </c>
      <c r="C147" s="217" t="s">
        <v>1011</v>
      </c>
      <c r="D147" s="53">
        <v>0</v>
      </c>
      <c r="E147" s="121">
        <f>Saisie!D147</f>
        <v>0</v>
      </c>
      <c r="F147" s="51">
        <f t="shared" si="14"/>
        <v>0</v>
      </c>
    </row>
    <row r="148" spans="1:6" s="2" customFormat="1" ht="13.2" x14ac:dyDescent="0.25">
      <c r="A148" s="202" t="s">
        <v>1176</v>
      </c>
      <c r="B148" s="223" t="s">
        <v>1177</v>
      </c>
      <c r="C148" s="217" t="s">
        <v>1011</v>
      </c>
      <c r="D148" s="53">
        <v>0</v>
      </c>
      <c r="E148" s="121">
        <f>Saisie!D148</f>
        <v>0</v>
      </c>
      <c r="F148" s="51">
        <f t="shared" si="14"/>
        <v>0</v>
      </c>
    </row>
    <row r="149" spans="1:6" s="2" customFormat="1" ht="13.2" x14ac:dyDescent="0.25">
      <c r="A149" s="202" t="s">
        <v>1178</v>
      </c>
      <c r="B149" s="223" t="s">
        <v>1179</v>
      </c>
      <c r="C149" s="217" t="s">
        <v>1011</v>
      </c>
      <c r="D149" s="53">
        <v>0</v>
      </c>
      <c r="E149" s="121">
        <f>Saisie!D149</f>
        <v>0</v>
      </c>
      <c r="F149" s="51">
        <f t="shared" si="14"/>
        <v>0</v>
      </c>
    </row>
    <row r="150" spans="1:6" s="2" customFormat="1" ht="13.2" x14ac:dyDescent="0.25">
      <c r="A150" s="202" t="s">
        <v>1180</v>
      </c>
      <c r="B150" s="223" t="s">
        <v>1181</v>
      </c>
      <c r="C150" s="217" t="s">
        <v>1011</v>
      </c>
      <c r="D150" s="53">
        <v>0</v>
      </c>
      <c r="E150" s="121">
        <f>Saisie!D150</f>
        <v>0</v>
      </c>
      <c r="F150" s="51">
        <f t="shared" si="14"/>
        <v>0</v>
      </c>
    </row>
    <row r="151" spans="1:6" s="2" customFormat="1" ht="13.2" x14ac:dyDescent="0.25">
      <c r="A151" s="202" t="s">
        <v>1182</v>
      </c>
      <c r="B151" s="223" t="s">
        <v>1183</v>
      </c>
      <c r="C151" s="217" t="s">
        <v>1011</v>
      </c>
      <c r="D151" s="53">
        <v>0</v>
      </c>
      <c r="E151" s="121">
        <f>Saisie!D151</f>
        <v>0</v>
      </c>
      <c r="F151" s="51">
        <f t="shared" si="14"/>
        <v>0</v>
      </c>
    </row>
    <row r="152" spans="1:6" s="2" customFormat="1" ht="13.2" x14ac:dyDescent="0.25">
      <c r="A152" s="202" t="s">
        <v>1184</v>
      </c>
      <c r="B152" s="223" t="s">
        <v>1185</v>
      </c>
      <c r="C152" s="217" t="s">
        <v>1011</v>
      </c>
      <c r="D152" s="53">
        <v>0</v>
      </c>
      <c r="E152" s="121">
        <f>Saisie!D152</f>
        <v>0</v>
      </c>
      <c r="F152" s="51">
        <f t="shared" si="14"/>
        <v>0</v>
      </c>
    </row>
    <row r="153" spans="1:6" s="2" customFormat="1" ht="13.2" x14ac:dyDescent="0.25">
      <c r="A153" s="202" t="s">
        <v>1186</v>
      </c>
      <c r="B153" s="223" t="s">
        <v>1187</v>
      </c>
      <c r="C153" s="217" t="s">
        <v>1011</v>
      </c>
      <c r="D153" s="53">
        <v>0</v>
      </c>
      <c r="E153" s="121">
        <f>Saisie!D153</f>
        <v>0</v>
      </c>
      <c r="F153" s="51">
        <f t="shared" si="14"/>
        <v>0</v>
      </c>
    </row>
    <row r="154" spans="1:6" s="2" customFormat="1" ht="13.2" x14ac:dyDescent="0.25">
      <c r="A154" s="202" t="s">
        <v>1188</v>
      </c>
      <c r="B154" s="223" t="s">
        <v>1189</v>
      </c>
      <c r="C154" s="217"/>
      <c r="D154" s="45"/>
      <c r="E154" s="121"/>
      <c r="F154" s="51"/>
    </row>
    <row r="155" spans="1:6" s="2" customFormat="1" ht="13.2" x14ac:dyDescent="0.25">
      <c r="A155" s="202" t="s">
        <v>1190</v>
      </c>
      <c r="B155" s="223" t="s">
        <v>1191</v>
      </c>
      <c r="C155" s="217"/>
      <c r="D155" s="45"/>
      <c r="E155" s="121"/>
      <c r="F155" s="51"/>
    </row>
    <row r="156" spans="1:6" s="2" customFormat="1" ht="13.2" x14ac:dyDescent="0.25">
      <c r="A156" s="202" t="s">
        <v>1192</v>
      </c>
      <c r="B156" s="223" t="s">
        <v>1193</v>
      </c>
      <c r="C156" s="217" t="s">
        <v>1011</v>
      </c>
      <c r="D156" s="53">
        <v>0</v>
      </c>
      <c r="E156" s="121">
        <f>Saisie!D156</f>
        <v>0</v>
      </c>
      <c r="F156" s="51">
        <f>E156*D156</f>
        <v>0</v>
      </c>
    </row>
    <row r="157" spans="1:6" s="2" customFormat="1" ht="13.2" x14ac:dyDescent="0.25">
      <c r="A157" s="202" t="s">
        <v>1194</v>
      </c>
      <c r="B157" s="223" t="s">
        <v>1195</v>
      </c>
      <c r="C157" s="217" t="s">
        <v>1011</v>
      </c>
      <c r="D157" s="53">
        <v>0</v>
      </c>
      <c r="E157" s="121">
        <f>Saisie!D157</f>
        <v>0</v>
      </c>
      <c r="F157" s="51">
        <f>E157*D157</f>
        <v>0</v>
      </c>
    </row>
    <row r="158" spans="1:6" s="2" customFormat="1" ht="13.2" x14ac:dyDescent="0.25">
      <c r="A158" s="202" t="s">
        <v>1196</v>
      </c>
      <c r="B158" s="223" t="s">
        <v>1197</v>
      </c>
      <c r="C158" s="217"/>
      <c r="D158" s="45"/>
      <c r="E158" s="121"/>
      <c r="F158" s="51"/>
    </row>
    <row r="159" spans="1:6" s="2" customFormat="1" ht="13.2" x14ac:dyDescent="0.25">
      <c r="A159" s="202" t="s">
        <v>1198</v>
      </c>
      <c r="B159" s="223" t="s">
        <v>1199</v>
      </c>
      <c r="C159" s="217" t="s">
        <v>1011</v>
      </c>
      <c r="D159" s="53">
        <v>0</v>
      </c>
      <c r="E159" s="121">
        <f>Saisie!D159</f>
        <v>0</v>
      </c>
      <c r="F159" s="51">
        <f>E159*D159</f>
        <v>0</v>
      </c>
    </row>
    <row r="160" spans="1:6" s="2" customFormat="1" ht="13.2" x14ac:dyDescent="0.25">
      <c r="A160" s="202" t="s">
        <v>1200</v>
      </c>
      <c r="B160" s="223" t="s">
        <v>1201</v>
      </c>
      <c r="C160" s="217" t="s">
        <v>1011</v>
      </c>
      <c r="D160" s="53">
        <v>0</v>
      </c>
      <c r="E160" s="121">
        <f>Saisie!D160</f>
        <v>0</v>
      </c>
      <c r="F160" s="51">
        <f>E160*D160</f>
        <v>0</v>
      </c>
    </row>
    <row r="161" spans="1:6" s="2" customFormat="1" ht="13.2" x14ac:dyDescent="0.25">
      <c r="A161" s="202" t="s">
        <v>1202</v>
      </c>
      <c r="B161" s="223" t="s">
        <v>1203</v>
      </c>
      <c r="C161" s="217"/>
      <c r="D161" s="45"/>
      <c r="E161" s="121"/>
      <c r="F161" s="51"/>
    </row>
    <row r="162" spans="1:6" s="2" customFormat="1" ht="13.2" x14ac:dyDescent="0.25">
      <c r="A162" s="202" t="s">
        <v>1204</v>
      </c>
      <c r="B162" s="223" t="s">
        <v>1205</v>
      </c>
      <c r="C162" s="217" t="s">
        <v>1011</v>
      </c>
      <c r="D162" s="53">
        <v>0</v>
      </c>
      <c r="E162" s="121">
        <f>Saisie!D162</f>
        <v>0</v>
      </c>
      <c r="F162" s="51">
        <f>E162*D162</f>
        <v>0</v>
      </c>
    </row>
    <row r="163" spans="1:6" s="2" customFormat="1" ht="13.2" x14ac:dyDescent="0.25">
      <c r="A163" s="202" t="s">
        <v>1206</v>
      </c>
      <c r="B163" s="223" t="s">
        <v>1207</v>
      </c>
      <c r="C163" s="217" t="s">
        <v>1141</v>
      </c>
      <c r="D163" s="53">
        <v>0</v>
      </c>
      <c r="E163" s="121">
        <f>Saisie!D163</f>
        <v>0</v>
      </c>
      <c r="F163" s="51">
        <f>E163*D163</f>
        <v>0</v>
      </c>
    </row>
    <row r="164" spans="1:6" s="2" customFormat="1" ht="13.2" x14ac:dyDescent="0.25">
      <c r="A164" s="202" t="s">
        <v>1208</v>
      </c>
      <c r="B164" s="223" t="s">
        <v>1209</v>
      </c>
      <c r="C164" s="217"/>
      <c r="D164" s="45"/>
      <c r="E164" s="121"/>
      <c r="F164" s="51"/>
    </row>
    <row r="165" spans="1:6" s="2" customFormat="1" ht="13.2" x14ac:dyDescent="0.25">
      <c r="A165" s="202" t="s">
        <v>1210</v>
      </c>
      <c r="B165" s="223" t="s">
        <v>1211</v>
      </c>
      <c r="C165" s="217" t="s">
        <v>1011</v>
      </c>
      <c r="D165" s="53">
        <v>0</v>
      </c>
      <c r="E165" s="121">
        <f>Saisie!D165</f>
        <v>0</v>
      </c>
      <c r="F165" s="51">
        <f>E165*D165</f>
        <v>0</v>
      </c>
    </row>
    <row r="166" spans="1:6" s="2" customFormat="1" ht="13.2" x14ac:dyDescent="0.25">
      <c r="A166" s="202" t="s">
        <v>1212</v>
      </c>
      <c r="B166" s="223" t="s">
        <v>1213</v>
      </c>
      <c r="C166" s="217" t="s">
        <v>1141</v>
      </c>
      <c r="D166" s="53">
        <v>0</v>
      </c>
      <c r="E166" s="121">
        <f>Saisie!D166</f>
        <v>0</v>
      </c>
      <c r="F166" s="51">
        <f>E166*D166</f>
        <v>0</v>
      </c>
    </row>
    <row r="167" spans="1:6" s="2" customFormat="1" ht="13.2" x14ac:dyDescent="0.25">
      <c r="A167" s="202" t="s">
        <v>1214</v>
      </c>
      <c r="B167" s="223" t="s">
        <v>1215</v>
      </c>
      <c r="C167" s="217"/>
      <c r="D167" s="45"/>
      <c r="E167" s="121"/>
      <c r="F167" s="51"/>
    </row>
    <row r="168" spans="1:6" s="2" customFormat="1" ht="13.2" x14ac:dyDescent="0.25">
      <c r="A168" s="202" t="s">
        <v>1216</v>
      </c>
      <c r="B168" s="223" t="s">
        <v>1217</v>
      </c>
      <c r="C168" s="217"/>
      <c r="D168" s="45"/>
      <c r="E168" s="121"/>
      <c r="F168" s="51"/>
    </row>
    <row r="169" spans="1:6" s="2" customFormat="1" ht="13.2" x14ac:dyDescent="0.25">
      <c r="A169" s="202" t="s">
        <v>1218</v>
      </c>
      <c r="B169" s="223" t="s">
        <v>1219</v>
      </c>
      <c r="C169" s="217" t="s">
        <v>1011</v>
      </c>
      <c r="D169" s="53">
        <v>0</v>
      </c>
      <c r="E169" s="121">
        <f>Saisie!D169</f>
        <v>0</v>
      </c>
      <c r="F169" s="51">
        <f t="shared" ref="F169:F212" si="15">E169*D169</f>
        <v>0</v>
      </c>
    </row>
    <row r="170" spans="1:6" s="2" customFormat="1" ht="13.2" x14ac:dyDescent="0.25">
      <c r="A170" s="202" t="s">
        <v>1220</v>
      </c>
      <c r="B170" s="223" t="s">
        <v>1221</v>
      </c>
      <c r="C170" s="217" t="s">
        <v>1011</v>
      </c>
      <c r="D170" s="53">
        <v>0</v>
      </c>
      <c r="E170" s="121">
        <f>Saisie!D170</f>
        <v>0</v>
      </c>
      <c r="F170" s="51">
        <f t="shared" si="15"/>
        <v>0</v>
      </c>
    </row>
    <row r="171" spans="1:6" s="2" customFormat="1" ht="13.2" x14ac:dyDescent="0.25">
      <c r="A171" s="202" t="s">
        <v>1222</v>
      </c>
      <c r="B171" s="223" t="s">
        <v>1223</v>
      </c>
      <c r="C171" s="217" t="s">
        <v>1011</v>
      </c>
      <c r="D171" s="53">
        <v>0</v>
      </c>
      <c r="E171" s="121">
        <f>Saisie!D171</f>
        <v>0</v>
      </c>
      <c r="F171" s="51">
        <f t="shared" si="15"/>
        <v>0</v>
      </c>
    </row>
    <row r="172" spans="1:6" s="2" customFormat="1" ht="13.2" x14ac:dyDescent="0.25">
      <c r="A172" s="202" t="s">
        <v>1224</v>
      </c>
      <c r="B172" s="223" t="s">
        <v>1225</v>
      </c>
      <c r="C172" s="217" t="s">
        <v>1011</v>
      </c>
      <c r="D172" s="53">
        <v>0</v>
      </c>
      <c r="E172" s="121">
        <f>Saisie!D172</f>
        <v>0</v>
      </c>
      <c r="F172" s="51">
        <f t="shared" si="15"/>
        <v>0</v>
      </c>
    </row>
    <row r="173" spans="1:6" s="2" customFormat="1" ht="13.2" x14ac:dyDescent="0.25">
      <c r="A173" s="202" t="s">
        <v>1226</v>
      </c>
      <c r="B173" s="223" t="s">
        <v>1227</v>
      </c>
      <c r="C173" s="217" t="s">
        <v>1011</v>
      </c>
      <c r="D173" s="53">
        <v>0</v>
      </c>
      <c r="E173" s="121">
        <f>Saisie!D173</f>
        <v>0</v>
      </c>
      <c r="F173" s="51">
        <f t="shared" si="15"/>
        <v>0</v>
      </c>
    </row>
    <row r="174" spans="1:6" s="2" customFormat="1" ht="13.2" x14ac:dyDescent="0.25">
      <c r="A174" s="202" t="s">
        <v>1228</v>
      </c>
      <c r="B174" s="223" t="s">
        <v>4340</v>
      </c>
      <c r="C174" s="217" t="s">
        <v>1011</v>
      </c>
      <c r="D174" s="53">
        <v>0</v>
      </c>
      <c r="E174" s="121">
        <f>Saisie!D174</f>
        <v>0</v>
      </c>
      <c r="F174" s="51">
        <f>E174*D174</f>
        <v>0</v>
      </c>
    </row>
    <row r="175" spans="1:6" s="2" customFormat="1" ht="13.2" x14ac:dyDescent="0.25">
      <c r="A175" s="202" t="s">
        <v>1229</v>
      </c>
      <c r="B175" s="223" t="s">
        <v>4341</v>
      </c>
      <c r="C175" s="217" t="s">
        <v>1011</v>
      </c>
      <c r="D175" s="53">
        <v>0</v>
      </c>
      <c r="E175" s="121">
        <f>Saisie!D175</f>
        <v>0</v>
      </c>
      <c r="F175" s="51">
        <f>E175*D175</f>
        <v>0</v>
      </c>
    </row>
    <row r="176" spans="1:6" s="2" customFormat="1" ht="13.2" x14ac:dyDescent="0.25">
      <c r="A176" s="202" t="s">
        <v>1230</v>
      </c>
      <c r="B176" s="216" t="s">
        <v>1231</v>
      </c>
      <c r="C176" s="217" t="s">
        <v>1232</v>
      </c>
      <c r="D176" s="53">
        <v>0</v>
      </c>
      <c r="E176" s="121">
        <f>Saisie!D176</f>
        <v>0</v>
      </c>
      <c r="F176" s="51">
        <f t="shared" si="15"/>
        <v>0</v>
      </c>
    </row>
    <row r="177" spans="1:6" s="2" customFormat="1" ht="26.4" x14ac:dyDescent="0.25">
      <c r="A177" s="202" t="s">
        <v>1233</v>
      </c>
      <c r="B177" s="216" t="s">
        <v>1234</v>
      </c>
      <c r="C177" s="217" t="s">
        <v>1232</v>
      </c>
      <c r="D177" s="53">
        <v>0</v>
      </c>
      <c r="E177" s="121">
        <f>Saisie!D177</f>
        <v>0</v>
      </c>
      <c r="F177" s="51">
        <f t="shared" si="15"/>
        <v>0</v>
      </c>
    </row>
    <row r="178" spans="1:6" s="2" customFormat="1" ht="13.2" x14ac:dyDescent="0.25">
      <c r="A178" s="202" t="s">
        <v>1235</v>
      </c>
      <c r="B178" s="216" t="s">
        <v>1236</v>
      </c>
      <c r="C178" s="217" t="s">
        <v>1232</v>
      </c>
      <c r="D178" s="53">
        <v>0</v>
      </c>
      <c r="E178" s="121">
        <f>Saisie!D178</f>
        <v>0</v>
      </c>
      <c r="F178" s="51">
        <f t="shared" si="15"/>
        <v>0</v>
      </c>
    </row>
    <row r="179" spans="1:6" s="2" customFormat="1" ht="13.2" x14ac:dyDescent="0.25">
      <c r="A179" s="202" t="s">
        <v>1237</v>
      </c>
      <c r="B179" s="216" t="s">
        <v>1238</v>
      </c>
      <c r="C179" s="217" t="s">
        <v>1232</v>
      </c>
      <c r="D179" s="53">
        <v>0</v>
      </c>
      <c r="E179" s="121">
        <f>Saisie!D180</f>
        <v>0</v>
      </c>
      <c r="F179" s="51">
        <f>E179*D179</f>
        <v>0</v>
      </c>
    </row>
    <row r="180" spans="1:6" s="2" customFormat="1" ht="13.2" x14ac:dyDescent="0.25">
      <c r="A180" s="202" t="s">
        <v>1239</v>
      </c>
      <c r="B180" s="216" t="s">
        <v>1240</v>
      </c>
      <c r="C180" s="217" t="s">
        <v>1232</v>
      </c>
      <c r="D180" s="53">
        <v>0</v>
      </c>
      <c r="E180" s="121">
        <f>Saisie!D180</f>
        <v>0</v>
      </c>
      <c r="F180" s="51">
        <f t="shared" si="15"/>
        <v>0</v>
      </c>
    </row>
    <row r="181" spans="1:6" s="2" customFormat="1" ht="26.4" x14ac:dyDescent="0.25">
      <c r="A181" s="202" t="s">
        <v>1241</v>
      </c>
      <c r="B181" s="216" t="s">
        <v>1242</v>
      </c>
      <c r="C181" s="217" t="s">
        <v>1141</v>
      </c>
      <c r="D181" s="53">
        <v>0</v>
      </c>
      <c r="E181" s="121">
        <f>Saisie!D181</f>
        <v>0</v>
      </c>
      <c r="F181" s="51">
        <f t="shared" si="15"/>
        <v>0</v>
      </c>
    </row>
    <row r="182" spans="1:6" s="2" customFormat="1" ht="13.2" x14ac:dyDescent="0.25">
      <c r="A182" s="202" t="s">
        <v>1243</v>
      </c>
      <c r="B182" s="216" t="s">
        <v>1244</v>
      </c>
      <c r="C182" s="217"/>
      <c r="D182" s="45"/>
      <c r="E182" s="121"/>
      <c r="F182" s="51"/>
    </row>
    <row r="183" spans="1:6" s="2" customFormat="1" ht="13.2" x14ac:dyDescent="0.25">
      <c r="A183" s="202" t="s">
        <v>1245</v>
      </c>
      <c r="B183" s="216" t="s">
        <v>1246</v>
      </c>
      <c r="C183" s="217" t="s">
        <v>1141</v>
      </c>
      <c r="D183" s="53">
        <v>0</v>
      </c>
      <c r="E183" s="121">
        <f>Saisie!D183</f>
        <v>0</v>
      </c>
      <c r="F183" s="51">
        <f t="shared" si="15"/>
        <v>0</v>
      </c>
    </row>
    <row r="184" spans="1:6" s="2" customFormat="1" ht="13.2" x14ac:dyDescent="0.25">
      <c r="A184" s="202" t="s">
        <v>1247</v>
      </c>
      <c r="B184" s="216" t="s">
        <v>1248</v>
      </c>
      <c r="C184" s="217" t="s">
        <v>1141</v>
      </c>
      <c r="D184" s="53">
        <v>0</v>
      </c>
      <c r="E184" s="121">
        <f>Saisie!D184</f>
        <v>0</v>
      </c>
      <c r="F184" s="51">
        <f t="shared" si="15"/>
        <v>0</v>
      </c>
    </row>
    <row r="185" spans="1:6" s="2" customFormat="1" ht="13.2" x14ac:dyDescent="0.25">
      <c r="A185" s="202" t="s">
        <v>1249</v>
      </c>
      <c r="B185" s="216" t="s">
        <v>1250</v>
      </c>
      <c r="C185" s="217" t="s">
        <v>1141</v>
      </c>
      <c r="D185" s="53">
        <v>0</v>
      </c>
      <c r="E185" s="121">
        <f>Saisie!D185</f>
        <v>0</v>
      </c>
      <c r="F185" s="51">
        <f t="shared" si="15"/>
        <v>0</v>
      </c>
    </row>
    <row r="186" spans="1:6" s="2" customFormat="1" ht="13.2" x14ac:dyDescent="0.25">
      <c r="A186" s="202" t="s">
        <v>1251</v>
      </c>
      <c r="B186" s="216" t="s">
        <v>1252</v>
      </c>
      <c r="C186" s="217" t="s">
        <v>1011</v>
      </c>
      <c r="D186" s="53">
        <v>0</v>
      </c>
      <c r="E186" s="121">
        <f>Saisie!D186</f>
        <v>0</v>
      </c>
      <c r="F186" s="51">
        <f t="shared" ref="F186" si="16">E186*D186</f>
        <v>0</v>
      </c>
    </row>
    <row r="187" spans="1:6" s="2" customFormat="1" ht="13.2" x14ac:dyDescent="0.25">
      <c r="A187" s="202" t="s">
        <v>1253</v>
      </c>
      <c r="B187" s="216" t="s">
        <v>1254</v>
      </c>
      <c r="C187" s="217" t="s">
        <v>1011</v>
      </c>
      <c r="D187" s="53">
        <v>0</v>
      </c>
      <c r="E187" s="121">
        <f>Saisie!D187</f>
        <v>0</v>
      </c>
      <c r="F187" s="51">
        <f t="shared" si="15"/>
        <v>0</v>
      </c>
    </row>
    <row r="188" spans="1:6" s="2" customFormat="1" ht="13.2" x14ac:dyDescent="0.25">
      <c r="A188" s="202" t="s">
        <v>1255</v>
      </c>
      <c r="B188" s="216" t="s">
        <v>1256</v>
      </c>
      <c r="C188" s="217" t="s">
        <v>1011</v>
      </c>
      <c r="D188" s="53">
        <v>0</v>
      </c>
      <c r="E188" s="121">
        <f>Saisie!D188</f>
        <v>0</v>
      </c>
      <c r="F188" s="51">
        <f t="shared" si="15"/>
        <v>0</v>
      </c>
    </row>
    <row r="189" spans="1:6" s="2" customFormat="1" ht="13.2" x14ac:dyDescent="0.25">
      <c r="A189" s="202" t="s">
        <v>1257</v>
      </c>
      <c r="B189" s="216" t="s">
        <v>1258</v>
      </c>
      <c r="C189" s="217" t="s">
        <v>1141</v>
      </c>
      <c r="D189" s="53">
        <v>0</v>
      </c>
      <c r="E189" s="121">
        <f>Saisie!D189</f>
        <v>0</v>
      </c>
      <c r="F189" s="51">
        <f t="shared" si="15"/>
        <v>0</v>
      </c>
    </row>
    <row r="190" spans="1:6" s="2" customFormat="1" ht="13.2" x14ac:dyDescent="0.25">
      <c r="A190" s="27" t="s">
        <v>1259</v>
      </c>
      <c r="B190" s="6" t="s">
        <v>1260</v>
      </c>
      <c r="C190" s="217"/>
      <c r="D190" s="45"/>
      <c r="E190" s="121"/>
      <c r="F190" s="51"/>
    </row>
    <row r="191" spans="1:6" s="2" customFormat="1" ht="13.2" x14ac:dyDescent="0.25">
      <c r="A191" s="78" t="s">
        <v>44</v>
      </c>
      <c r="B191" s="4" t="s">
        <v>1261</v>
      </c>
      <c r="C191" s="217"/>
      <c r="D191" s="45"/>
      <c r="E191" s="121"/>
      <c r="F191" s="51"/>
    </row>
    <row r="192" spans="1:6" s="2" customFormat="1" ht="13.2" x14ac:dyDescent="0.25">
      <c r="A192" s="202" t="s">
        <v>1262</v>
      </c>
      <c r="B192" s="216" t="s">
        <v>1263</v>
      </c>
      <c r="C192" s="217" t="s">
        <v>1011</v>
      </c>
      <c r="D192" s="53">
        <v>0</v>
      </c>
      <c r="E192" s="121">
        <f>Saisie!D192</f>
        <v>0</v>
      </c>
      <c r="F192" s="51">
        <f t="shared" si="15"/>
        <v>0</v>
      </c>
    </row>
    <row r="193" spans="1:6" s="2" customFormat="1" ht="13.2" x14ac:dyDescent="0.25">
      <c r="A193" s="202" t="s">
        <v>1264</v>
      </c>
      <c r="B193" s="216" t="s">
        <v>1265</v>
      </c>
      <c r="C193" s="217" t="s">
        <v>1011</v>
      </c>
      <c r="D193" s="53">
        <v>36</v>
      </c>
      <c r="E193" s="121">
        <f>Saisie!D193</f>
        <v>0</v>
      </c>
      <c r="F193" s="51">
        <f t="shared" si="15"/>
        <v>0</v>
      </c>
    </row>
    <row r="194" spans="1:6" s="18" customFormat="1" ht="13.2" x14ac:dyDescent="0.25">
      <c r="A194" s="202" t="s">
        <v>1266</v>
      </c>
      <c r="B194" s="216" t="s">
        <v>1267</v>
      </c>
      <c r="C194" s="217" t="s">
        <v>1011</v>
      </c>
      <c r="D194" s="53">
        <v>0</v>
      </c>
      <c r="E194" s="121">
        <f>Saisie!D194</f>
        <v>0</v>
      </c>
      <c r="F194" s="51">
        <f t="shared" si="15"/>
        <v>0</v>
      </c>
    </row>
    <row r="195" spans="1:6" s="18" customFormat="1" ht="13.2" x14ac:dyDescent="0.25">
      <c r="A195" s="202" t="s">
        <v>1268</v>
      </c>
      <c r="B195" s="216" t="s">
        <v>1269</v>
      </c>
      <c r="C195" s="217" t="s">
        <v>1011</v>
      </c>
      <c r="D195" s="53">
        <v>0</v>
      </c>
      <c r="E195" s="121">
        <f>Saisie!D195</f>
        <v>0</v>
      </c>
      <c r="F195" s="51">
        <f t="shared" si="15"/>
        <v>0</v>
      </c>
    </row>
    <row r="196" spans="1:6" s="18" customFormat="1" ht="13.2" x14ac:dyDescent="0.25">
      <c r="A196" s="202" t="s">
        <v>1270</v>
      </c>
      <c r="B196" s="216" t="s">
        <v>1271</v>
      </c>
      <c r="C196" s="217" t="s">
        <v>1011</v>
      </c>
      <c r="D196" s="53">
        <v>0</v>
      </c>
      <c r="E196" s="121">
        <f>Saisie!D196</f>
        <v>0</v>
      </c>
      <c r="F196" s="51">
        <f t="shared" si="15"/>
        <v>0</v>
      </c>
    </row>
    <row r="197" spans="1:6" s="18" customFormat="1" ht="13.2" x14ac:dyDescent="0.25">
      <c r="A197" s="202" t="s">
        <v>1272</v>
      </c>
      <c r="B197" s="216" t="s">
        <v>1273</v>
      </c>
      <c r="C197" s="217" t="s">
        <v>1034</v>
      </c>
      <c r="D197" s="53">
        <v>21.42</v>
      </c>
      <c r="E197" s="121">
        <f>Saisie!D197</f>
        <v>0</v>
      </c>
      <c r="F197" s="51">
        <f t="shared" si="15"/>
        <v>0</v>
      </c>
    </row>
    <row r="198" spans="1:6" s="18" customFormat="1" ht="13.2" x14ac:dyDescent="0.25">
      <c r="A198" s="202" t="s">
        <v>1274</v>
      </c>
      <c r="B198" s="216" t="s">
        <v>1275</v>
      </c>
      <c r="C198" s="217" t="s">
        <v>1011</v>
      </c>
      <c r="D198" s="53">
        <v>0</v>
      </c>
      <c r="E198" s="121">
        <f>Saisie!D198</f>
        <v>0</v>
      </c>
      <c r="F198" s="51">
        <f t="shared" si="15"/>
        <v>0</v>
      </c>
    </row>
    <row r="199" spans="1:6" s="18" customFormat="1" ht="13.2" x14ac:dyDescent="0.25">
      <c r="A199" s="202" t="s">
        <v>1276</v>
      </c>
      <c r="B199" s="216" t="s">
        <v>1277</v>
      </c>
      <c r="C199" s="217" t="s">
        <v>1011</v>
      </c>
      <c r="D199" s="53">
        <v>0</v>
      </c>
      <c r="E199" s="121">
        <f>Saisie!D199</f>
        <v>0</v>
      </c>
      <c r="F199" s="51">
        <f t="shared" si="15"/>
        <v>0</v>
      </c>
    </row>
    <row r="200" spans="1:6" s="18" customFormat="1" ht="13.2" x14ac:dyDescent="0.25">
      <c r="A200" s="202" t="s">
        <v>1278</v>
      </c>
      <c r="B200" s="216" t="s">
        <v>1279</v>
      </c>
      <c r="C200" s="217" t="s">
        <v>1011</v>
      </c>
      <c r="D200" s="53">
        <v>0</v>
      </c>
      <c r="E200" s="121">
        <f>Saisie!D200</f>
        <v>0</v>
      </c>
      <c r="F200" s="51">
        <f t="shared" si="15"/>
        <v>0</v>
      </c>
    </row>
    <row r="201" spans="1:6" s="18" customFormat="1" ht="13.2" x14ac:dyDescent="0.25">
      <c r="A201" s="202" t="s">
        <v>1280</v>
      </c>
      <c r="B201" s="216" t="s">
        <v>1281</v>
      </c>
      <c r="C201" s="217" t="s">
        <v>1011</v>
      </c>
      <c r="D201" s="53">
        <v>0</v>
      </c>
      <c r="E201" s="121">
        <f>Saisie!D201</f>
        <v>0</v>
      </c>
      <c r="F201" s="51">
        <f t="shared" si="15"/>
        <v>0</v>
      </c>
    </row>
    <row r="202" spans="1:6" s="18" customFormat="1" ht="13.2" x14ac:dyDescent="0.25">
      <c r="A202" s="202" t="s">
        <v>1282</v>
      </c>
      <c r="B202" s="223" t="s">
        <v>1283</v>
      </c>
      <c r="C202" s="217" t="s">
        <v>1034</v>
      </c>
      <c r="D202" s="53">
        <v>0</v>
      </c>
      <c r="E202" s="121">
        <f>Saisie!D202</f>
        <v>0</v>
      </c>
      <c r="F202" s="51">
        <f t="shared" si="15"/>
        <v>0</v>
      </c>
    </row>
    <row r="203" spans="1:6" s="18" customFormat="1" ht="13.2" x14ac:dyDescent="0.25">
      <c r="A203" s="202" t="s">
        <v>1284</v>
      </c>
      <c r="B203" s="223" t="s">
        <v>4343</v>
      </c>
      <c r="C203" s="217" t="s">
        <v>1034</v>
      </c>
      <c r="D203" s="53">
        <v>0</v>
      </c>
      <c r="E203" s="121">
        <f>Saisie!D203</f>
        <v>0</v>
      </c>
      <c r="F203" s="51">
        <f>E203*D203</f>
        <v>0</v>
      </c>
    </row>
    <row r="204" spans="1:6" s="18" customFormat="1" ht="13.2" x14ac:dyDescent="0.25">
      <c r="A204" s="202" t="s">
        <v>1285</v>
      </c>
      <c r="B204" s="223" t="s">
        <v>1286</v>
      </c>
      <c r="C204" s="217" t="s">
        <v>1034</v>
      </c>
      <c r="D204" s="53">
        <v>0</v>
      </c>
      <c r="E204" s="121">
        <f>Saisie!D204</f>
        <v>0</v>
      </c>
      <c r="F204" s="51">
        <f>E204*D204</f>
        <v>0</v>
      </c>
    </row>
    <row r="205" spans="1:6" s="18" customFormat="1" ht="13.2" x14ac:dyDescent="0.25">
      <c r="A205" s="202" t="s">
        <v>1287</v>
      </c>
      <c r="B205" s="223" t="s">
        <v>1288</v>
      </c>
      <c r="C205" s="217" t="s">
        <v>1011</v>
      </c>
      <c r="D205" s="53">
        <v>0</v>
      </c>
      <c r="E205" s="121">
        <f>Saisie!D205</f>
        <v>0</v>
      </c>
      <c r="F205" s="51">
        <f t="shared" si="15"/>
        <v>0</v>
      </c>
    </row>
    <row r="206" spans="1:6" s="18" customFormat="1" ht="13.2" x14ac:dyDescent="0.25">
      <c r="A206" s="202" t="s">
        <v>1289</v>
      </c>
      <c r="B206" s="223" t="s">
        <v>1290</v>
      </c>
      <c r="C206" s="217" t="s">
        <v>1011</v>
      </c>
      <c r="D206" s="53">
        <v>0</v>
      </c>
      <c r="E206" s="121">
        <f>Saisie!D206</f>
        <v>0</v>
      </c>
      <c r="F206" s="51">
        <f t="shared" si="15"/>
        <v>0</v>
      </c>
    </row>
    <row r="207" spans="1:6" s="18" customFormat="1" ht="13.2" x14ac:dyDescent="0.25">
      <c r="A207" s="202" t="s">
        <v>1291</v>
      </c>
      <c r="B207" s="223" t="s">
        <v>1292</v>
      </c>
      <c r="C207" s="217" t="s">
        <v>1011</v>
      </c>
      <c r="D207" s="53">
        <v>0</v>
      </c>
      <c r="E207" s="121">
        <f>Saisie!D207</f>
        <v>0</v>
      </c>
      <c r="F207" s="51">
        <f t="shared" si="15"/>
        <v>0</v>
      </c>
    </row>
    <row r="208" spans="1:6" s="18" customFormat="1" ht="13.2" x14ac:dyDescent="0.25">
      <c r="A208" s="202" t="s">
        <v>1293</v>
      </c>
      <c r="B208" s="223" t="s">
        <v>1294</v>
      </c>
      <c r="C208" s="217" t="s">
        <v>1011</v>
      </c>
      <c r="D208" s="53">
        <v>0</v>
      </c>
      <c r="E208" s="121">
        <f>Saisie!D208</f>
        <v>0</v>
      </c>
      <c r="F208" s="51">
        <f t="shared" si="15"/>
        <v>0</v>
      </c>
    </row>
    <row r="209" spans="1:6" s="2" customFormat="1" ht="13.2" x14ac:dyDescent="0.25">
      <c r="A209" s="202" t="s">
        <v>1295</v>
      </c>
      <c r="B209" s="223" t="s">
        <v>1296</v>
      </c>
      <c r="C209" s="217" t="s">
        <v>1011</v>
      </c>
      <c r="D209" s="53">
        <v>0</v>
      </c>
      <c r="E209" s="121">
        <f>Saisie!D209</f>
        <v>0</v>
      </c>
      <c r="F209" s="51">
        <f t="shared" si="15"/>
        <v>0</v>
      </c>
    </row>
    <row r="210" spans="1:6" s="2" customFormat="1" ht="13.2" x14ac:dyDescent="0.25">
      <c r="A210" s="202" t="s">
        <v>1297</v>
      </c>
      <c r="B210" s="81" t="s">
        <v>1298</v>
      </c>
      <c r="C210" s="217" t="s">
        <v>1034</v>
      </c>
      <c r="D210" s="53">
        <v>0</v>
      </c>
      <c r="E210" s="121">
        <f>Saisie!D212</f>
        <v>0</v>
      </c>
      <c r="F210" s="51">
        <f>E210*D210</f>
        <v>0</v>
      </c>
    </row>
    <row r="211" spans="1:6" s="2" customFormat="1" ht="13.2" x14ac:dyDescent="0.25">
      <c r="A211" s="202" t="s">
        <v>1299</v>
      </c>
      <c r="B211" s="81" t="s">
        <v>1300</v>
      </c>
      <c r="C211" s="217" t="s">
        <v>1011</v>
      </c>
      <c r="D211" s="53">
        <v>0</v>
      </c>
      <c r="E211" s="121">
        <f>Saisie!D213</f>
        <v>0</v>
      </c>
      <c r="F211" s="51">
        <f>E211*D211</f>
        <v>0</v>
      </c>
    </row>
    <row r="212" spans="1:6" s="2" customFormat="1" ht="13.2" x14ac:dyDescent="0.25">
      <c r="A212" s="82" t="s">
        <v>45</v>
      </c>
      <c r="B212" s="4" t="s">
        <v>1301</v>
      </c>
      <c r="C212" s="217" t="s">
        <v>1011</v>
      </c>
      <c r="D212" s="53">
        <v>0</v>
      </c>
      <c r="E212" s="121">
        <f>Saisie!D212</f>
        <v>0</v>
      </c>
      <c r="F212" s="51">
        <f t="shared" si="15"/>
        <v>0</v>
      </c>
    </row>
    <row r="213" spans="1:6" s="2" customFormat="1" ht="13.2" x14ac:dyDescent="0.25">
      <c r="A213" s="82" t="s">
        <v>46</v>
      </c>
      <c r="B213" s="4" t="s">
        <v>1302</v>
      </c>
      <c r="C213" s="217"/>
      <c r="D213" s="45"/>
      <c r="E213" s="121"/>
      <c r="F213" s="51"/>
    </row>
    <row r="214" spans="1:6" s="2" customFormat="1" ht="13.2" x14ac:dyDescent="0.25">
      <c r="A214" s="201" t="s">
        <v>1303</v>
      </c>
      <c r="B214" s="216" t="s">
        <v>1304</v>
      </c>
      <c r="C214" s="217" t="s">
        <v>1011</v>
      </c>
      <c r="D214" s="53">
        <v>2</v>
      </c>
      <c r="E214" s="121">
        <f>Saisie!D214</f>
        <v>0</v>
      </c>
      <c r="F214" s="51">
        <f t="shared" ref="F214:F311" si="17">E214*D214</f>
        <v>0</v>
      </c>
    </row>
    <row r="215" spans="1:6" s="2" customFormat="1" ht="13.2" x14ac:dyDescent="0.25">
      <c r="A215" s="201" t="s">
        <v>1305</v>
      </c>
      <c r="B215" s="223" t="s">
        <v>1306</v>
      </c>
      <c r="C215" s="217" t="s">
        <v>1011</v>
      </c>
      <c r="D215" s="53">
        <v>1</v>
      </c>
      <c r="E215" s="121">
        <f>Saisie!D215</f>
        <v>0</v>
      </c>
      <c r="F215" s="51">
        <f t="shared" si="17"/>
        <v>0</v>
      </c>
    </row>
    <row r="216" spans="1:6" s="2" customFormat="1" ht="13.2" x14ac:dyDescent="0.25">
      <c r="A216" s="201" t="s">
        <v>1307</v>
      </c>
      <c r="B216" s="223" t="s">
        <v>1308</v>
      </c>
      <c r="C216" s="225" t="s">
        <v>1011</v>
      </c>
      <c r="D216" s="53">
        <v>0</v>
      </c>
      <c r="E216" s="121">
        <f>Saisie!D216</f>
        <v>0</v>
      </c>
      <c r="F216" s="51">
        <f t="shared" si="17"/>
        <v>0</v>
      </c>
    </row>
    <row r="217" spans="1:6" s="2" customFormat="1" ht="13.2" x14ac:dyDescent="0.25">
      <c r="A217" s="82" t="s">
        <v>47</v>
      </c>
      <c r="B217" s="4" t="s">
        <v>1309</v>
      </c>
      <c r="C217" s="217" t="s">
        <v>1011</v>
      </c>
      <c r="D217" s="53">
        <v>0</v>
      </c>
      <c r="E217" s="121">
        <f>Saisie!D217</f>
        <v>0</v>
      </c>
      <c r="F217" s="51">
        <f t="shared" si="17"/>
        <v>0</v>
      </c>
    </row>
    <row r="218" spans="1:6" s="2" customFormat="1" ht="13.2" x14ac:dyDescent="0.25">
      <c r="A218" s="82" t="s">
        <v>48</v>
      </c>
      <c r="B218" s="4" t="s">
        <v>1310</v>
      </c>
      <c r="C218" s="217" t="s">
        <v>1011</v>
      </c>
      <c r="D218" s="53">
        <v>0</v>
      </c>
      <c r="E218" s="121">
        <f>Saisie!D218</f>
        <v>0</v>
      </c>
      <c r="F218" s="51">
        <f t="shared" si="17"/>
        <v>0</v>
      </c>
    </row>
    <row r="219" spans="1:6" s="2" customFormat="1" ht="13.2" x14ac:dyDescent="0.25">
      <c r="A219" s="82" t="s">
        <v>49</v>
      </c>
      <c r="B219" s="4" t="s">
        <v>1311</v>
      </c>
      <c r="C219" s="217" t="s">
        <v>1011</v>
      </c>
      <c r="D219" s="53">
        <v>0</v>
      </c>
      <c r="E219" s="121">
        <f>Saisie!D219</f>
        <v>0</v>
      </c>
      <c r="F219" s="51">
        <f t="shared" si="17"/>
        <v>0</v>
      </c>
    </row>
    <row r="220" spans="1:6" s="2" customFormat="1" ht="13.2" x14ac:dyDescent="0.25">
      <c r="A220" s="82" t="s">
        <v>50</v>
      </c>
      <c r="B220" s="4" t="s">
        <v>1312</v>
      </c>
      <c r="C220" s="217"/>
      <c r="D220" s="45"/>
      <c r="E220" s="121"/>
      <c r="F220" s="51"/>
    </row>
    <row r="221" spans="1:6" s="2" customFormat="1" ht="13.2" x14ac:dyDescent="0.25">
      <c r="A221" s="201" t="s">
        <v>1313</v>
      </c>
      <c r="B221" s="192" t="s">
        <v>1314</v>
      </c>
      <c r="C221" s="217" t="s">
        <v>1011</v>
      </c>
      <c r="D221" s="53">
        <v>0</v>
      </c>
      <c r="E221" s="121">
        <f>Saisie!D221</f>
        <v>0</v>
      </c>
      <c r="F221" s="51">
        <f>E221*D221</f>
        <v>0</v>
      </c>
    </row>
    <row r="222" spans="1:6" s="2" customFormat="1" ht="13.2" x14ac:dyDescent="0.25">
      <c r="A222" s="201" t="s">
        <v>1315</v>
      </c>
      <c r="B222" s="192" t="s">
        <v>4318</v>
      </c>
      <c r="C222" s="217" t="s">
        <v>1011</v>
      </c>
      <c r="D222" s="53">
        <v>0</v>
      </c>
      <c r="E222" s="121">
        <f>Saisie!D222</f>
        <v>0</v>
      </c>
      <c r="F222" s="51">
        <f>E222*D222</f>
        <v>0</v>
      </c>
    </row>
    <row r="223" spans="1:6" s="2" customFormat="1" ht="13.2" x14ac:dyDescent="0.25">
      <c r="A223" s="201" t="s">
        <v>1317</v>
      </c>
      <c r="B223" s="192" t="s">
        <v>4319</v>
      </c>
      <c r="C223" s="217" t="s">
        <v>1011</v>
      </c>
      <c r="D223" s="53">
        <v>0</v>
      </c>
      <c r="E223" s="121">
        <f>Saisie!D223</f>
        <v>0</v>
      </c>
      <c r="F223" s="51">
        <f>E223*D223</f>
        <v>0</v>
      </c>
    </row>
    <row r="224" spans="1:6" s="2" customFormat="1" ht="13.2" x14ac:dyDescent="0.25">
      <c r="A224" s="201" t="s">
        <v>1319</v>
      </c>
      <c r="B224" s="192" t="s">
        <v>4320</v>
      </c>
      <c r="C224" s="217" t="s">
        <v>1011</v>
      </c>
      <c r="D224" s="53">
        <v>0</v>
      </c>
      <c r="E224" s="121">
        <f>Saisie!D224</f>
        <v>0</v>
      </c>
      <c r="F224" s="51">
        <f>E224*D224</f>
        <v>0</v>
      </c>
    </row>
    <row r="225" spans="1:6" s="2" customFormat="1" ht="13.2" x14ac:dyDescent="0.25">
      <c r="A225" s="201" t="s">
        <v>1321</v>
      </c>
      <c r="B225" s="192" t="s">
        <v>4321</v>
      </c>
      <c r="C225" s="217" t="s">
        <v>1011</v>
      </c>
      <c r="D225" s="53">
        <v>0</v>
      </c>
      <c r="E225" s="121">
        <f>Saisie!D225</f>
        <v>0</v>
      </c>
      <c r="F225" s="51">
        <f>E225*D225</f>
        <v>0</v>
      </c>
    </row>
    <row r="226" spans="1:6" s="2" customFormat="1" ht="13.2" x14ac:dyDescent="0.25">
      <c r="A226" s="201" t="s">
        <v>1323</v>
      </c>
      <c r="B226" s="216" t="s">
        <v>1324</v>
      </c>
      <c r="C226" s="217" t="s">
        <v>1011</v>
      </c>
      <c r="D226" s="53">
        <v>0</v>
      </c>
      <c r="E226" s="121">
        <f>Saisie!D226</f>
        <v>0</v>
      </c>
      <c r="F226" s="51">
        <f t="shared" si="17"/>
        <v>0</v>
      </c>
    </row>
    <row r="227" spans="1:6" s="2" customFormat="1" ht="13.2" x14ac:dyDescent="0.25">
      <c r="A227" s="201" t="s">
        <v>1325</v>
      </c>
      <c r="B227" s="216" t="s">
        <v>1326</v>
      </c>
      <c r="C227" s="217" t="s">
        <v>1011</v>
      </c>
      <c r="D227" s="53">
        <v>0</v>
      </c>
      <c r="E227" s="121">
        <f>Saisie!D227</f>
        <v>0</v>
      </c>
      <c r="F227" s="51">
        <f t="shared" si="17"/>
        <v>0</v>
      </c>
    </row>
    <row r="228" spans="1:6" s="2" customFormat="1" ht="13.2" x14ac:dyDescent="0.25">
      <c r="A228" s="201" t="s">
        <v>1327</v>
      </c>
      <c r="B228" s="216" t="s">
        <v>1328</v>
      </c>
      <c r="C228" s="217" t="s">
        <v>1011</v>
      </c>
      <c r="D228" s="53">
        <v>0</v>
      </c>
      <c r="E228" s="121">
        <f>Saisie!D228</f>
        <v>0</v>
      </c>
      <c r="F228" s="51">
        <f t="shared" si="17"/>
        <v>0</v>
      </c>
    </row>
    <row r="229" spans="1:6" s="2" customFormat="1" ht="13.2" x14ac:dyDescent="0.25">
      <c r="A229" s="201" t="s">
        <v>1329</v>
      </c>
      <c r="B229" s="216" t="s">
        <v>1330</v>
      </c>
      <c r="C229" s="217" t="s">
        <v>1011</v>
      </c>
      <c r="D229" s="53">
        <v>0</v>
      </c>
      <c r="E229" s="121">
        <f>Saisie!D229</f>
        <v>0</v>
      </c>
      <c r="F229" s="51">
        <f t="shared" si="17"/>
        <v>0</v>
      </c>
    </row>
    <row r="230" spans="1:6" s="2" customFormat="1" ht="13.2" x14ac:dyDescent="0.25">
      <c r="A230" s="201" t="s">
        <v>1331</v>
      </c>
      <c r="B230" s="216" t="s">
        <v>1332</v>
      </c>
      <c r="C230" s="217" t="s">
        <v>1011</v>
      </c>
      <c r="D230" s="53">
        <v>0</v>
      </c>
      <c r="E230" s="121">
        <f>Saisie!D230</f>
        <v>0</v>
      </c>
      <c r="F230" s="51">
        <f t="shared" si="17"/>
        <v>0</v>
      </c>
    </row>
    <row r="231" spans="1:6" s="2" customFormat="1" ht="22.5" customHeight="1" x14ac:dyDescent="0.25">
      <c r="A231" s="201" t="s">
        <v>1333</v>
      </c>
      <c r="B231" s="192" t="s">
        <v>4322</v>
      </c>
      <c r="C231" s="217" t="s">
        <v>1011</v>
      </c>
      <c r="D231" s="53">
        <v>0</v>
      </c>
      <c r="E231" s="121">
        <f>Saisie!D231</f>
        <v>0</v>
      </c>
      <c r="F231" s="51">
        <f>E231*D231</f>
        <v>0</v>
      </c>
    </row>
    <row r="232" spans="1:6" s="2" customFormat="1" ht="13.2" x14ac:dyDescent="0.25">
      <c r="A232" s="201" t="s">
        <v>1335</v>
      </c>
      <c r="B232" s="216" t="s">
        <v>1336</v>
      </c>
      <c r="C232" s="217" t="s">
        <v>1034</v>
      </c>
      <c r="D232" s="53">
        <v>0</v>
      </c>
      <c r="E232" s="121">
        <f>Saisie!D232</f>
        <v>0</v>
      </c>
      <c r="F232" s="51">
        <f t="shared" si="17"/>
        <v>0</v>
      </c>
    </row>
    <row r="233" spans="1:6" s="2" customFormat="1" ht="13.2" x14ac:dyDescent="0.25">
      <c r="A233" s="201" t="s">
        <v>1337</v>
      </c>
      <c r="B233" s="216" t="s">
        <v>1338</v>
      </c>
      <c r="C233" s="217" t="s">
        <v>1011</v>
      </c>
      <c r="D233" s="53">
        <v>0</v>
      </c>
      <c r="E233" s="121">
        <f>Saisie!D233</f>
        <v>0</v>
      </c>
      <c r="F233" s="51">
        <f t="shared" si="17"/>
        <v>0</v>
      </c>
    </row>
    <row r="234" spans="1:6" s="2" customFormat="1" ht="13.2" x14ac:dyDescent="0.25">
      <c r="A234" s="201" t="s">
        <v>1339</v>
      </c>
      <c r="B234" s="223" t="s">
        <v>1340</v>
      </c>
      <c r="C234" s="217" t="s">
        <v>1011</v>
      </c>
      <c r="D234" s="53">
        <v>0</v>
      </c>
      <c r="E234" s="121">
        <f>Saisie!D234</f>
        <v>0</v>
      </c>
      <c r="F234" s="51">
        <f>E234*D234</f>
        <v>0</v>
      </c>
    </row>
    <row r="235" spans="1:6" s="2" customFormat="1" ht="18" customHeight="1" x14ac:dyDescent="0.25">
      <c r="A235" s="201" t="s">
        <v>1341</v>
      </c>
      <c r="B235" s="223" t="s">
        <v>4323</v>
      </c>
      <c r="C235" s="217" t="s">
        <v>1011</v>
      </c>
      <c r="D235" s="53">
        <v>0</v>
      </c>
      <c r="E235" s="121">
        <f>Saisie!D235</f>
        <v>0</v>
      </c>
      <c r="F235" s="51">
        <f>E235*D235</f>
        <v>0</v>
      </c>
    </row>
    <row r="236" spans="1:6" s="2" customFormat="1" ht="13.2" x14ac:dyDescent="0.25">
      <c r="A236" s="201" t="s">
        <v>1343</v>
      </c>
      <c r="B236" s="216" t="s">
        <v>1344</v>
      </c>
      <c r="C236" s="217" t="s">
        <v>1011</v>
      </c>
      <c r="D236" s="53">
        <v>0</v>
      </c>
      <c r="E236" s="121">
        <f>Saisie!D236</f>
        <v>0</v>
      </c>
      <c r="F236" s="51">
        <f t="shared" si="17"/>
        <v>0</v>
      </c>
    </row>
    <row r="237" spans="1:6" s="2" customFormat="1" ht="13.2" x14ac:dyDescent="0.25">
      <c r="A237" s="201" t="s">
        <v>1345</v>
      </c>
      <c r="B237" s="216" t="s">
        <v>1346</v>
      </c>
      <c r="C237" s="217" t="s">
        <v>1011</v>
      </c>
      <c r="D237" s="53">
        <v>0</v>
      </c>
      <c r="E237" s="121">
        <f>Saisie!D237</f>
        <v>0</v>
      </c>
      <c r="F237" s="51">
        <f t="shared" si="17"/>
        <v>0</v>
      </c>
    </row>
    <row r="238" spans="1:6" s="2" customFormat="1" ht="13.2" x14ac:dyDescent="0.25">
      <c r="A238" s="201" t="s">
        <v>1347</v>
      </c>
      <c r="B238" s="216" t="s">
        <v>1348</v>
      </c>
      <c r="C238" s="217" t="s">
        <v>1034</v>
      </c>
      <c r="D238" s="53">
        <v>0</v>
      </c>
      <c r="E238" s="121">
        <f>Saisie!D238</f>
        <v>0</v>
      </c>
      <c r="F238" s="51">
        <f t="shared" si="17"/>
        <v>0</v>
      </c>
    </row>
    <row r="239" spans="1:6" s="8" customFormat="1" ht="13.2" x14ac:dyDescent="0.25">
      <c r="A239" s="201" t="s">
        <v>1349</v>
      </c>
      <c r="B239" s="216" t="s">
        <v>1350</v>
      </c>
      <c r="C239" s="217" t="s">
        <v>1011</v>
      </c>
      <c r="D239" s="53">
        <v>0</v>
      </c>
      <c r="E239" s="121">
        <f>Saisie!D239</f>
        <v>0</v>
      </c>
      <c r="F239" s="51">
        <f t="shared" si="17"/>
        <v>0</v>
      </c>
    </row>
    <row r="240" spans="1:6" s="8" customFormat="1" ht="13.2" x14ac:dyDescent="0.25">
      <c r="A240" s="201" t="s">
        <v>1351</v>
      </c>
      <c r="B240" s="223" t="s">
        <v>1352</v>
      </c>
      <c r="C240" s="217" t="s">
        <v>1034</v>
      </c>
      <c r="D240" s="53">
        <v>0</v>
      </c>
      <c r="E240" s="121">
        <f>Saisie!D240</f>
        <v>0</v>
      </c>
      <c r="F240" s="51">
        <f t="shared" si="17"/>
        <v>0</v>
      </c>
    </row>
    <row r="241" spans="1:7" s="8" customFormat="1" ht="13.2" x14ac:dyDescent="0.25">
      <c r="A241" s="201" t="s">
        <v>1353</v>
      </c>
      <c r="B241" s="223" t="s">
        <v>1354</v>
      </c>
      <c r="C241" s="217" t="s">
        <v>1011</v>
      </c>
      <c r="D241" s="53">
        <v>0</v>
      </c>
      <c r="E241" s="121">
        <f>Saisie!D241</f>
        <v>0</v>
      </c>
      <c r="F241" s="51">
        <f t="shared" si="17"/>
        <v>0</v>
      </c>
      <c r="G241" s="75"/>
    </row>
    <row r="242" spans="1:7" s="8" customFormat="1" ht="13.2" x14ac:dyDescent="0.25">
      <c r="A242" s="201" t="s">
        <v>1355</v>
      </c>
      <c r="B242" s="223" t="s">
        <v>1356</v>
      </c>
      <c r="C242" s="202"/>
      <c r="D242" s="45"/>
      <c r="E242" s="121"/>
      <c r="F242" s="51"/>
      <c r="G242" s="52"/>
    </row>
    <row r="243" spans="1:7" s="8" customFormat="1" ht="13.2" x14ac:dyDescent="0.25">
      <c r="A243" s="201" t="s">
        <v>1357</v>
      </c>
      <c r="B243" s="216" t="s">
        <v>1358</v>
      </c>
      <c r="C243" s="217" t="s">
        <v>1141</v>
      </c>
      <c r="D243" s="53">
        <v>0</v>
      </c>
      <c r="E243" s="121">
        <f>Saisie!D243</f>
        <v>0</v>
      </c>
      <c r="F243" s="51">
        <f t="shared" si="17"/>
        <v>0</v>
      </c>
      <c r="G243" s="45"/>
    </row>
    <row r="244" spans="1:7" s="8" customFormat="1" ht="13.2" x14ac:dyDescent="0.25">
      <c r="A244" s="201" t="s">
        <v>1359</v>
      </c>
      <c r="B244" s="216" t="s">
        <v>1360</v>
      </c>
      <c r="C244" s="217" t="s">
        <v>1141</v>
      </c>
      <c r="D244" s="53">
        <v>0</v>
      </c>
      <c r="E244" s="121">
        <f>Saisie!D244</f>
        <v>0</v>
      </c>
      <c r="F244" s="51">
        <f t="shared" si="17"/>
        <v>0</v>
      </c>
      <c r="G244" s="52"/>
    </row>
    <row r="245" spans="1:7" s="8" customFormat="1" ht="13.2" x14ac:dyDescent="0.25">
      <c r="A245" s="82" t="s">
        <v>51</v>
      </c>
      <c r="B245" s="4" t="s">
        <v>1361</v>
      </c>
      <c r="C245" s="217"/>
      <c r="D245" s="45"/>
      <c r="E245" s="121"/>
      <c r="F245" s="51"/>
      <c r="G245" s="52"/>
    </row>
    <row r="246" spans="1:7" s="8" customFormat="1" ht="13.2" x14ac:dyDescent="0.25">
      <c r="A246" s="201" t="s">
        <v>1362</v>
      </c>
      <c r="B246" s="216" t="s">
        <v>1363</v>
      </c>
      <c r="C246" s="217" t="s">
        <v>1011</v>
      </c>
      <c r="D246" s="53">
        <v>0</v>
      </c>
      <c r="E246" s="121">
        <f>Saisie!D246</f>
        <v>0</v>
      </c>
      <c r="F246" s="51">
        <f t="shared" si="17"/>
        <v>0</v>
      </c>
      <c r="G246" s="45"/>
    </row>
    <row r="247" spans="1:7" s="8" customFormat="1" ht="13.2" x14ac:dyDescent="0.25">
      <c r="A247" s="201" t="s">
        <v>1364</v>
      </c>
      <c r="B247" s="216" t="s">
        <v>1365</v>
      </c>
      <c r="C247" s="217" t="s">
        <v>1011</v>
      </c>
      <c r="D247" s="53">
        <v>0</v>
      </c>
      <c r="E247" s="121">
        <f>Saisie!D247</f>
        <v>0</v>
      </c>
      <c r="F247" s="51">
        <f t="shared" si="17"/>
        <v>0</v>
      </c>
      <c r="G247" s="52"/>
    </row>
    <row r="248" spans="1:7" s="8" customFormat="1" ht="13.2" x14ac:dyDescent="0.25">
      <c r="A248" s="201" t="s">
        <v>1366</v>
      </c>
      <c r="B248" s="216" t="s">
        <v>1367</v>
      </c>
      <c r="C248" s="217" t="s">
        <v>1011</v>
      </c>
      <c r="D248" s="53">
        <v>0</v>
      </c>
      <c r="E248" s="121">
        <f>Saisie!D248</f>
        <v>0</v>
      </c>
      <c r="F248" s="51">
        <f t="shared" si="17"/>
        <v>0</v>
      </c>
      <c r="G248" s="52"/>
    </row>
    <row r="249" spans="1:7" s="8" customFormat="1" ht="13.2" x14ac:dyDescent="0.25">
      <c r="A249" s="201" t="s">
        <v>1368</v>
      </c>
      <c r="B249" s="216" t="s">
        <v>1369</v>
      </c>
      <c r="C249" s="217" t="s">
        <v>1011</v>
      </c>
      <c r="D249" s="53">
        <v>0</v>
      </c>
      <c r="E249" s="121">
        <f>Saisie!D249</f>
        <v>0</v>
      </c>
      <c r="F249" s="51">
        <f t="shared" si="17"/>
        <v>0</v>
      </c>
      <c r="G249" s="52"/>
    </row>
    <row r="250" spans="1:7" s="8" customFormat="1" ht="13.2" x14ac:dyDescent="0.25">
      <c r="A250" s="201" t="s">
        <v>1370</v>
      </c>
      <c r="B250" s="216" t="s">
        <v>1371</v>
      </c>
      <c r="C250" s="217" t="s">
        <v>1011</v>
      </c>
      <c r="D250" s="53">
        <v>0</v>
      </c>
      <c r="E250" s="121">
        <f>Saisie!D250</f>
        <v>0</v>
      </c>
      <c r="F250" s="51">
        <f t="shared" si="17"/>
        <v>0</v>
      </c>
      <c r="G250" s="45"/>
    </row>
    <row r="251" spans="1:7" s="43" customFormat="1" ht="13.2" x14ac:dyDescent="0.25">
      <c r="A251" s="201" t="s">
        <v>1372</v>
      </c>
      <c r="B251" s="216" t="s">
        <v>1373</v>
      </c>
      <c r="C251" s="217" t="s">
        <v>1011</v>
      </c>
      <c r="D251" s="53">
        <v>0</v>
      </c>
      <c r="E251" s="121">
        <f>Saisie!D251</f>
        <v>0</v>
      </c>
      <c r="F251" s="51">
        <f t="shared" si="17"/>
        <v>0</v>
      </c>
      <c r="G251" s="52"/>
    </row>
    <row r="252" spans="1:7" s="43" customFormat="1" ht="13.2" x14ac:dyDescent="0.25">
      <c r="A252" s="201" t="s">
        <v>1374</v>
      </c>
      <c r="B252" s="216" t="s">
        <v>1375</v>
      </c>
      <c r="C252" s="217" t="s">
        <v>1011</v>
      </c>
      <c r="D252" s="53">
        <v>0</v>
      </c>
      <c r="E252" s="121">
        <f>Saisie!D252</f>
        <v>0</v>
      </c>
      <c r="F252" s="51">
        <f t="shared" si="17"/>
        <v>0</v>
      </c>
      <c r="G252" s="52"/>
    </row>
    <row r="253" spans="1:7" s="43" customFormat="1" ht="13.2" x14ac:dyDescent="0.25">
      <c r="A253" s="78" t="s">
        <v>1376</v>
      </c>
      <c r="B253" s="4" t="s">
        <v>1377</v>
      </c>
      <c r="C253" s="217"/>
      <c r="D253" s="45"/>
      <c r="E253" s="121"/>
      <c r="F253" s="51"/>
      <c r="G253" s="52"/>
    </row>
    <row r="254" spans="1:7" s="43" customFormat="1" ht="13.2" x14ac:dyDescent="0.25">
      <c r="A254" s="201" t="s">
        <v>1378</v>
      </c>
      <c r="B254" s="216" t="s">
        <v>1379</v>
      </c>
      <c r="C254" s="217" t="s">
        <v>1011</v>
      </c>
      <c r="D254" s="53">
        <v>0</v>
      </c>
      <c r="E254" s="121">
        <f>Saisie!D254</f>
        <v>0</v>
      </c>
      <c r="F254" s="51">
        <f t="shared" si="17"/>
        <v>0</v>
      </c>
      <c r="G254" s="52"/>
    </row>
    <row r="255" spans="1:7" s="8" customFormat="1" ht="13.2" x14ac:dyDescent="0.25">
      <c r="A255" s="201" t="s">
        <v>1380</v>
      </c>
      <c r="B255" s="216" t="s">
        <v>1381</v>
      </c>
      <c r="C255" s="217" t="s">
        <v>1011</v>
      </c>
      <c r="D255" s="53">
        <v>0</v>
      </c>
      <c r="E255" s="121">
        <f>Saisie!D255</f>
        <v>0</v>
      </c>
      <c r="F255" s="51">
        <f t="shared" si="17"/>
        <v>0</v>
      </c>
      <c r="G255" s="45"/>
    </row>
    <row r="256" spans="1:7" s="266" customFormat="1" ht="13.2" x14ac:dyDescent="0.25">
      <c r="A256" s="201" t="s">
        <v>1382</v>
      </c>
      <c r="B256" s="250" t="s">
        <v>4389</v>
      </c>
      <c r="C256" s="217" t="s">
        <v>1011</v>
      </c>
      <c r="D256" s="53">
        <v>0</v>
      </c>
      <c r="E256" s="121">
        <f>Saisie!D256</f>
        <v>0</v>
      </c>
      <c r="F256" s="51">
        <f t="shared" ref="F256" si="18">E256*D256</f>
        <v>0</v>
      </c>
      <c r="G256" s="259"/>
    </row>
    <row r="257" spans="1:7" s="43" customFormat="1" ht="13.2" x14ac:dyDescent="0.25">
      <c r="A257" s="201" t="s">
        <v>1384</v>
      </c>
      <c r="B257" s="216" t="s">
        <v>1383</v>
      </c>
      <c r="C257" s="217" t="s">
        <v>1011</v>
      </c>
      <c r="D257" s="53">
        <v>0</v>
      </c>
      <c r="E257" s="121">
        <f>Saisie!D257</f>
        <v>0</v>
      </c>
      <c r="F257" s="51">
        <f t="shared" si="17"/>
        <v>0</v>
      </c>
      <c r="G257" s="52"/>
    </row>
    <row r="258" spans="1:7" s="43" customFormat="1" ht="13.2" x14ac:dyDescent="0.25">
      <c r="A258" s="201" t="s">
        <v>1386</v>
      </c>
      <c r="B258" s="253" t="s">
        <v>1385</v>
      </c>
      <c r="C258" s="217" t="s">
        <v>1011</v>
      </c>
      <c r="D258" s="53">
        <v>0</v>
      </c>
      <c r="E258" s="121">
        <f>Saisie!D258</f>
        <v>0</v>
      </c>
      <c r="F258" s="51">
        <f t="shared" ref="F258:F271" si="19">E258*D258</f>
        <v>0</v>
      </c>
      <c r="G258" s="52"/>
    </row>
    <row r="259" spans="1:7" s="43" customFormat="1" ht="13.2" x14ac:dyDescent="0.25">
      <c r="A259" s="201" t="s">
        <v>1388</v>
      </c>
      <c r="B259" s="216" t="s">
        <v>1387</v>
      </c>
      <c r="C259" s="217" t="s">
        <v>1011</v>
      </c>
      <c r="D259" s="53">
        <v>0</v>
      </c>
      <c r="E259" s="121">
        <f>Saisie!D259</f>
        <v>0</v>
      </c>
      <c r="F259" s="51">
        <f t="shared" si="19"/>
        <v>0</v>
      </c>
      <c r="G259" s="52"/>
    </row>
    <row r="260" spans="1:7" s="20" customFormat="1" ht="13.2" x14ac:dyDescent="0.25">
      <c r="A260" s="201" t="s">
        <v>1390</v>
      </c>
      <c r="B260" s="216" t="s">
        <v>1389</v>
      </c>
      <c r="C260" s="217" t="s">
        <v>1011</v>
      </c>
      <c r="D260" s="53">
        <v>0</v>
      </c>
      <c r="E260" s="121">
        <f>Saisie!D260</f>
        <v>0</v>
      </c>
      <c r="F260" s="51">
        <f t="shared" si="19"/>
        <v>0</v>
      </c>
      <c r="G260" s="218"/>
    </row>
    <row r="261" spans="1:7" s="20" customFormat="1" ht="13.2" x14ac:dyDescent="0.25">
      <c r="A261" s="201" t="s">
        <v>1392</v>
      </c>
      <c r="B261" s="216" t="s">
        <v>1391</v>
      </c>
      <c r="C261" s="217" t="s">
        <v>1011</v>
      </c>
      <c r="D261" s="53">
        <v>0</v>
      </c>
      <c r="E261" s="121">
        <f>Saisie!D261</f>
        <v>0</v>
      </c>
      <c r="F261" s="51">
        <f t="shared" si="19"/>
        <v>0</v>
      </c>
      <c r="G261" s="218"/>
    </row>
    <row r="262" spans="1:7" s="20" customFormat="1" ht="13.2" x14ac:dyDescent="0.25">
      <c r="A262" s="201" t="s">
        <v>1394</v>
      </c>
      <c r="B262" s="253" t="s">
        <v>1393</v>
      </c>
      <c r="C262" s="217" t="s">
        <v>1011</v>
      </c>
      <c r="D262" s="53">
        <v>0</v>
      </c>
      <c r="E262" s="121">
        <f>Saisie!D262</f>
        <v>0</v>
      </c>
      <c r="F262" s="51">
        <f t="shared" si="19"/>
        <v>0</v>
      </c>
      <c r="G262" s="218"/>
    </row>
    <row r="263" spans="1:7" s="8" customFormat="1" ht="13.2" x14ac:dyDescent="0.25">
      <c r="A263" s="201" t="s">
        <v>1396</v>
      </c>
      <c r="B263" s="216" t="s">
        <v>1395</v>
      </c>
      <c r="C263" s="217" t="s">
        <v>1011</v>
      </c>
      <c r="D263" s="53">
        <v>0</v>
      </c>
      <c r="E263" s="121">
        <f>Saisie!D263</f>
        <v>0</v>
      </c>
      <c r="F263" s="51">
        <f t="shared" si="19"/>
        <v>0</v>
      </c>
      <c r="G263" s="45"/>
    </row>
    <row r="264" spans="1:7" s="268" customFormat="1" ht="15" customHeight="1" x14ac:dyDescent="0.25">
      <c r="A264" s="201" t="s">
        <v>1397</v>
      </c>
      <c r="B264" s="216" t="s">
        <v>4362</v>
      </c>
      <c r="C264" s="217" t="s">
        <v>1011</v>
      </c>
      <c r="D264" s="53">
        <v>0</v>
      </c>
      <c r="E264" s="121">
        <f>Saisie!D264</f>
        <v>0</v>
      </c>
      <c r="F264" s="51">
        <f t="shared" ref="F264" si="20">E264*D264</f>
        <v>0</v>
      </c>
      <c r="G264" s="267"/>
    </row>
    <row r="265" spans="1:7" s="43" customFormat="1" ht="13.2" x14ac:dyDescent="0.25">
      <c r="A265" s="201" t="s">
        <v>1399</v>
      </c>
      <c r="B265" s="216" t="s">
        <v>1398</v>
      </c>
      <c r="C265" s="217" t="s">
        <v>1011</v>
      </c>
      <c r="D265" s="53">
        <v>0</v>
      </c>
      <c r="E265" s="121">
        <f>Saisie!D265</f>
        <v>0</v>
      </c>
      <c r="F265" s="51">
        <f t="shared" si="19"/>
        <v>0</v>
      </c>
      <c r="G265" s="52"/>
    </row>
    <row r="266" spans="1:7" s="43" customFormat="1" ht="13.2" x14ac:dyDescent="0.25">
      <c r="A266" s="201" t="s">
        <v>1401</v>
      </c>
      <c r="B266" s="254" t="s">
        <v>1400</v>
      </c>
      <c r="C266" s="217" t="s">
        <v>1011</v>
      </c>
      <c r="D266" s="53">
        <v>0</v>
      </c>
      <c r="E266" s="121">
        <f>Saisie!D266</f>
        <v>0</v>
      </c>
      <c r="F266" s="51">
        <f t="shared" si="19"/>
        <v>0</v>
      </c>
      <c r="G266" s="52"/>
    </row>
    <row r="267" spans="1:7" s="43" customFormat="1" ht="26.4" x14ac:dyDescent="0.25">
      <c r="A267" s="201" t="s">
        <v>1403</v>
      </c>
      <c r="B267" s="275" t="s">
        <v>4390</v>
      </c>
      <c r="C267" s="217" t="s">
        <v>1011</v>
      </c>
      <c r="D267" s="53">
        <v>0</v>
      </c>
      <c r="E267" s="121">
        <f>Saisie!D267</f>
        <v>0</v>
      </c>
      <c r="F267" s="51">
        <f t="shared" ref="F267" si="21">E267*D267</f>
        <v>0</v>
      </c>
      <c r="G267" s="52"/>
    </row>
    <row r="268" spans="1:7" s="8" customFormat="1" ht="13.2" x14ac:dyDescent="0.25">
      <c r="A268" s="201" t="s">
        <v>1405</v>
      </c>
      <c r="B268" s="216" t="s">
        <v>1402</v>
      </c>
      <c r="C268" s="217" t="s">
        <v>1011</v>
      </c>
      <c r="D268" s="53">
        <v>0</v>
      </c>
      <c r="E268" s="121">
        <f>Saisie!D268</f>
        <v>0</v>
      </c>
      <c r="F268" s="51">
        <f t="shared" si="19"/>
        <v>0</v>
      </c>
      <c r="G268" s="45"/>
    </row>
    <row r="269" spans="1:7" s="8" customFormat="1" ht="13.2" x14ac:dyDescent="0.25">
      <c r="A269" s="201" t="s">
        <v>1407</v>
      </c>
      <c r="B269" s="216" t="s">
        <v>1404</v>
      </c>
      <c r="C269" s="217" t="s">
        <v>1011</v>
      </c>
      <c r="D269" s="53">
        <v>0</v>
      </c>
      <c r="E269" s="121">
        <f>Saisie!D269</f>
        <v>0</v>
      </c>
      <c r="F269" s="51">
        <f t="shared" si="19"/>
        <v>0</v>
      </c>
      <c r="G269" s="52"/>
    </row>
    <row r="270" spans="1:7" s="8" customFormat="1" ht="13.2" x14ac:dyDescent="0.25">
      <c r="A270" s="201" t="s">
        <v>1409</v>
      </c>
      <c r="B270" s="216" t="s">
        <v>1406</v>
      </c>
      <c r="C270" s="217" t="s">
        <v>1011</v>
      </c>
      <c r="D270" s="53">
        <v>0</v>
      </c>
      <c r="E270" s="121">
        <f>Saisie!D270</f>
        <v>0</v>
      </c>
      <c r="F270" s="51">
        <f t="shared" si="19"/>
        <v>0</v>
      </c>
      <c r="G270" s="52"/>
    </row>
    <row r="271" spans="1:7" s="8" customFormat="1" ht="13.2" x14ac:dyDescent="0.25">
      <c r="A271" s="201" t="s">
        <v>1411</v>
      </c>
      <c r="B271" s="253" t="s">
        <v>1408</v>
      </c>
      <c r="C271" s="217" t="s">
        <v>1011</v>
      </c>
      <c r="D271" s="53">
        <v>0</v>
      </c>
      <c r="E271" s="121">
        <f>Saisie!D271</f>
        <v>0</v>
      </c>
      <c r="F271" s="51">
        <f t="shared" si="19"/>
        <v>0</v>
      </c>
      <c r="G271" s="52"/>
    </row>
    <row r="272" spans="1:7" s="8" customFormat="1" ht="13.2" x14ac:dyDescent="0.25">
      <c r="A272" s="201" t="s">
        <v>1413</v>
      </c>
      <c r="B272" s="216" t="s">
        <v>1410</v>
      </c>
      <c r="C272" s="217" t="s">
        <v>1011</v>
      </c>
      <c r="D272" s="53">
        <v>0</v>
      </c>
      <c r="E272" s="121">
        <f>Saisie!D272</f>
        <v>0</v>
      </c>
      <c r="F272" s="51">
        <f t="shared" si="17"/>
        <v>0</v>
      </c>
      <c r="G272" s="52"/>
    </row>
    <row r="273" spans="1:8" s="19" customFormat="1" ht="13.2" x14ac:dyDescent="0.25">
      <c r="A273" s="201" t="s">
        <v>1415</v>
      </c>
      <c r="B273" s="216" t="s">
        <v>1412</v>
      </c>
      <c r="C273" s="217" t="s">
        <v>1011</v>
      </c>
      <c r="D273" s="53">
        <v>0</v>
      </c>
      <c r="E273" s="121">
        <f>Saisie!D273</f>
        <v>0</v>
      </c>
      <c r="F273" s="51">
        <f t="shared" si="17"/>
        <v>0</v>
      </c>
    </row>
    <row r="274" spans="1:8" s="8" customFormat="1" ht="13.2" x14ac:dyDescent="0.25">
      <c r="A274" s="201" t="s">
        <v>1417</v>
      </c>
      <c r="B274" s="216" t="s">
        <v>1414</v>
      </c>
      <c r="C274" s="217" t="s">
        <v>1011</v>
      </c>
      <c r="D274" s="53">
        <v>0</v>
      </c>
      <c r="E274" s="121">
        <f>Saisie!D274</f>
        <v>0</v>
      </c>
      <c r="F274" s="51">
        <f t="shared" si="17"/>
        <v>0</v>
      </c>
      <c r="G274" s="53"/>
    </row>
    <row r="275" spans="1:8" s="8" customFormat="1" ht="13.2" x14ac:dyDescent="0.25">
      <c r="A275" s="201" t="s">
        <v>1419</v>
      </c>
      <c r="B275" s="216" t="s">
        <v>1416</v>
      </c>
      <c r="C275" s="217" t="s">
        <v>1011</v>
      </c>
      <c r="D275" s="53">
        <v>0</v>
      </c>
      <c r="E275" s="121">
        <f>Saisie!D275</f>
        <v>0</v>
      </c>
      <c r="F275" s="51">
        <f t="shared" si="17"/>
        <v>0</v>
      </c>
      <c r="G275" s="52"/>
    </row>
    <row r="276" spans="1:8" s="8" customFormat="1" ht="13.2" x14ac:dyDescent="0.25">
      <c r="A276" s="201" t="s">
        <v>1421</v>
      </c>
      <c r="B276" s="216" t="s">
        <v>1418</v>
      </c>
      <c r="C276" s="217" t="s">
        <v>1011</v>
      </c>
      <c r="D276" s="53">
        <v>0</v>
      </c>
      <c r="E276" s="121">
        <f>Saisie!D276</f>
        <v>0</v>
      </c>
      <c r="F276" s="51">
        <f t="shared" si="17"/>
        <v>0</v>
      </c>
      <c r="G276" s="52"/>
    </row>
    <row r="277" spans="1:8" s="8" customFormat="1" ht="13.2" x14ac:dyDescent="0.25">
      <c r="A277" s="201" t="s">
        <v>1423</v>
      </c>
      <c r="B277" s="216" t="s">
        <v>1420</v>
      </c>
      <c r="C277" s="217" t="s">
        <v>1011</v>
      </c>
      <c r="D277" s="53">
        <v>0</v>
      </c>
      <c r="E277" s="121">
        <f>Saisie!D277</f>
        <v>0</v>
      </c>
      <c r="F277" s="51">
        <f t="shared" si="17"/>
        <v>0</v>
      </c>
      <c r="G277" s="52"/>
      <c r="H277" s="79"/>
    </row>
    <row r="278" spans="1:8" s="266" customFormat="1" ht="13.2" x14ac:dyDescent="0.25">
      <c r="A278" s="201" t="s">
        <v>1425</v>
      </c>
      <c r="B278" s="250" t="s">
        <v>4388</v>
      </c>
      <c r="C278" s="217" t="s">
        <v>1011</v>
      </c>
      <c r="D278" s="53">
        <v>0</v>
      </c>
      <c r="E278" s="121">
        <f>Saisie!D278</f>
        <v>0</v>
      </c>
      <c r="F278" s="51">
        <f t="shared" ref="F278:F280" si="22">E278*D278</f>
        <v>0</v>
      </c>
      <c r="G278" s="267"/>
      <c r="H278" s="269"/>
    </row>
    <row r="279" spans="1:8" s="266" customFormat="1" ht="26.4" x14ac:dyDescent="0.25">
      <c r="A279" s="201" t="s">
        <v>1427</v>
      </c>
      <c r="B279" s="250" t="s">
        <v>4387</v>
      </c>
      <c r="C279" s="217" t="s">
        <v>1011</v>
      </c>
      <c r="D279" s="53">
        <v>0</v>
      </c>
      <c r="E279" s="121">
        <f>Saisie!D279</f>
        <v>0</v>
      </c>
      <c r="F279" s="51">
        <f t="shared" si="22"/>
        <v>0</v>
      </c>
      <c r="G279" s="267"/>
      <c r="H279" s="269"/>
    </row>
    <row r="280" spans="1:8" s="266" customFormat="1" ht="13.2" x14ac:dyDescent="0.25">
      <c r="A280" s="201" t="s">
        <v>1429</v>
      </c>
      <c r="B280" s="250" t="s">
        <v>4386</v>
      </c>
      <c r="C280" s="217" t="s">
        <v>1011</v>
      </c>
      <c r="D280" s="53">
        <v>0</v>
      </c>
      <c r="E280" s="121">
        <f>Saisie!D280</f>
        <v>0</v>
      </c>
      <c r="F280" s="51">
        <f t="shared" si="22"/>
        <v>0</v>
      </c>
      <c r="G280" s="267"/>
      <c r="H280" s="269"/>
    </row>
    <row r="281" spans="1:8" s="8" customFormat="1" ht="13.2" x14ac:dyDescent="0.25">
      <c r="A281" s="201" t="s">
        <v>1431</v>
      </c>
      <c r="B281" s="253" t="s">
        <v>1422</v>
      </c>
      <c r="C281" s="217" t="s">
        <v>1011</v>
      </c>
      <c r="D281" s="53">
        <v>0</v>
      </c>
      <c r="E281" s="121">
        <f>Saisie!D281</f>
        <v>0</v>
      </c>
      <c r="F281" s="51">
        <f>E281*D281</f>
        <v>0</v>
      </c>
      <c r="G281" s="52"/>
      <c r="H281" s="79"/>
    </row>
    <row r="282" spans="1:8" s="19" customFormat="1" ht="13.2" x14ac:dyDescent="0.25">
      <c r="A282" s="201" t="s">
        <v>1433</v>
      </c>
      <c r="B282" s="216" t="s">
        <v>1424</v>
      </c>
      <c r="C282" s="217" t="s">
        <v>1011</v>
      </c>
      <c r="D282" s="53">
        <v>0</v>
      </c>
      <c r="E282" s="121">
        <f>Saisie!D282</f>
        <v>0</v>
      </c>
      <c r="F282" s="51">
        <f t="shared" si="17"/>
        <v>0</v>
      </c>
    </row>
    <row r="283" spans="1:8" s="8" customFormat="1" ht="13.2" x14ac:dyDescent="0.25">
      <c r="A283" s="201" t="s">
        <v>1435</v>
      </c>
      <c r="B283" s="216" t="s">
        <v>1426</v>
      </c>
      <c r="C283" s="217" t="s">
        <v>1011</v>
      </c>
      <c r="D283" s="53">
        <v>0</v>
      </c>
      <c r="E283" s="121">
        <f>Saisie!D283</f>
        <v>0</v>
      </c>
      <c r="F283" s="51">
        <f t="shared" si="17"/>
        <v>0</v>
      </c>
      <c r="G283" s="52"/>
    </row>
    <row r="284" spans="1:8" s="2" customFormat="1" ht="13.2" x14ac:dyDescent="0.25">
      <c r="A284" s="201" t="s">
        <v>1437</v>
      </c>
      <c r="B284" s="216" t="s">
        <v>1428</v>
      </c>
      <c r="C284" s="217" t="s">
        <v>1011</v>
      </c>
      <c r="D284" s="53">
        <v>0</v>
      </c>
      <c r="E284" s="121">
        <f>Saisie!D284</f>
        <v>0</v>
      </c>
      <c r="F284" s="51">
        <f t="shared" si="17"/>
        <v>0</v>
      </c>
      <c r="G284" s="52"/>
    </row>
    <row r="285" spans="1:8" s="2" customFormat="1" ht="13.2" x14ac:dyDescent="0.25">
      <c r="A285" s="201" t="s">
        <v>1439</v>
      </c>
      <c r="B285" s="192" t="s">
        <v>1430</v>
      </c>
      <c r="C285" s="217" t="s">
        <v>1011</v>
      </c>
      <c r="D285" s="53">
        <v>0</v>
      </c>
      <c r="E285" s="121">
        <f>Saisie!D285</f>
        <v>0</v>
      </c>
      <c r="F285" s="51">
        <f>E285*D285</f>
        <v>0</v>
      </c>
      <c r="G285" s="52"/>
    </row>
    <row r="286" spans="1:8" s="2" customFormat="1" ht="13.2" x14ac:dyDescent="0.25">
      <c r="A286" s="201" t="s">
        <v>1441</v>
      </c>
      <c r="B286" s="192" t="s">
        <v>1432</v>
      </c>
      <c r="C286" s="217" t="s">
        <v>1011</v>
      </c>
      <c r="D286" s="53">
        <v>0</v>
      </c>
      <c r="E286" s="121">
        <f>Saisie!D286</f>
        <v>0</v>
      </c>
      <c r="F286" s="51">
        <f>E286*D286</f>
        <v>0</v>
      </c>
      <c r="G286" s="52"/>
    </row>
    <row r="287" spans="1:8" s="2" customFormat="1" ht="13.2" x14ac:dyDescent="0.25">
      <c r="A287" s="201" t="s">
        <v>1443</v>
      </c>
      <c r="B287" s="192" t="s">
        <v>1434</v>
      </c>
      <c r="C287" s="217" t="s">
        <v>1011</v>
      </c>
      <c r="D287" s="53">
        <v>0</v>
      </c>
      <c r="E287" s="121">
        <f>Saisie!D287</f>
        <v>0</v>
      </c>
      <c r="F287" s="51">
        <f>E287*D287</f>
        <v>0</v>
      </c>
      <c r="G287" s="52"/>
    </row>
    <row r="288" spans="1:8" s="8" customFormat="1" ht="13.2" x14ac:dyDescent="0.25">
      <c r="A288" s="201" t="s">
        <v>1445</v>
      </c>
      <c r="B288" s="216" t="s">
        <v>1436</v>
      </c>
      <c r="C288" s="217" t="s">
        <v>1034</v>
      </c>
      <c r="D288" s="53">
        <v>0</v>
      </c>
      <c r="E288" s="121">
        <f>Saisie!D288</f>
        <v>0</v>
      </c>
      <c r="F288" s="51">
        <f t="shared" si="17"/>
        <v>0</v>
      </c>
      <c r="G288" s="45"/>
    </row>
    <row r="289" spans="1:7" s="8" customFormat="1" ht="13.2" x14ac:dyDescent="0.25">
      <c r="A289" s="201" t="s">
        <v>1447</v>
      </c>
      <c r="B289" s="216" t="s">
        <v>1438</v>
      </c>
      <c r="C289" s="217" t="s">
        <v>1034</v>
      </c>
      <c r="D289" s="53">
        <v>0</v>
      </c>
      <c r="E289" s="121">
        <f>Saisie!D289</f>
        <v>0</v>
      </c>
      <c r="F289" s="51">
        <f t="shared" si="17"/>
        <v>0</v>
      </c>
      <c r="G289" s="52"/>
    </row>
    <row r="290" spans="1:7" s="8" customFormat="1" ht="13.2" x14ac:dyDescent="0.25">
      <c r="A290" s="201" t="s">
        <v>1449</v>
      </c>
      <c r="B290" s="216" t="s">
        <v>1440</v>
      </c>
      <c r="C290" s="217" t="s">
        <v>1034</v>
      </c>
      <c r="D290" s="53">
        <v>0</v>
      </c>
      <c r="E290" s="121">
        <f>Saisie!D290</f>
        <v>0</v>
      </c>
      <c r="F290" s="51">
        <f t="shared" si="17"/>
        <v>0</v>
      </c>
      <c r="G290" s="52"/>
    </row>
    <row r="291" spans="1:7" s="266" customFormat="1" ht="13.2" x14ac:dyDescent="0.25">
      <c r="A291" s="201" t="s">
        <v>1451</v>
      </c>
      <c r="B291" s="250" t="s">
        <v>4378</v>
      </c>
      <c r="C291" s="217" t="s">
        <v>1034</v>
      </c>
      <c r="D291" s="53">
        <v>0</v>
      </c>
      <c r="E291" s="121">
        <f>Saisie!D291</f>
        <v>0</v>
      </c>
      <c r="F291" s="51">
        <f t="shared" ref="F291:F295" si="23">E291*D291</f>
        <v>0</v>
      </c>
      <c r="G291" s="267"/>
    </row>
    <row r="292" spans="1:7" s="266" customFormat="1" ht="13.2" x14ac:dyDescent="0.25">
      <c r="A292" s="201" t="s">
        <v>1453</v>
      </c>
      <c r="B292" s="250" t="s">
        <v>4380</v>
      </c>
      <c r="C292" s="217" t="s">
        <v>1034</v>
      </c>
      <c r="D292" s="53">
        <v>0</v>
      </c>
      <c r="E292" s="121">
        <f>Saisie!D292</f>
        <v>0</v>
      </c>
      <c r="F292" s="51">
        <f t="shared" si="23"/>
        <v>0</v>
      </c>
      <c r="G292" s="267"/>
    </row>
    <row r="293" spans="1:7" s="266" customFormat="1" ht="13.2" x14ac:dyDescent="0.25">
      <c r="A293" s="201" t="s">
        <v>1455</v>
      </c>
      <c r="B293" s="250" t="s">
        <v>4391</v>
      </c>
      <c r="C293" s="217" t="s">
        <v>1034</v>
      </c>
      <c r="D293" s="53">
        <v>0</v>
      </c>
      <c r="E293" s="121">
        <f>Saisie!D293</f>
        <v>0</v>
      </c>
      <c r="F293" s="51">
        <f t="shared" si="23"/>
        <v>0</v>
      </c>
      <c r="G293" s="267"/>
    </row>
    <row r="294" spans="1:7" s="266" customFormat="1" ht="13.2" x14ac:dyDescent="0.25">
      <c r="A294" s="201" t="s">
        <v>1457</v>
      </c>
      <c r="B294" s="250" t="s">
        <v>4381</v>
      </c>
      <c r="C294" s="217" t="s">
        <v>1034</v>
      </c>
      <c r="D294" s="53">
        <v>0</v>
      </c>
      <c r="E294" s="121">
        <f>Saisie!D294</f>
        <v>0</v>
      </c>
      <c r="F294" s="51">
        <f t="shared" si="23"/>
        <v>0</v>
      </c>
      <c r="G294" s="267"/>
    </row>
    <row r="295" spans="1:7" s="266" customFormat="1" ht="13.2" x14ac:dyDescent="0.25">
      <c r="A295" s="201" t="s">
        <v>1459</v>
      </c>
      <c r="B295" s="250" t="s">
        <v>4382</v>
      </c>
      <c r="C295" s="217" t="s">
        <v>1034</v>
      </c>
      <c r="D295" s="53">
        <v>0</v>
      </c>
      <c r="E295" s="121">
        <f>Saisie!D295</f>
        <v>0</v>
      </c>
      <c r="F295" s="51">
        <f t="shared" si="23"/>
        <v>0</v>
      </c>
      <c r="G295" s="267"/>
    </row>
    <row r="296" spans="1:7" s="8" customFormat="1" ht="13.2" x14ac:dyDescent="0.25">
      <c r="A296" s="201" t="s">
        <v>1461</v>
      </c>
      <c r="B296" s="216" t="s">
        <v>1442</v>
      </c>
      <c r="C296" s="217" t="s">
        <v>1034</v>
      </c>
      <c r="D296" s="53">
        <v>0</v>
      </c>
      <c r="E296" s="121">
        <f>Saisie!D296</f>
        <v>0</v>
      </c>
      <c r="F296" s="51">
        <f t="shared" si="17"/>
        <v>0</v>
      </c>
      <c r="G296" s="52"/>
    </row>
    <row r="297" spans="1:7" s="266" customFormat="1" ht="13.2" x14ac:dyDescent="0.25">
      <c r="A297" s="201" t="s">
        <v>1463</v>
      </c>
      <c r="B297" s="250" t="s">
        <v>4359</v>
      </c>
      <c r="C297" s="217" t="s">
        <v>1034</v>
      </c>
      <c r="D297" s="53">
        <v>0</v>
      </c>
      <c r="E297" s="121">
        <f>Saisie!D297</f>
        <v>0</v>
      </c>
      <c r="F297" s="51">
        <f t="shared" ref="F297:F300" si="24">E297*D297</f>
        <v>0</v>
      </c>
      <c r="G297" s="267"/>
    </row>
    <row r="298" spans="1:7" s="266" customFormat="1" ht="13.2" x14ac:dyDescent="0.25">
      <c r="A298" s="201" t="s">
        <v>1465</v>
      </c>
      <c r="B298" s="250" t="s">
        <v>4360</v>
      </c>
      <c r="C298" s="217" t="s">
        <v>1034</v>
      </c>
      <c r="D298" s="53">
        <v>0</v>
      </c>
      <c r="E298" s="121">
        <f>Saisie!D298</f>
        <v>0</v>
      </c>
      <c r="F298" s="51">
        <f t="shared" si="24"/>
        <v>0</v>
      </c>
      <c r="G298" s="267"/>
    </row>
    <row r="299" spans="1:7" s="266" customFormat="1" ht="13.2" x14ac:dyDescent="0.25">
      <c r="A299" s="201" t="s">
        <v>1467</v>
      </c>
      <c r="B299" s="250" t="s">
        <v>4383</v>
      </c>
      <c r="C299" s="217" t="s">
        <v>1034</v>
      </c>
      <c r="D299" s="53">
        <v>0</v>
      </c>
      <c r="E299" s="121">
        <f>Saisie!D299</f>
        <v>0</v>
      </c>
      <c r="F299" s="51">
        <f t="shared" si="24"/>
        <v>0</v>
      </c>
      <c r="G299" s="267"/>
    </row>
    <row r="300" spans="1:7" s="266" customFormat="1" ht="13.2" x14ac:dyDescent="0.25">
      <c r="A300" s="201" t="s">
        <v>1469</v>
      </c>
      <c r="B300" s="250" t="s">
        <v>4384</v>
      </c>
      <c r="C300" s="217" t="s">
        <v>1034</v>
      </c>
      <c r="D300" s="53">
        <v>0</v>
      </c>
      <c r="E300" s="121">
        <f>Saisie!D300</f>
        <v>0</v>
      </c>
      <c r="F300" s="51">
        <f t="shared" si="24"/>
        <v>0</v>
      </c>
      <c r="G300" s="267"/>
    </row>
    <row r="301" spans="1:7" s="8" customFormat="1" ht="13.2" x14ac:dyDescent="0.25">
      <c r="A301" s="201" t="s">
        <v>1471</v>
      </c>
      <c r="B301" s="216" t="s">
        <v>1444</v>
      </c>
      <c r="C301" s="217" t="s">
        <v>1034</v>
      </c>
      <c r="D301" s="53">
        <v>0</v>
      </c>
      <c r="E301" s="121">
        <f>Saisie!D301</f>
        <v>0</v>
      </c>
      <c r="F301" s="51">
        <f t="shared" si="17"/>
        <v>0</v>
      </c>
      <c r="G301" s="52"/>
    </row>
    <row r="302" spans="1:7" s="8" customFormat="1" ht="13.2" x14ac:dyDescent="0.25">
      <c r="A302" s="201" t="s">
        <v>1473</v>
      </c>
      <c r="B302" s="216" t="s">
        <v>1446</v>
      </c>
      <c r="C302" s="217" t="s">
        <v>1034</v>
      </c>
      <c r="D302" s="53">
        <v>0</v>
      </c>
      <c r="E302" s="121">
        <f>Saisie!D302</f>
        <v>0</v>
      </c>
      <c r="F302" s="51">
        <f t="shared" si="17"/>
        <v>0</v>
      </c>
      <c r="G302" s="52"/>
    </row>
    <row r="303" spans="1:7" s="8" customFormat="1" ht="13.2" x14ac:dyDescent="0.25">
      <c r="A303" s="201" t="s">
        <v>1475</v>
      </c>
      <c r="B303" s="255" t="s">
        <v>1448</v>
      </c>
      <c r="C303" s="217" t="s">
        <v>1034</v>
      </c>
      <c r="D303" s="53">
        <v>0</v>
      </c>
      <c r="E303" s="121">
        <f>Saisie!D303</f>
        <v>0</v>
      </c>
      <c r="F303" s="51">
        <f>E303*D303</f>
        <v>0</v>
      </c>
      <c r="G303" s="52"/>
    </row>
    <row r="304" spans="1:7" s="8" customFormat="1" ht="13.2" x14ac:dyDescent="0.25">
      <c r="A304" s="201" t="s">
        <v>4363</v>
      </c>
      <c r="B304" s="255" t="s">
        <v>1450</v>
      </c>
      <c r="C304" s="217" t="s">
        <v>1034</v>
      </c>
      <c r="D304" s="53">
        <v>0</v>
      </c>
      <c r="E304" s="121">
        <f>Saisie!D304</f>
        <v>0</v>
      </c>
      <c r="F304" s="51">
        <f>E304*D304</f>
        <v>0</v>
      </c>
      <c r="G304" s="52"/>
    </row>
    <row r="305" spans="1:7" s="266" customFormat="1" ht="13.2" x14ac:dyDescent="0.25">
      <c r="A305" s="201" t="s">
        <v>4364</v>
      </c>
      <c r="B305" s="276" t="s">
        <v>4361</v>
      </c>
      <c r="C305" s="217" t="s">
        <v>1034</v>
      </c>
      <c r="D305" s="53">
        <v>0</v>
      </c>
      <c r="E305" s="121">
        <f>Saisie!D305</f>
        <v>0</v>
      </c>
      <c r="F305" s="51">
        <f>E305*D305</f>
        <v>0</v>
      </c>
      <c r="G305" s="267"/>
    </row>
    <row r="306" spans="1:7" s="8" customFormat="1" ht="13.2" x14ac:dyDescent="0.25">
      <c r="A306" s="201" t="s">
        <v>4365</v>
      </c>
      <c r="B306" s="216" t="s">
        <v>4324</v>
      </c>
      <c r="C306" s="217" t="s">
        <v>1011</v>
      </c>
      <c r="D306" s="53">
        <v>0</v>
      </c>
      <c r="E306" s="121">
        <f>Saisie!D306</f>
        <v>0</v>
      </c>
      <c r="F306" s="51">
        <f t="shared" si="17"/>
        <v>0</v>
      </c>
      <c r="G306" s="52"/>
    </row>
    <row r="307" spans="1:7" s="8" customFormat="1" ht="13.2" x14ac:dyDescent="0.25">
      <c r="A307" s="201" t="s">
        <v>4366</v>
      </c>
      <c r="B307" s="216" t="s">
        <v>1454</v>
      </c>
      <c r="C307" s="217" t="s">
        <v>1011</v>
      </c>
      <c r="D307" s="53">
        <v>0</v>
      </c>
      <c r="E307" s="121">
        <f>Saisie!D307</f>
        <v>0</v>
      </c>
      <c r="F307" s="51">
        <f t="shared" si="17"/>
        <v>0</v>
      </c>
      <c r="G307" s="52"/>
    </row>
    <row r="308" spans="1:7" s="8" customFormat="1" ht="13.2" x14ac:dyDescent="0.25">
      <c r="A308" s="201" t="s">
        <v>4367</v>
      </c>
      <c r="B308" s="216" t="s">
        <v>1456</v>
      </c>
      <c r="C308" s="217" t="s">
        <v>1011</v>
      </c>
      <c r="D308" s="53">
        <v>0</v>
      </c>
      <c r="E308" s="121">
        <f>Saisie!D308</f>
        <v>0</v>
      </c>
      <c r="F308" s="51">
        <f>E308*D308</f>
        <v>0</v>
      </c>
      <c r="G308" s="52"/>
    </row>
    <row r="309" spans="1:7" s="8" customFormat="1" ht="13.2" x14ac:dyDescent="0.25">
      <c r="A309" s="201" t="s">
        <v>4368</v>
      </c>
      <c r="B309" s="216" t="s">
        <v>1458</v>
      </c>
      <c r="C309" s="217" t="s">
        <v>1011</v>
      </c>
      <c r="D309" s="53">
        <v>0</v>
      </c>
      <c r="E309" s="121">
        <f>Saisie!D309</f>
        <v>0</v>
      </c>
      <c r="F309" s="51">
        <f>E309*D309</f>
        <v>0</v>
      </c>
      <c r="G309" s="52"/>
    </row>
    <row r="310" spans="1:7" s="8" customFormat="1" ht="13.2" x14ac:dyDescent="0.25">
      <c r="A310" s="201" t="s">
        <v>4369</v>
      </c>
      <c r="B310" s="216" t="s">
        <v>1460</v>
      </c>
      <c r="C310" s="217" t="s">
        <v>1011</v>
      </c>
      <c r="D310" s="53">
        <v>0</v>
      </c>
      <c r="E310" s="121">
        <f>Saisie!D310</f>
        <v>0</v>
      </c>
      <c r="F310" s="51">
        <f t="shared" si="17"/>
        <v>0</v>
      </c>
      <c r="G310" s="52"/>
    </row>
    <row r="311" spans="1:7" s="19" customFormat="1" ht="13.2" x14ac:dyDescent="0.25">
      <c r="A311" s="201" t="s">
        <v>4370</v>
      </c>
      <c r="B311" s="216" t="s">
        <v>1462</v>
      </c>
      <c r="C311" s="217" t="s">
        <v>1011</v>
      </c>
      <c r="D311" s="53">
        <v>0</v>
      </c>
      <c r="E311" s="121">
        <f>Saisie!D311</f>
        <v>0</v>
      </c>
      <c r="F311" s="51">
        <f t="shared" si="17"/>
        <v>0</v>
      </c>
    </row>
    <row r="312" spans="1:7" s="270" customFormat="1" ht="26.4" x14ac:dyDescent="0.25">
      <c r="A312" s="201" t="s">
        <v>4371</v>
      </c>
      <c r="B312" s="250" t="s">
        <v>4385</v>
      </c>
      <c r="C312" s="217" t="s">
        <v>1011</v>
      </c>
      <c r="D312" s="53">
        <v>0</v>
      </c>
      <c r="E312" s="121">
        <f>Saisie!D312</f>
        <v>0</v>
      </c>
      <c r="F312" s="51">
        <f t="shared" ref="F312" si="25">E312*D312</f>
        <v>0</v>
      </c>
    </row>
    <row r="313" spans="1:7" s="19" customFormat="1" ht="13.2" x14ac:dyDescent="0.25">
      <c r="A313" s="201" t="s">
        <v>4372</v>
      </c>
      <c r="B313" s="216" t="s">
        <v>1464</v>
      </c>
      <c r="C313" s="217" t="s">
        <v>1034</v>
      </c>
      <c r="D313" s="53">
        <v>0</v>
      </c>
      <c r="E313" s="121">
        <f>Saisie!D313</f>
        <v>0</v>
      </c>
      <c r="F313" s="51">
        <f t="shared" ref="F313:F318" si="26">E313*D313</f>
        <v>0</v>
      </c>
    </row>
    <row r="314" spans="1:7" s="19" customFormat="1" ht="13.2" x14ac:dyDescent="0.25">
      <c r="A314" s="201" t="s">
        <v>4373</v>
      </c>
      <c r="B314" s="216" t="s">
        <v>1466</v>
      </c>
      <c r="C314" s="217" t="s">
        <v>1011</v>
      </c>
      <c r="D314" s="53">
        <v>0</v>
      </c>
      <c r="E314" s="121">
        <f>Saisie!D314</f>
        <v>0</v>
      </c>
      <c r="F314" s="51">
        <f t="shared" si="26"/>
        <v>0</v>
      </c>
    </row>
    <row r="315" spans="1:7" s="19" customFormat="1" ht="13.2" x14ac:dyDescent="0.25">
      <c r="A315" s="201" t="s">
        <v>4374</v>
      </c>
      <c r="B315" s="223" t="s">
        <v>1468</v>
      </c>
      <c r="C315" s="217" t="s">
        <v>1034</v>
      </c>
      <c r="D315" s="53">
        <v>0</v>
      </c>
      <c r="E315" s="121">
        <f>Saisie!D315</f>
        <v>0</v>
      </c>
      <c r="F315" s="51">
        <f t="shared" si="26"/>
        <v>0</v>
      </c>
    </row>
    <row r="316" spans="1:7" s="8" customFormat="1" ht="13.2" x14ac:dyDescent="0.25">
      <c r="A316" s="201" t="s">
        <v>4375</v>
      </c>
      <c r="B316" s="216" t="s">
        <v>1470</v>
      </c>
      <c r="C316" s="217" t="s">
        <v>1011</v>
      </c>
      <c r="D316" s="53">
        <v>0</v>
      </c>
      <c r="E316" s="121">
        <f>Saisie!D316</f>
        <v>0</v>
      </c>
      <c r="F316" s="51">
        <f t="shared" si="26"/>
        <v>0</v>
      </c>
      <c r="G316" s="52"/>
    </row>
    <row r="317" spans="1:7" s="8" customFormat="1" ht="13.2" x14ac:dyDescent="0.25">
      <c r="A317" s="201" t="s">
        <v>4376</v>
      </c>
      <c r="B317" s="192" t="s">
        <v>1472</v>
      </c>
      <c r="C317" s="217" t="s">
        <v>1011</v>
      </c>
      <c r="D317" s="53">
        <v>0</v>
      </c>
      <c r="E317" s="121">
        <f>Saisie!D317</f>
        <v>0</v>
      </c>
      <c r="F317" s="51">
        <f t="shared" si="26"/>
        <v>0</v>
      </c>
      <c r="G317" s="52"/>
    </row>
    <row r="318" spans="1:7" s="8" customFormat="1" ht="13.2" x14ac:dyDescent="0.25">
      <c r="A318" s="201" t="s">
        <v>4377</v>
      </c>
      <c r="B318" s="192" t="s">
        <v>4325</v>
      </c>
      <c r="C318" s="217" t="s">
        <v>1011</v>
      </c>
      <c r="D318" s="53">
        <v>0</v>
      </c>
      <c r="E318" s="121">
        <f>Saisie!D318</f>
        <v>0</v>
      </c>
      <c r="F318" s="51">
        <f t="shared" si="26"/>
        <v>0</v>
      </c>
      <c r="G318" s="52"/>
    </row>
    <row r="319" spans="1:7" s="43" customFormat="1" ht="13.2" x14ac:dyDescent="0.25">
      <c r="A319" s="201" t="s">
        <v>4392</v>
      </c>
      <c r="B319" s="216" t="s">
        <v>1476</v>
      </c>
      <c r="C319" s="217"/>
      <c r="D319" s="45"/>
      <c r="E319" s="121"/>
      <c r="F319" s="51"/>
      <c r="G319" s="45"/>
    </row>
    <row r="320" spans="1:7" s="43" customFormat="1" ht="27.75" customHeight="1" x14ac:dyDescent="0.25">
      <c r="A320" s="124" t="s">
        <v>4393</v>
      </c>
      <c r="B320" s="125" t="s">
        <v>1477</v>
      </c>
      <c r="C320" s="217" t="s">
        <v>1141</v>
      </c>
      <c r="D320" s="53">
        <v>0</v>
      </c>
      <c r="E320" s="121">
        <f>Saisie!D320</f>
        <v>0</v>
      </c>
      <c r="F320" s="51">
        <f>E320*D320</f>
        <v>0</v>
      </c>
      <c r="G320" s="52"/>
    </row>
    <row r="321" spans="1:7" s="43" customFormat="1" ht="13.2" x14ac:dyDescent="0.25">
      <c r="A321" s="124" t="s">
        <v>4394</v>
      </c>
      <c r="B321" s="125" t="s">
        <v>1478</v>
      </c>
      <c r="C321" s="217" t="s">
        <v>1141</v>
      </c>
      <c r="D321" s="53">
        <v>0</v>
      </c>
      <c r="E321" s="121">
        <f>Saisie!D321</f>
        <v>0</v>
      </c>
      <c r="F321" s="51">
        <f>E321*D321</f>
        <v>0</v>
      </c>
      <c r="G321" s="52"/>
    </row>
    <row r="322" spans="1:7" s="43" customFormat="1" ht="13.2" x14ac:dyDescent="0.25">
      <c r="A322" s="78" t="s">
        <v>1479</v>
      </c>
      <c r="B322" s="244" t="s">
        <v>1480</v>
      </c>
      <c r="C322" s="217" t="s">
        <v>1034</v>
      </c>
      <c r="D322" s="53">
        <v>0</v>
      </c>
      <c r="E322" s="121">
        <f>Saisie!D322</f>
        <v>0</v>
      </c>
      <c r="F322" s="51">
        <f>E322*D322</f>
        <v>0</v>
      </c>
      <c r="G322" s="52"/>
    </row>
    <row r="323" spans="1:7" s="43" customFormat="1" ht="13.2" x14ac:dyDescent="0.25">
      <c r="A323" s="78" t="s">
        <v>1481</v>
      </c>
      <c r="B323" s="3" t="s">
        <v>1482</v>
      </c>
      <c r="C323" s="217"/>
      <c r="D323" s="53"/>
      <c r="E323" s="121"/>
      <c r="F323" s="51"/>
      <c r="G323" s="52"/>
    </row>
    <row r="324" spans="1:7" s="43" customFormat="1" ht="13.2" x14ac:dyDescent="0.25">
      <c r="A324" s="201" t="s">
        <v>1483</v>
      </c>
      <c r="B324" s="125" t="s">
        <v>1484</v>
      </c>
      <c r="C324" s="217" t="s">
        <v>1034</v>
      </c>
      <c r="D324" s="53">
        <v>0</v>
      </c>
      <c r="E324" s="121">
        <f>Saisie!D324</f>
        <v>0</v>
      </c>
      <c r="F324" s="51">
        <f>E324*D324</f>
        <v>0</v>
      </c>
      <c r="G324" s="52"/>
    </row>
    <row r="325" spans="1:7" s="43" customFormat="1" ht="13.2" x14ac:dyDescent="0.25">
      <c r="A325" s="201" t="s">
        <v>1485</v>
      </c>
      <c r="B325" s="125" t="s">
        <v>1486</v>
      </c>
      <c r="C325" s="217" t="s">
        <v>1034</v>
      </c>
      <c r="D325" s="53">
        <v>0</v>
      </c>
      <c r="E325" s="121">
        <f>Saisie!D325</f>
        <v>0</v>
      </c>
      <c r="F325" s="51">
        <f>E325*D325</f>
        <v>0</v>
      </c>
      <c r="G325" s="52"/>
    </row>
    <row r="326" spans="1:7" s="43" customFormat="1" ht="13.2" x14ac:dyDescent="0.25">
      <c r="A326" s="201" t="s">
        <v>1487</v>
      </c>
      <c r="B326" s="125" t="s">
        <v>1488</v>
      </c>
      <c r="C326" s="217" t="s">
        <v>1034</v>
      </c>
      <c r="D326" s="53">
        <v>0</v>
      </c>
      <c r="E326" s="121">
        <f>Saisie!D326</f>
        <v>0</v>
      </c>
      <c r="F326" s="51">
        <f>E326*D326</f>
        <v>0</v>
      </c>
      <c r="G326" s="52"/>
    </row>
    <row r="327" spans="1:7" s="43" customFormat="1" ht="13.2" x14ac:dyDescent="0.25">
      <c r="A327" s="201" t="s">
        <v>1489</v>
      </c>
      <c r="B327" s="125" t="s">
        <v>1490</v>
      </c>
      <c r="C327" s="217" t="s">
        <v>1034</v>
      </c>
      <c r="D327" s="53">
        <v>0</v>
      </c>
      <c r="E327" s="121">
        <f>Saisie!D327</f>
        <v>0</v>
      </c>
      <c r="F327" s="51">
        <f>E327*D327</f>
        <v>0</v>
      </c>
      <c r="G327" s="52"/>
    </row>
    <row r="328" spans="1:7" s="43" customFormat="1" ht="13.2" x14ac:dyDescent="0.25">
      <c r="A328" s="82" t="s">
        <v>1491</v>
      </c>
      <c r="B328" s="3" t="s">
        <v>1492</v>
      </c>
      <c r="C328" s="217" t="s">
        <v>1011</v>
      </c>
      <c r="D328" s="53">
        <v>0</v>
      </c>
      <c r="E328" s="121">
        <f>Saisie!D328</f>
        <v>0</v>
      </c>
      <c r="F328" s="51">
        <f>E328*D328</f>
        <v>0</v>
      </c>
      <c r="G328" s="52"/>
    </row>
    <row r="329" spans="1:7" s="43" customFormat="1" ht="13.2" x14ac:dyDescent="0.25">
      <c r="A329" s="78" t="s">
        <v>1493</v>
      </c>
      <c r="B329" s="4" t="s">
        <v>1494</v>
      </c>
      <c r="C329" s="217"/>
      <c r="D329" s="53"/>
      <c r="E329" s="121"/>
      <c r="F329" s="51"/>
      <c r="G329" s="52"/>
    </row>
    <row r="330" spans="1:7" s="43" customFormat="1" ht="13.2" x14ac:dyDescent="0.25">
      <c r="A330" s="201" t="s">
        <v>1495</v>
      </c>
      <c r="B330" s="223" t="s">
        <v>1496</v>
      </c>
      <c r="C330" s="217" t="s">
        <v>1011</v>
      </c>
      <c r="D330" s="53">
        <v>0</v>
      </c>
      <c r="E330" s="121">
        <f>Saisie!D330</f>
        <v>0</v>
      </c>
      <c r="F330" s="51">
        <f t="shared" ref="F330:F354" si="27">D330*E330</f>
        <v>0</v>
      </c>
      <c r="G330" s="52"/>
    </row>
    <row r="331" spans="1:7" s="43" customFormat="1" ht="13.2" x14ac:dyDescent="0.25">
      <c r="A331" s="201" t="s">
        <v>1497</v>
      </c>
      <c r="B331" s="223" t="s">
        <v>1498</v>
      </c>
      <c r="C331" s="217" t="s">
        <v>1011</v>
      </c>
      <c r="D331" s="53">
        <v>0</v>
      </c>
      <c r="E331" s="121">
        <f>Saisie!D331</f>
        <v>0</v>
      </c>
      <c r="F331" s="51">
        <f t="shared" si="27"/>
        <v>0</v>
      </c>
      <c r="G331" s="52"/>
    </row>
    <row r="332" spans="1:7" s="43" customFormat="1" ht="13.2" x14ac:dyDescent="0.25">
      <c r="A332" s="201" t="s">
        <v>1499</v>
      </c>
      <c r="B332" s="223" t="s">
        <v>1500</v>
      </c>
      <c r="C332" s="217" t="s">
        <v>1011</v>
      </c>
      <c r="D332" s="53">
        <v>0</v>
      </c>
      <c r="E332" s="121">
        <f>Saisie!D332</f>
        <v>0</v>
      </c>
      <c r="F332" s="51">
        <f t="shared" si="27"/>
        <v>0</v>
      </c>
      <c r="G332" s="52"/>
    </row>
    <row r="333" spans="1:7" s="8" customFormat="1" ht="13.2" x14ac:dyDescent="0.25">
      <c r="A333" s="201" t="s">
        <v>1501</v>
      </c>
      <c r="B333" s="223" t="s">
        <v>1502</v>
      </c>
      <c r="C333" s="217" t="s">
        <v>1011</v>
      </c>
      <c r="D333" s="53">
        <v>0</v>
      </c>
      <c r="E333" s="121">
        <f>Saisie!D333</f>
        <v>0</v>
      </c>
      <c r="F333" s="51">
        <f t="shared" si="27"/>
        <v>0</v>
      </c>
      <c r="G333" s="45"/>
    </row>
    <row r="334" spans="1:7" s="43" customFormat="1" ht="13.2" x14ac:dyDescent="0.25">
      <c r="A334" s="201" t="s">
        <v>1503</v>
      </c>
      <c r="B334" s="223" t="s">
        <v>1504</v>
      </c>
      <c r="C334" s="217" t="s">
        <v>1011</v>
      </c>
      <c r="D334" s="53">
        <v>0</v>
      </c>
      <c r="E334" s="121">
        <f>Saisie!D334</f>
        <v>0</v>
      </c>
      <c r="F334" s="51">
        <f t="shared" si="27"/>
        <v>0</v>
      </c>
      <c r="G334" s="76"/>
    </row>
    <row r="335" spans="1:7" s="43" customFormat="1" ht="13.2" x14ac:dyDescent="0.25">
      <c r="A335" s="201" t="s">
        <v>1505</v>
      </c>
      <c r="B335" s="223" t="s">
        <v>1506</v>
      </c>
      <c r="C335" s="217" t="s">
        <v>1011</v>
      </c>
      <c r="D335" s="53">
        <v>0</v>
      </c>
      <c r="E335" s="121">
        <f>Saisie!D335</f>
        <v>0</v>
      </c>
      <c r="F335" s="51">
        <f t="shared" si="27"/>
        <v>0</v>
      </c>
      <c r="G335" s="52"/>
    </row>
    <row r="336" spans="1:7" s="8" customFormat="1" ht="13.2" x14ac:dyDescent="0.25">
      <c r="A336" s="201" t="s">
        <v>1507</v>
      </c>
      <c r="B336" s="223" t="s">
        <v>1508</v>
      </c>
      <c r="C336" s="217" t="s">
        <v>1011</v>
      </c>
      <c r="D336" s="53">
        <v>0</v>
      </c>
      <c r="E336" s="121">
        <f>Saisie!D336</f>
        <v>0</v>
      </c>
      <c r="F336" s="51">
        <f t="shared" si="27"/>
        <v>0</v>
      </c>
      <c r="G336" s="45"/>
    </row>
    <row r="337" spans="1:7" s="43" customFormat="1" ht="13.2" x14ac:dyDescent="0.25">
      <c r="A337" s="201" t="s">
        <v>1509</v>
      </c>
      <c r="B337" s="223" t="s">
        <v>1510</v>
      </c>
      <c r="C337" s="217" t="s">
        <v>1011</v>
      </c>
      <c r="D337" s="53">
        <v>0</v>
      </c>
      <c r="E337" s="121">
        <f>Saisie!D337</f>
        <v>0</v>
      </c>
      <c r="F337" s="51">
        <f t="shared" si="27"/>
        <v>0</v>
      </c>
      <c r="G337" s="52"/>
    </row>
    <row r="338" spans="1:7" s="43" customFormat="1" ht="26.4" x14ac:dyDescent="0.25">
      <c r="A338" s="201" t="s">
        <v>1511</v>
      </c>
      <c r="B338" s="223" t="s">
        <v>1512</v>
      </c>
      <c r="C338" s="217" t="s">
        <v>1011</v>
      </c>
      <c r="D338" s="53">
        <v>0</v>
      </c>
      <c r="E338" s="121">
        <f>Saisie!D338</f>
        <v>0</v>
      </c>
      <c r="F338" s="51">
        <f t="shared" si="27"/>
        <v>0</v>
      </c>
      <c r="G338" s="52"/>
    </row>
    <row r="339" spans="1:7" s="43" customFormat="1" ht="13.2" x14ac:dyDescent="0.25">
      <c r="A339" s="201" t="s">
        <v>1513</v>
      </c>
      <c r="B339" s="223" t="s">
        <v>1514</v>
      </c>
      <c r="C339" s="217" t="s">
        <v>1011</v>
      </c>
      <c r="D339" s="53">
        <v>0</v>
      </c>
      <c r="E339" s="121">
        <f>Saisie!D339</f>
        <v>0</v>
      </c>
      <c r="F339" s="51">
        <f t="shared" si="27"/>
        <v>0</v>
      </c>
      <c r="G339" s="52"/>
    </row>
    <row r="340" spans="1:7" s="43" customFormat="1" ht="13.2" x14ac:dyDescent="0.25">
      <c r="A340" s="201" t="s">
        <v>1515</v>
      </c>
      <c r="B340" s="216" t="s">
        <v>1516</v>
      </c>
      <c r="C340" s="217" t="s">
        <v>1011</v>
      </c>
      <c r="D340" s="53">
        <v>0</v>
      </c>
      <c r="E340" s="121">
        <f>Saisie!D340</f>
        <v>0</v>
      </c>
      <c r="F340" s="51">
        <f t="shared" si="27"/>
        <v>0</v>
      </c>
      <c r="G340" s="52"/>
    </row>
    <row r="341" spans="1:7" s="43" customFormat="1" ht="13.2" x14ac:dyDescent="0.25">
      <c r="A341" s="201" t="s">
        <v>1517</v>
      </c>
      <c r="B341" s="216" t="s">
        <v>1518</v>
      </c>
      <c r="C341" s="217" t="s">
        <v>1011</v>
      </c>
      <c r="D341" s="53">
        <v>0</v>
      </c>
      <c r="E341" s="121">
        <f>Saisie!D341</f>
        <v>0</v>
      </c>
      <c r="F341" s="51">
        <f t="shared" si="27"/>
        <v>0</v>
      </c>
      <c r="G341" s="52"/>
    </row>
    <row r="342" spans="1:7" s="43" customFormat="1" ht="26.4" x14ac:dyDescent="0.25">
      <c r="A342" s="201" t="s">
        <v>1519</v>
      </c>
      <c r="B342" s="216" t="s">
        <v>1520</v>
      </c>
      <c r="C342" s="217" t="s">
        <v>1011</v>
      </c>
      <c r="D342" s="53">
        <v>0</v>
      </c>
      <c r="E342" s="121">
        <f>Saisie!D342</f>
        <v>0</v>
      </c>
      <c r="F342" s="51">
        <f t="shared" si="27"/>
        <v>0</v>
      </c>
      <c r="G342" s="52"/>
    </row>
    <row r="343" spans="1:7" s="43" customFormat="1" ht="13.2" x14ac:dyDescent="0.25">
      <c r="A343" s="78" t="s">
        <v>1521</v>
      </c>
      <c r="B343" s="6" t="s">
        <v>1522</v>
      </c>
      <c r="C343" s="217" t="s">
        <v>1141</v>
      </c>
      <c r="D343" s="53">
        <v>0</v>
      </c>
      <c r="E343" s="121">
        <f>Saisie!D343</f>
        <v>0</v>
      </c>
      <c r="F343" s="51">
        <f t="shared" si="27"/>
        <v>0</v>
      </c>
      <c r="G343" s="52"/>
    </row>
    <row r="344" spans="1:7" s="43" customFormat="1" ht="13.2" x14ac:dyDescent="0.25">
      <c r="A344" s="78" t="s">
        <v>1523</v>
      </c>
      <c r="B344" s="6" t="s">
        <v>1524</v>
      </c>
      <c r="C344" s="217"/>
      <c r="D344" s="45"/>
      <c r="E344" s="121"/>
      <c r="F344" s="51"/>
      <c r="G344" s="52"/>
    </row>
    <row r="345" spans="1:7" s="43" customFormat="1" ht="15.75" customHeight="1" x14ac:dyDescent="0.25">
      <c r="A345" s="201" t="s">
        <v>1525</v>
      </c>
      <c r="B345" s="223" t="s">
        <v>1526</v>
      </c>
      <c r="C345" s="217" t="s">
        <v>1141</v>
      </c>
      <c r="D345" s="53">
        <v>0</v>
      </c>
      <c r="E345" s="121">
        <f>Saisie!D345</f>
        <v>0</v>
      </c>
      <c r="F345" s="51">
        <f t="shared" si="27"/>
        <v>0</v>
      </c>
      <c r="G345" s="52"/>
    </row>
    <row r="346" spans="1:7" s="43" customFormat="1" ht="13.2" x14ac:dyDescent="0.25">
      <c r="A346" s="201" t="s">
        <v>1527</v>
      </c>
      <c r="B346" s="223" t="s">
        <v>1528</v>
      </c>
      <c r="C346" s="217" t="s">
        <v>1141</v>
      </c>
      <c r="D346" s="53">
        <v>0</v>
      </c>
      <c r="E346" s="121">
        <f>Saisie!D346</f>
        <v>0</v>
      </c>
      <c r="F346" s="51">
        <f t="shared" si="27"/>
        <v>0</v>
      </c>
      <c r="G346" s="52"/>
    </row>
    <row r="347" spans="1:7" s="43" customFormat="1" ht="26.4" x14ac:dyDescent="0.25">
      <c r="A347" s="78" t="s">
        <v>1529</v>
      </c>
      <c r="B347" s="6" t="s">
        <v>1531</v>
      </c>
      <c r="C347" s="217" t="s">
        <v>1141</v>
      </c>
      <c r="D347" s="53">
        <v>0</v>
      </c>
      <c r="E347" s="121">
        <f>Saisie!D347</f>
        <v>0</v>
      </c>
      <c r="F347" s="51">
        <f t="shared" ref="F347:F348" si="28">D347*E347</f>
        <v>0</v>
      </c>
      <c r="G347" s="52"/>
    </row>
    <row r="348" spans="1:7" s="43" customFormat="1" ht="26.4" x14ac:dyDescent="0.25">
      <c r="A348" s="78" t="s">
        <v>1530</v>
      </c>
      <c r="B348" s="6" t="s">
        <v>1533</v>
      </c>
      <c r="C348" s="217" t="s">
        <v>1141</v>
      </c>
      <c r="D348" s="53">
        <v>0</v>
      </c>
      <c r="E348" s="121">
        <f>Saisie!D348</f>
        <v>0</v>
      </c>
      <c r="F348" s="51">
        <f t="shared" si="28"/>
        <v>0</v>
      </c>
      <c r="G348" s="52"/>
    </row>
    <row r="349" spans="1:7" s="43" customFormat="1" ht="13.2" x14ac:dyDescent="0.25">
      <c r="A349" s="78" t="s">
        <v>1532</v>
      </c>
      <c r="B349" s="27" t="s">
        <v>1535</v>
      </c>
      <c r="C349" s="217" t="s">
        <v>1011</v>
      </c>
      <c r="D349" s="53">
        <v>0</v>
      </c>
      <c r="E349" s="121">
        <f>Saisie!D349</f>
        <v>0</v>
      </c>
      <c r="F349" s="51">
        <f>D349*E349</f>
        <v>0</v>
      </c>
      <c r="G349" s="52"/>
    </row>
    <row r="350" spans="1:7" s="43" customFormat="1" ht="13.2" x14ac:dyDescent="0.25">
      <c r="A350" s="78" t="s">
        <v>1534</v>
      </c>
      <c r="B350" s="3" t="s">
        <v>1537</v>
      </c>
      <c r="C350" s="217" t="s">
        <v>1034</v>
      </c>
      <c r="D350" s="53">
        <v>0</v>
      </c>
      <c r="E350" s="121">
        <f>Saisie!D350</f>
        <v>0</v>
      </c>
      <c r="F350" s="51">
        <f>D350*E350</f>
        <v>0</v>
      </c>
      <c r="G350" s="52"/>
    </row>
    <row r="351" spans="1:7" s="43" customFormat="1" ht="13.2" x14ac:dyDescent="0.25">
      <c r="A351" s="78" t="s">
        <v>1536</v>
      </c>
      <c r="B351" s="3" t="s">
        <v>1539</v>
      </c>
      <c r="C351" s="217" t="s">
        <v>1011</v>
      </c>
      <c r="D351" s="53">
        <v>0</v>
      </c>
      <c r="E351" s="121">
        <f>Saisie!D351</f>
        <v>0</v>
      </c>
      <c r="F351" s="51">
        <f>D351*E351</f>
        <v>0</v>
      </c>
      <c r="G351" s="52"/>
    </row>
    <row r="352" spans="1:7" s="43" customFormat="1" ht="13.2" x14ac:dyDescent="0.25">
      <c r="A352" s="78" t="s">
        <v>1538</v>
      </c>
      <c r="B352" s="6" t="s">
        <v>1541</v>
      </c>
      <c r="C352" s="217" t="s">
        <v>1011</v>
      </c>
      <c r="D352" s="53">
        <v>0</v>
      </c>
      <c r="E352" s="121">
        <f>Saisie!D352</f>
        <v>0</v>
      </c>
      <c r="F352" s="51">
        <f t="shared" si="27"/>
        <v>0</v>
      </c>
      <c r="G352" s="52"/>
    </row>
    <row r="353" spans="1:7" s="43" customFormat="1" ht="13.2" x14ac:dyDescent="0.25">
      <c r="A353" s="78" t="s">
        <v>1540</v>
      </c>
      <c r="B353" s="6" t="s">
        <v>1543</v>
      </c>
      <c r="C353" s="217" t="s">
        <v>1011</v>
      </c>
      <c r="D353" s="53">
        <v>0</v>
      </c>
      <c r="E353" s="121">
        <f>Saisie!D353</f>
        <v>0</v>
      </c>
      <c r="F353" s="51">
        <f t="shared" si="27"/>
        <v>0</v>
      </c>
      <c r="G353" s="52"/>
    </row>
    <row r="354" spans="1:7" s="43" customFormat="1" ht="13.2" x14ac:dyDescent="0.25">
      <c r="A354" s="78" t="s">
        <v>1542</v>
      </c>
      <c r="B354" s="6" t="s">
        <v>1545</v>
      </c>
      <c r="C354" s="217" t="s">
        <v>1011</v>
      </c>
      <c r="D354" s="53">
        <v>0</v>
      </c>
      <c r="E354" s="121">
        <f>Saisie!D354</f>
        <v>0</v>
      </c>
      <c r="F354" s="51">
        <f t="shared" si="27"/>
        <v>0</v>
      </c>
      <c r="G354" s="52"/>
    </row>
    <row r="355" spans="1:7" s="43" customFormat="1" ht="13.2" x14ac:dyDescent="0.25">
      <c r="A355" s="78" t="s">
        <v>1544</v>
      </c>
      <c r="B355" s="3" t="s">
        <v>1547</v>
      </c>
      <c r="C355" s="217" t="s">
        <v>1011</v>
      </c>
      <c r="D355" s="53">
        <v>0</v>
      </c>
      <c r="E355" s="121">
        <f>Saisie!D355</f>
        <v>0</v>
      </c>
      <c r="F355" s="51">
        <f>D355*E355</f>
        <v>0</v>
      </c>
      <c r="G355" s="52"/>
    </row>
    <row r="356" spans="1:7" s="43" customFormat="1" ht="13.2" x14ac:dyDescent="0.25">
      <c r="A356" s="78" t="s">
        <v>1546</v>
      </c>
      <c r="B356" s="3" t="s">
        <v>1548</v>
      </c>
      <c r="C356" s="217" t="s">
        <v>1011</v>
      </c>
      <c r="D356" s="53">
        <v>0</v>
      </c>
      <c r="E356" s="121">
        <f>Saisie!D356</f>
        <v>0</v>
      </c>
      <c r="F356" s="51">
        <f>D356*E356</f>
        <v>0</v>
      </c>
      <c r="G356" s="52"/>
    </row>
    <row r="357" spans="1:7" s="43" customFormat="1" ht="13.2" x14ac:dyDescent="0.25">
      <c r="A357" s="27" t="s">
        <v>1549</v>
      </c>
      <c r="B357" s="6" t="s">
        <v>1550</v>
      </c>
      <c r="C357" s="217"/>
      <c r="D357" s="45"/>
      <c r="E357" s="121"/>
      <c r="F357" s="51"/>
      <c r="G357" s="52"/>
    </row>
    <row r="358" spans="1:7" s="43" customFormat="1" ht="13.2" x14ac:dyDescent="0.25">
      <c r="A358" s="202" t="s">
        <v>52</v>
      </c>
      <c r="B358" s="216" t="s">
        <v>1551</v>
      </c>
      <c r="C358" s="217" t="s">
        <v>984</v>
      </c>
      <c r="D358" s="53">
        <v>0</v>
      </c>
      <c r="E358" s="121">
        <f>Saisie!D358</f>
        <v>0</v>
      </c>
      <c r="F358" s="51">
        <f>D358*E358</f>
        <v>0</v>
      </c>
      <c r="G358" s="52"/>
    </row>
    <row r="359" spans="1:7" s="2" customFormat="1" ht="13.2" x14ac:dyDescent="0.25">
      <c r="A359" s="202" t="s">
        <v>53</v>
      </c>
      <c r="B359" s="216" t="s">
        <v>1552</v>
      </c>
      <c r="C359" s="217"/>
      <c r="D359" s="45"/>
      <c r="E359" s="121"/>
      <c r="F359" s="51"/>
      <c r="G359" s="52"/>
    </row>
    <row r="360" spans="1:7" s="2" customFormat="1" ht="13.2" x14ac:dyDescent="0.25">
      <c r="A360" s="202" t="s">
        <v>1553</v>
      </c>
      <c r="B360" s="216" t="s">
        <v>1554</v>
      </c>
      <c r="C360" s="217" t="s">
        <v>1034</v>
      </c>
      <c r="D360" s="53">
        <v>0</v>
      </c>
      <c r="E360" s="121">
        <f>Saisie!D360</f>
        <v>0</v>
      </c>
      <c r="F360" s="51">
        <f>D360*E360</f>
        <v>0</v>
      </c>
      <c r="G360" s="52"/>
    </row>
    <row r="361" spans="1:7" s="2" customFormat="1" ht="14.25" customHeight="1" x14ac:dyDescent="0.25">
      <c r="A361" s="202" t="s">
        <v>1555</v>
      </c>
      <c r="B361" s="216" t="s">
        <v>1556</v>
      </c>
      <c r="C361" s="217" t="s">
        <v>1141</v>
      </c>
      <c r="D361" s="53">
        <v>0</v>
      </c>
      <c r="E361" s="121">
        <f>Saisie!D361</f>
        <v>0</v>
      </c>
      <c r="F361" s="51">
        <f>D361*E361</f>
        <v>0</v>
      </c>
      <c r="G361" s="52"/>
    </row>
    <row r="362" spans="1:7" s="2" customFormat="1" ht="13.2" x14ac:dyDescent="0.25">
      <c r="A362" s="202" t="s">
        <v>1557</v>
      </c>
      <c r="B362" s="216" t="s">
        <v>1558</v>
      </c>
      <c r="C362" s="217" t="s">
        <v>1011</v>
      </c>
      <c r="D362" s="53">
        <v>0</v>
      </c>
      <c r="E362" s="121">
        <f>Saisie!D362</f>
        <v>0</v>
      </c>
      <c r="F362" s="51">
        <f>D362*E362</f>
        <v>0</v>
      </c>
      <c r="G362" s="52"/>
    </row>
    <row r="363" spans="1:7" s="43" customFormat="1" ht="13.2" x14ac:dyDescent="0.25">
      <c r="A363" s="202" t="s">
        <v>54</v>
      </c>
      <c r="B363" s="216" t="s">
        <v>1559</v>
      </c>
      <c r="C363" s="217"/>
      <c r="D363" s="86"/>
      <c r="E363" s="121"/>
      <c r="F363" s="51"/>
      <c r="G363" s="52"/>
    </row>
    <row r="364" spans="1:7" s="43" customFormat="1" ht="13.2" x14ac:dyDescent="0.25">
      <c r="A364" s="202" t="s">
        <v>1560</v>
      </c>
      <c r="B364" s="216" t="s">
        <v>1561</v>
      </c>
      <c r="C364" s="217" t="s">
        <v>1034</v>
      </c>
      <c r="D364" s="53">
        <v>0</v>
      </c>
      <c r="E364" s="121">
        <f>Saisie!D364</f>
        <v>0</v>
      </c>
      <c r="F364" s="51">
        <f>E364*D364</f>
        <v>0</v>
      </c>
      <c r="G364" s="52"/>
    </row>
    <row r="365" spans="1:7" s="43" customFormat="1" ht="13.2" x14ac:dyDescent="0.25">
      <c r="A365" s="202" t="s">
        <v>1562</v>
      </c>
      <c r="B365" s="216" t="s">
        <v>1563</v>
      </c>
      <c r="C365" s="217" t="s">
        <v>1141</v>
      </c>
      <c r="D365" s="53">
        <v>0</v>
      </c>
      <c r="E365" s="121">
        <f>Saisie!D365</f>
        <v>0</v>
      </c>
      <c r="F365" s="51">
        <f>E365*D365</f>
        <v>0</v>
      </c>
      <c r="G365" s="52"/>
    </row>
    <row r="366" spans="1:7" s="43" customFormat="1" ht="13.2" x14ac:dyDescent="0.25">
      <c r="A366" s="202" t="s">
        <v>1564</v>
      </c>
      <c r="B366" s="216" t="s">
        <v>1565</v>
      </c>
      <c r="C366" s="217" t="s">
        <v>1011</v>
      </c>
      <c r="D366" s="53">
        <v>0</v>
      </c>
      <c r="E366" s="121">
        <f>Saisie!D366</f>
        <v>0</v>
      </c>
      <c r="F366" s="51">
        <f>E366*D366</f>
        <v>0</v>
      </c>
      <c r="G366" s="52"/>
    </row>
    <row r="367" spans="1:7" s="43" customFormat="1" ht="13.2" x14ac:dyDescent="0.25">
      <c r="A367" s="202" t="s">
        <v>55</v>
      </c>
      <c r="B367" s="216" t="s">
        <v>1566</v>
      </c>
      <c r="C367" s="217"/>
      <c r="D367" s="45"/>
      <c r="E367" s="121"/>
      <c r="F367" s="51"/>
      <c r="G367" s="52"/>
    </row>
    <row r="368" spans="1:7" s="43" customFormat="1" ht="13.2" x14ac:dyDescent="0.25">
      <c r="A368" s="202" t="s">
        <v>1567</v>
      </c>
      <c r="B368" s="216" t="s">
        <v>1568</v>
      </c>
      <c r="C368" s="217" t="s">
        <v>1034</v>
      </c>
      <c r="D368" s="53">
        <v>0</v>
      </c>
      <c r="E368" s="121">
        <f>Saisie!D368</f>
        <v>0</v>
      </c>
      <c r="F368" s="51">
        <f t="shared" ref="F368:F382" si="29">E368*D368</f>
        <v>0</v>
      </c>
      <c r="G368" s="45"/>
    </row>
    <row r="369" spans="1:7" s="43" customFormat="1" ht="13.2" x14ac:dyDescent="0.25">
      <c r="A369" s="202" t="s">
        <v>1569</v>
      </c>
      <c r="B369" s="216" t="s">
        <v>1570</v>
      </c>
      <c r="C369" s="217" t="s">
        <v>1034</v>
      </c>
      <c r="D369" s="53">
        <v>0</v>
      </c>
      <c r="E369" s="121">
        <f>Saisie!D369</f>
        <v>0</v>
      </c>
      <c r="F369" s="51">
        <f t="shared" si="29"/>
        <v>0</v>
      </c>
      <c r="G369" s="52"/>
    </row>
    <row r="370" spans="1:7" s="43" customFormat="1" ht="13.2" x14ac:dyDescent="0.25">
      <c r="A370" s="202" t="s">
        <v>1571</v>
      </c>
      <c r="B370" s="216" t="s">
        <v>1572</v>
      </c>
      <c r="C370" s="217" t="s">
        <v>1034</v>
      </c>
      <c r="D370" s="53">
        <v>0</v>
      </c>
      <c r="E370" s="121">
        <f>Saisie!D370</f>
        <v>0</v>
      </c>
      <c r="F370" s="51">
        <f t="shared" si="29"/>
        <v>0</v>
      </c>
      <c r="G370" s="52"/>
    </row>
    <row r="371" spans="1:7" s="43" customFormat="1" ht="13.2" x14ac:dyDescent="0.25">
      <c r="A371" s="202" t="s">
        <v>1573</v>
      </c>
      <c r="B371" s="216" t="s">
        <v>1574</v>
      </c>
      <c r="C371" s="217" t="s">
        <v>1034</v>
      </c>
      <c r="D371" s="53">
        <v>0</v>
      </c>
      <c r="E371" s="121">
        <f>Saisie!D371</f>
        <v>0</v>
      </c>
      <c r="F371" s="51">
        <f t="shared" si="29"/>
        <v>0</v>
      </c>
      <c r="G371" s="52"/>
    </row>
    <row r="372" spans="1:7" s="2" customFormat="1" ht="13.2" x14ac:dyDescent="0.25">
      <c r="A372" s="202" t="s">
        <v>1575</v>
      </c>
      <c r="B372" s="216" t="s">
        <v>1576</v>
      </c>
      <c r="C372" s="217" t="s">
        <v>1034</v>
      </c>
      <c r="D372" s="53">
        <v>0</v>
      </c>
      <c r="E372" s="121">
        <f>Saisie!D372</f>
        <v>0</v>
      </c>
      <c r="F372" s="51">
        <f t="shared" si="29"/>
        <v>0</v>
      </c>
      <c r="G372" s="52"/>
    </row>
    <row r="373" spans="1:7" s="18" customFormat="1" ht="13.2" x14ac:dyDescent="0.25">
      <c r="A373" s="202" t="s">
        <v>1577</v>
      </c>
      <c r="B373" s="216" t="s">
        <v>1578</v>
      </c>
      <c r="C373" s="217" t="s">
        <v>1034</v>
      </c>
      <c r="D373" s="53">
        <v>0</v>
      </c>
      <c r="E373" s="121">
        <f>Saisie!D373</f>
        <v>0</v>
      </c>
      <c r="F373" s="51">
        <f t="shared" si="29"/>
        <v>0</v>
      </c>
    </row>
    <row r="374" spans="1:7" s="18" customFormat="1" ht="13.2" x14ac:dyDescent="0.25">
      <c r="A374" s="202" t="s">
        <v>1579</v>
      </c>
      <c r="B374" s="216" t="s">
        <v>1580</v>
      </c>
      <c r="C374" s="217" t="s">
        <v>1011</v>
      </c>
      <c r="D374" s="53">
        <v>0</v>
      </c>
      <c r="E374" s="121">
        <f>Saisie!D374</f>
        <v>0</v>
      </c>
      <c r="F374" s="51">
        <f t="shared" si="29"/>
        <v>0</v>
      </c>
    </row>
    <row r="375" spans="1:7" s="18" customFormat="1" ht="13.2" x14ac:dyDescent="0.25">
      <c r="A375" s="202" t="s">
        <v>1581</v>
      </c>
      <c r="B375" s="216" t="s">
        <v>1582</v>
      </c>
      <c r="C375" s="217" t="s">
        <v>1141</v>
      </c>
      <c r="D375" s="53">
        <v>0</v>
      </c>
      <c r="E375" s="121">
        <f>Saisie!D375</f>
        <v>0</v>
      </c>
      <c r="F375" s="51">
        <f t="shared" si="29"/>
        <v>0</v>
      </c>
    </row>
    <row r="376" spans="1:7" s="18" customFormat="1" ht="13.2" x14ac:dyDescent="0.25">
      <c r="A376" s="202" t="s">
        <v>1583</v>
      </c>
      <c r="B376" s="216" t="s">
        <v>1584</v>
      </c>
      <c r="C376" s="217" t="s">
        <v>1011</v>
      </c>
      <c r="D376" s="53">
        <v>0</v>
      </c>
      <c r="E376" s="121">
        <f>Saisie!D376</f>
        <v>0</v>
      </c>
      <c r="F376" s="51">
        <f t="shared" si="29"/>
        <v>0</v>
      </c>
    </row>
    <row r="377" spans="1:7" s="18" customFormat="1" ht="13.2" x14ac:dyDescent="0.25">
      <c r="A377" s="202" t="s">
        <v>1585</v>
      </c>
      <c r="B377" s="216" t="s">
        <v>1586</v>
      </c>
      <c r="C377" s="217" t="s">
        <v>1141</v>
      </c>
      <c r="D377" s="53">
        <v>0</v>
      </c>
      <c r="E377" s="121">
        <f>Saisie!D377</f>
        <v>0</v>
      </c>
      <c r="F377" s="51">
        <f t="shared" si="29"/>
        <v>0</v>
      </c>
    </row>
    <row r="378" spans="1:7" s="18" customFormat="1" ht="13.2" x14ac:dyDescent="0.25">
      <c r="A378" s="202" t="s">
        <v>1587</v>
      </c>
      <c r="B378" s="216" t="s">
        <v>1588</v>
      </c>
      <c r="C378" s="217" t="s">
        <v>1034</v>
      </c>
      <c r="D378" s="53">
        <v>0</v>
      </c>
      <c r="E378" s="121">
        <f>Saisie!D378</f>
        <v>0</v>
      </c>
      <c r="F378" s="51">
        <f t="shared" si="29"/>
        <v>0</v>
      </c>
    </row>
    <row r="379" spans="1:7" s="18" customFormat="1" ht="13.2" x14ac:dyDescent="0.25">
      <c r="A379" s="202" t="s">
        <v>1589</v>
      </c>
      <c r="B379" s="216" t="s">
        <v>1590</v>
      </c>
      <c r="C379" s="217" t="s">
        <v>1034</v>
      </c>
      <c r="D379" s="53">
        <v>0</v>
      </c>
      <c r="E379" s="121">
        <f>Saisie!D379</f>
        <v>0</v>
      </c>
      <c r="F379" s="51">
        <f t="shared" si="29"/>
        <v>0</v>
      </c>
    </row>
    <row r="380" spans="1:7" s="18" customFormat="1" ht="13.2" x14ac:dyDescent="0.25">
      <c r="A380" s="202" t="s">
        <v>1591</v>
      </c>
      <c r="B380" s="216" t="s">
        <v>1592</v>
      </c>
      <c r="C380" s="217" t="s">
        <v>1011</v>
      </c>
      <c r="D380" s="53">
        <v>0</v>
      </c>
      <c r="E380" s="121">
        <f>Saisie!D380</f>
        <v>0</v>
      </c>
      <c r="F380" s="51">
        <f t="shared" si="29"/>
        <v>0</v>
      </c>
    </row>
    <row r="381" spans="1:7" s="8" customFormat="1" ht="13.2" x14ac:dyDescent="0.25">
      <c r="A381" s="202" t="s">
        <v>1593</v>
      </c>
      <c r="B381" s="216" t="s">
        <v>1594</v>
      </c>
      <c r="C381" s="217" t="s">
        <v>1011</v>
      </c>
      <c r="D381" s="53">
        <v>0</v>
      </c>
      <c r="E381" s="121">
        <f>Saisie!D381</f>
        <v>0</v>
      </c>
      <c r="F381" s="51">
        <f t="shared" si="29"/>
        <v>0</v>
      </c>
      <c r="G381" s="45"/>
    </row>
    <row r="382" spans="1:7" s="43" customFormat="1" ht="13.2" x14ac:dyDescent="0.25">
      <c r="A382" s="202" t="s">
        <v>1595</v>
      </c>
      <c r="B382" s="216" t="s">
        <v>1596</v>
      </c>
      <c r="C382" s="217" t="s">
        <v>1011</v>
      </c>
      <c r="D382" s="53">
        <v>0</v>
      </c>
      <c r="E382" s="121">
        <f>Saisie!D382</f>
        <v>0</v>
      </c>
      <c r="F382" s="51">
        <f t="shared" si="29"/>
        <v>0</v>
      </c>
      <c r="G382" s="52"/>
    </row>
    <row r="383" spans="1:7" s="43" customFormat="1" ht="13.2" x14ac:dyDescent="0.25">
      <c r="A383" s="202"/>
      <c r="B383" s="216"/>
      <c r="C383" s="217"/>
      <c r="D383" s="45"/>
      <c r="E383" s="45"/>
      <c r="F383" s="51"/>
      <c r="G383" s="52"/>
    </row>
    <row r="384" spans="1:7" s="43" customFormat="1" ht="26.4" x14ac:dyDescent="0.25">
      <c r="A384" s="202"/>
      <c r="B384" s="122" t="s">
        <v>1597</v>
      </c>
      <c r="C384" s="217"/>
      <c r="D384" s="45"/>
      <c r="E384" s="45"/>
      <c r="F384" s="84">
        <f>SUM(F120:F382)</f>
        <v>0</v>
      </c>
      <c r="G384" s="52"/>
    </row>
    <row r="385" spans="1:7" s="43" customFormat="1" ht="13.2" x14ac:dyDescent="0.25">
      <c r="A385" s="202"/>
      <c r="B385" s="216"/>
      <c r="C385" s="217"/>
      <c r="D385" s="45"/>
      <c r="E385" s="45"/>
      <c r="F385" s="51"/>
      <c r="G385" s="52"/>
    </row>
    <row r="386" spans="1:7" s="43" customFormat="1" ht="15.6" customHeight="1" x14ac:dyDescent="0.25">
      <c r="A386" s="29" t="s">
        <v>1598</v>
      </c>
      <c r="B386" s="30" t="s">
        <v>1599</v>
      </c>
      <c r="C386" s="224"/>
      <c r="D386" s="224"/>
      <c r="E386" s="224"/>
      <c r="F386" s="224"/>
      <c r="G386" s="52"/>
    </row>
    <row r="387" spans="1:7" s="43" customFormat="1" ht="13.2" x14ac:dyDescent="0.25">
      <c r="A387" s="27" t="s">
        <v>1600</v>
      </c>
      <c r="B387" s="6" t="s">
        <v>1601</v>
      </c>
      <c r="C387" s="217"/>
      <c r="D387" s="45"/>
      <c r="E387" s="45"/>
      <c r="F387" s="51"/>
      <c r="G387" s="52"/>
    </row>
    <row r="388" spans="1:7" s="43" customFormat="1" ht="26.4" x14ac:dyDescent="0.25">
      <c r="A388" s="202" t="s">
        <v>73</v>
      </c>
      <c r="B388" s="223" t="s">
        <v>1602</v>
      </c>
      <c r="C388" s="217"/>
      <c r="D388" s="45"/>
      <c r="E388" s="45"/>
      <c r="F388" s="51"/>
      <c r="G388" s="45"/>
    </row>
    <row r="389" spans="1:7" s="8" customFormat="1" ht="13.2" x14ac:dyDescent="0.25">
      <c r="A389" s="202" t="s">
        <v>1603</v>
      </c>
      <c r="B389" s="216" t="s">
        <v>1604</v>
      </c>
      <c r="C389" s="217" t="s">
        <v>1011</v>
      </c>
      <c r="D389" s="53">
        <v>0</v>
      </c>
      <c r="E389" s="121">
        <f>Saisie!D389</f>
        <v>0</v>
      </c>
      <c r="F389" s="51">
        <f>E389*D389</f>
        <v>0</v>
      </c>
      <c r="G389" s="52"/>
    </row>
    <row r="390" spans="1:7" s="8" customFormat="1" ht="26.4" x14ac:dyDescent="0.25">
      <c r="A390" s="202" t="s">
        <v>1605</v>
      </c>
      <c r="B390" s="216" t="s">
        <v>1606</v>
      </c>
      <c r="C390" s="217" t="s">
        <v>1011</v>
      </c>
      <c r="D390" s="53">
        <v>0</v>
      </c>
      <c r="E390" s="121">
        <f>Saisie!D390</f>
        <v>0</v>
      </c>
      <c r="F390" s="51">
        <f>E390*D390</f>
        <v>0</v>
      </c>
      <c r="G390" s="52"/>
    </row>
    <row r="391" spans="1:7" s="43" customFormat="1" ht="13.2" x14ac:dyDescent="0.25">
      <c r="A391" s="202" t="s">
        <v>74</v>
      </c>
      <c r="B391" s="226" t="s">
        <v>1607</v>
      </c>
      <c r="C391" s="217" t="s">
        <v>984</v>
      </c>
      <c r="D391" s="53">
        <v>0</v>
      </c>
      <c r="E391" s="121">
        <f>Saisie!D391</f>
        <v>0</v>
      </c>
      <c r="F391" s="51">
        <f>E391*D391</f>
        <v>0</v>
      </c>
      <c r="G391" s="52"/>
    </row>
    <row r="392" spans="1:7" s="43" customFormat="1" ht="13.2" x14ac:dyDescent="0.25">
      <c r="A392" s="202" t="s">
        <v>75</v>
      </c>
      <c r="B392" s="226" t="s">
        <v>1608</v>
      </c>
      <c r="C392" s="217" t="s">
        <v>984</v>
      </c>
      <c r="D392" s="53">
        <v>0</v>
      </c>
      <c r="E392" s="121">
        <f>Saisie!D392</f>
        <v>0</v>
      </c>
      <c r="F392" s="51">
        <f>E392*D392</f>
        <v>0</v>
      </c>
      <c r="G392" s="52"/>
    </row>
    <row r="393" spans="1:7" s="43" customFormat="1" ht="13.2" x14ac:dyDescent="0.25">
      <c r="A393" s="28" t="s">
        <v>1609</v>
      </c>
      <c r="B393" s="6" t="s">
        <v>1610</v>
      </c>
      <c r="C393" s="217"/>
      <c r="D393" s="45"/>
      <c r="E393" s="121"/>
      <c r="F393" s="51"/>
      <c r="G393" s="52"/>
    </row>
    <row r="394" spans="1:7" s="43" customFormat="1" ht="26.4" x14ac:dyDescent="0.25">
      <c r="A394" s="202" t="s">
        <v>81</v>
      </c>
      <c r="B394" s="223" t="s">
        <v>1611</v>
      </c>
      <c r="C394" s="217"/>
      <c r="D394" s="45"/>
      <c r="E394" s="121"/>
      <c r="F394" s="51"/>
      <c r="G394" s="52"/>
    </row>
    <row r="395" spans="1:7" s="43" customFormat="1" ht="13.2" x14ac:dyDescent="0.25">
      <c r="A395" s="202" t="s">
        <v>1612</v>
      </c>
      <c r="B395" s="216" t="s">
        <v>1613</v>
      </c>
      <c r="C395" s="217" t="s">
        <v>1011</v>
      </c>
      <c r="D395" s="53">
        <v>0</v>
      </c>
      <c r="E395" s="121">
        <f>Saisie!D395</f>
        <v>0</v>
      </c>
      <c r="F395" s="51">
        <f>E395*D395</f>
        <v>0</v>
      </c>
      <c r="G395" s="52"/>
    </row>
    <row r="396" spans="1:7" s="43" customFormat="1" ht="13.2" x14ac:dyDescent="0.25">
      <c r="A396" s="202" t="s">
        <v>1614</v>
      </c>
      <c r="B396" s="216" t="s">
        <v>1615</v>
      </c>
      <c r="C396" s="217" t="s">
        <v>1011</v>
      </c>
      <c r="D396" s="53">
        <v>0</v>
      </c>
      <c r="E396" s="121">
        <f>Saisie!D396</f>
        <v>0</v>
      </c>
      <c r="F396" s="51">
        <f>E396*D396</f>
        <v>0</v>
      </c>
      <c r="G396" s="52"/>
    </row>
    <row r="397" spans="1:7" s="43" customFormat="1" ht="13.2" x14ac:dyDescent="0.25">
      <c r="A397" s="202" t="s">
        <v>1616</v>
      </c>
      <c r="B397" s="216" t="s">
        <v>1617</v>
      </c>
      <c r="C397" s="217" t="s">
        <v>1011</v>
      </c>
      <c r="D397" s="53">
        <v>0</v>
      </c>
      <c r="E397" s="121">
        <f>Saisie!D397</f>
        <v>0</v>
      </c>
      <c r="F397" s="51">
        <f>E397*D397</f>
        <v>0</v>
      </c>
      <c r="G397" s="52"/>
    </row>
    <row r="398" spans="1:7" s="43" customFormat="1" ht="13.2" x14ac:dyDescent="0.25">
      <c r="A398" s="202" t="s">
        <v>1618</v>
      </c>
      <c r="B398" s="216" t="s">
        <v>1619</v>
      </c>
      <c r="C398" s="217" t="s">
        <v>1011</v>
      </c>
      <c r="D398" s="53">
        <v>0</v>
      </c>
      <c r="E398" s="121">
        <f>Saisie!D398</f>
        <v>0</v>
      </c>
      <c r="F398" s="51">
        <f>E398*D398</f>
        <v>0</v>
      </c>
      <c r="G398" s="52"/>
    </row>
    <row r="399" spans="1:7" s="43" customFormat="1" ht="13.2" x14ac:dyDescent="0.25">
      <c r="A399" s="202" t="s">
        <v>1620</v>
      </c>
      <c r="B399" s="216" t="s">
        <v>1621</v>
      </c>
      <c r="C399" s="217" t="s">
        <v>1011</v>
      </c>
      <c r="D399" s="53">
        <v>0</v>
      </c>
      <c r="E399" s="121">
        <f>Saisie!D399</f>
        <v>0</v>
      </c>
      <c r="F399" s="51">
        <f>E399*D399</f>
        <v>0</v>
      </c>
      <c r="G399" s="52"/>
    </row>
    <row r="400" spans="1:7" s="43" customFormat="1" ht="13.2" x14ac:dyDescent="0.25">
      <c r="A400" s="202" t="s">
        <v>1622</v>
      </c>
      <c r="B400" s="216" t="s">
        <v>1623</v>
      </c>
      <c r="C400" s="217" t="s">
        <v>1011</v>
      </c>
      <c r="D400" s="53">
        <v>0</v>
      </c>
      <c r="E400" s="121">
        <f>Saisie!D400</f>
        <v>0</v>
      </c>
      <c r="F400" s="51">
        <f t="shared" ref="F400:F406" si="30">E400*D400</f>
        <v>0</v>
      </c>
      <c r="G400" s="52"/>
    </row>
    <row r="401" spans="1:8" s="2" customFormat="1" ht="13.2" x14ac:dyDescent="0.25">
      <c r="A401" s="202" t="s">
        <v>1624</v>
      </c>
      <c r="B401" s="216" t="s">
        <v>1625</v>
      </c>
      <c r="C401" s="217" t="s">
        <v>1232</v>
      </c>
      <c r="D401" s="53">
        <v>0</v>
      </c>
      <c r="E401" s="121">
        <f>Saisie!D401</f>
        <v>0</v>
      </c>
      <c r="F401" s="51">
        <f t="shared" si="30"/>
        <v>0</v>
      </c>
      <c r="G401" s="52"/>
    </row>
    <row r="402" spans="1:8" s="2" customFormat="1" ht="13.2" x14ac:dyDescent="0.25">
      <c r="A402" s="202" t="s">
        <v>1626</v>
      </c>
      <c r="B402" s="192" t="s">
        <v>1627</v>
      </c>
      <c r="C402" s="217" t="s">
        <v>1628</v>
      </c>
      <c r="D402" s="53">
        <v>0</v>
      </c>
      <c r="E402" s="121">
        <f>Saisie!D402</f>
        <v>0</v>
      </c>
      <c r="F402" s="51">
        <f t="shared" si="30"/>
        <v>0</v>
      </c>
      <c r="G402" s="52"/>
      <c r="H402" s="8"/>
    </row>
    <row r="403" spans="1:8" s="2" customFormat="1" ht="26.4" x14ac:dyDescent="0.25">
      <c r="A403" s="202" t="s">
        <v>1629</v>
      </c>
      <c r="B403" s="216" t="s">
        <v>1630</v>
      </c>
      <c r="C403" s="227" t="s">
        <v>1631</v>
      </c>
      <c r="D403" s="53">
        <v>0</v>
      </c>
      <c r="E403" s="121">
        <f>Saisie!D403</f>
        <v>0</v>
      </c>
      <c r="F403" s="51">
        <f t="shared" si="30"/>
        <v>0</v>
      </c>
      <c r="G403" s="52"/>
    </row>
    <row r="404" spans="1:8" s="2" customFormat="1" ht="26.4" x14ac:dyDescent="0.25">
      <c r="A404" s="202" t="s">
        <v>1632</v>
      </c>
      <c r="B404" s="192" t="s">
        <v>1633</v>
      </c>
      <c r="C404" s="217" t="s">
        <v>1631</v>
      </c>
      <c r="D404" s="53">
        <v>0</v>
      </c>
      <c r="E404" s="121">
        <f>Saisie!D404</f>
        <v>0</v>
      </c>
      <c r="F404" s="51">
        <f t="shared" si="30"/>
        <v>0</v>
      </c>
      <c r="G404" s="45"/>
    </row>
    <row r="405" spans="1:8" s="2" customFormat="1" ht="26.4" x14ac:dyDescent="0.25">
      <c r="A405" s="202" t="s">
        <v>1634</v>
      </c>
      <c r="B405" s="216" t="s">
        <v>1635</v>
      </c>
      <c r="C405" s="217" t="s">
        <v>1011</v>
      </c>
      <c r="D405" s="53">
        <v>0</v>
      </c>
      <c r="E405" s="121">
        <f>Saisie!D405</f>
        <v>0</v>
      </c>
      <c r="F405" s="51">
        <f t="shared" si="30"/>
        <v>0</v>
      </c>
      <c r="G405" s="52"/>
    </row>
    <row r="406" spans="1:8" s="2" customFormat="1" ht="26.4" x14ac:dyDescent="0.25">
      <c r="A406" s="202" t="s">
        <v>1636</v>
      </c>
      <c r="B406" s="216" t="s">
        <v>1637</v>
      </c>
      <c r="C406" s="217" t="s">
        <v>1011</v>
      </c>
      <c r="D406" s="53">
        <v>0</v>
      </c>
      <c r="E406" s="121">
        <f>Saisie!D406</f>
        <v>0</v>
      </c>
      <c r="F406" s="51">
        <f t="shared" si="30"/>
        <v>0</v>
      </c>
      <c r="G406" s="52"/>
    </row>
    <row r="407" spans="1:8" s="2" customFormat="1" ht="39.6" x14ac:dyDescent="0.25">
      <c r="A407" s="202" t="s">
        <v>1638</v>
      </c>
      <c r="B407" s="216" t="s">
        <v>1639</v>
      </c>
      <c r="C407" s="217" t="s">
        <v>1011</v>
      </c>
      <c r="D407" s="53">
        <v>0</v>
      </c>
      <c r="E407" s="121">
        <f>Saisie!D407</f>
        <v>0</v>
      </c>
      <c r="F407" s="51">
        <f>E407*D407</f>
        <v>0</v>
      </c>
      <c r="G407" s="45"/>
    </row>
    <row r="408" spans="1:8" s="2" customFormat="1" ht="26.4" x14ac:dyDescent="0.25">
      <c r="A408" s="202" t="s">
        <v>1640</v>
      </c>
      <c r="B408" s="216" t="s">
        <v>1641</v>
      </c>
      <c r="C408" s="217" t="s">
        <v>1011</v>
      </c>
      <c r="D408" s="53">
        <v>0</v>
      </c>
      <c r="E408" s="121">
        <f>Saisie!D408</f>
        <v>0</v>
      </c>
      <c r="F408" s="51">
        <f>E408*D408</f>
        <v>0</v>
      </c>
      <c r="G408" s="52"/>
    </row>
    <row r="409" spans="1:8" s="2" customFormat="1" ht="13.2" x14ac:dyDescent="0.25">
      <c r="A409" s="28" t="s">
        <v>1642</v>
      </c>
      <c r="B409" s="6" t="s">
        <v>1643</v>
      </c>
      <c r="C409" s="217" t="s">
        <v>1011</v>
      </c>
      <c r="D409" s="53">
        <v>0</v>
      </c>
      <c r="E409" s="121">
        <f>Saisie!D409</f>
        <v>0</v>
      </c>
      <c r="F409" s="51">
        <f>E409*D409</f>
        <v>0</v>
      </c>
      <c r="G409" s="52"/>
    </row>
    <row r="410" spans="1:8" s="2" customFormat="1" ht="13.2" x14ac:dyDescent="0.25">
      <c r="A410" s="28" t="s">
        <v>76</v>
      </c>
      <c r="B410" s="6" t="s">
        <v>1644</v>
      </c>
      <c r="C410" s="217" t="s">
        <v>1011</v>
      </c>
      <c r="D410" s="53">
        <v>0</v>
      </c>
      <c r="E410" s="121">
        <f>Saisie!D410</f>
        <v>0</v>
      </c>
      <c r="F410" s="51">
        <f>E410*D410</f>
        <v>0</v>
      </c>
      <c r="G410" s="52"/>
    </row>
    <row r="411" spans="1:8" s="2" customFormat="1" ht="13.2" x14ac:dyDescent="0.25">
      <c r="A411" s="28" t="s">
        <v>1645</v>
      </c>
      <c r="B411" s="6" t="s">
        <v>1646</v>
      </c>
      <c r="C411" s="217"/>
      <c r="D411" s="45"/>
      <c r="E411" s="121"/>
      <c r="F411" s="51"/>
      <c r="G411" s="52"/>
    </row>
    <row r="412" spans="1:8" s="2" customFormat="1" ht="26.4" x14ac:dyDescent="0.25">
      <c r="A412" s="217" t="s">
        <v>90</v>
      </c>
      <c r="B412" s="192" t="s">
        <v>1647</v>
      </c>
      <c r="C412" s="217" t="s">
        <v>1648</v>
      </c>
      <c r="D412" s="53">
        <v>0</v>
      </c>
      <c r="E412" s="121">
        <f>Saisie!D412</f>
        <v>0</v>
      </c>
      <c r="F412" s="51">
        <f t="shared" ref="F412:F425" si="31">E412*D412</f>
        <v>0</v>
      </c>
      <c r="G412" s="52"/>
    </row>
    <row r="413" spans="1:8" s="2" customFormat="1" ht="26.4" x14ac:dyDescent="0.25">
      <c r="A413" s="217" t="s">
        <v>91</v>
      </c>
      <c r="B413" s="192" t="s">
        <v>1649</v>
      </c>
      <c r="C413" s="217" t="s">
        <v>1650</v>
      </c>
      <c r="D413" s="53">
        <v>0</v>
      </c>
      <c r="E413" s="121">
        <f>Saisie!D413</f>
        <v>0</v>
      </c>
      <c r="F413" s="51">
        <f t="shared" si="31"/>
        <v>0</v>
      </c>
      <c r="G413" s="52"/>
    </row>
    <row r="414" spans="1:8" s="2" customFormat="1" ht="26.4" x14ac:dyDescent="0.25">
      <c r="A414" s="217" t="s">
        <v>1651</v>
      </c>
      <c r="B414" s="223" t="s">
        <v>1652</v>
      </c>
      <c r="C414" s="217" t="s">
        <v>1011</v>
      </c>
      <c r="D414" s="53">
        <v>0</v>
      </c>
      <c r="E414" s="121">
        <f>Saisie!D414</f>
        <v>0</v>
      </c>
      <c r="F414" s="51">
        <f t="shared" si="31"/>
        <v>0</v>
      </c>
      <c r="G414" s="52"/>
    </row>
    <row r="415" spans="1:8" s="2" customFormat="1" ht="40.200000000000003" x14ac:dyDescent="0.25">
      <c r="A415" s="217" t="s">
        <v>1653</v>
      </c>
      <c r="B415" s="223" t="s">
        <v>1654</v>
      </c>
      <c r="C415" s="217" t="s">
        <v>1011</v>
      </c>
      <c r="D415" s="53">
        <v>0</v>
      </c>
      <c r="E415" s="121">
        <f>Saisie!D415</f>
        <v>0</v>
      </c>
      <c r="F415" s="51">
        <f t="shared" si="31"/>
        <v>0</v>
      </c>
      <c r="G415" s="52"/>
    </row>
    <row r="416" spans="1:8" s="2" customFormat="1" ht="39.6" x14ac:dyDescent="0.25">
      <c r="A416" s="217" t="s">
        <v>1655</v>
      </c>
      <c r="B416" s="223" t="s">
        <v>1656</v>
      </c>
      <c r="C416" s="217" t="s">
        <v>1011</v>
      </c>
      <c r="D416" s="53">
        <v>0</v>
      </c>
      <c r="E416" s="121">
        <f>Saisie!D416</f>
        <v>0</v>
      </c>
      <c r="F416" s="51">
        <f t="shared" si="31"/>
        <v>0</v>
      </c>
      <c r="G416" s="52"/>
    </row>
    <row r="417" spans="1:7" s="2" customFormat="1" ht="26.4" x14ac:dyDescent="0.25">
      <c r="A417" s="217" t="s">
        <v>1657</v>
      </c>
      <c r="B417" s="223" t="s">
        <v>1658</v>
      </c>
      <c r="C417" s="217" t="s">
        <v>1011</v>
      </c>
      <c r="D417" s="53">
        <v>0</v>
      </c>
      <c r="E417" s="121">
        <f>Saisie!D417</f>
        <v>0</v>
      </c>
      <c r="F417" s="51">
        <f t="shared" si="31"/>
        <v>0</v>
      </c>
      <c r="G417" s="52"/>
    </row>
    <row r="418" spans="1:7" s="2" customFormat="1" ht="39.6" x14ac:dyDescent="0.25">
      <c r="A418" s="217" t="s">
        <v>1659</v>
      </c>
      <c r="B418" s="223" t="s">
        <v>1660</v>
      </c>
      <c r="C418" s="217" t="s">
        <v>1011</v>
      </c>
      <c r="D418" s="53">
        <v>0</v>
      </c>
      <c r="E418" s="121">
        <f>Saisie!D418</f>
        <v>0</v>
      </c>
      <c r="F418" s="51">
        <f t="shared" si="31"/>
        <v>0</v>
      </c>
      <c r="G418" s="52"/>
    </row>
    <row r="419" spans="1:7" s="2" customFormat="1" ht="39.6" x14ac:dyDescent="0.25">
      <c r="A419" s="217" t="s">
        <v>1661</v>
      </c>
      <c r="B419" s="223" t="s">
        <v>1662</v>
      </c>
      <c r="C419" s="217" t="s">
        <v>1011</v>
      </c>
      <c r="D419" s="53">
        <v>0</v>
      </c>
      <c r="E419" s="121">
        <f>Saisie!D419</f>
        <v>0</v>
      </c>
      <c r="F419" s="51">
        <f t="shared" si="31"/>
        <v>0</v>
      </c>
      <c r="G419" s="52"/>
    </row>
    <row r="420" spans="1:7" s="43" customFormat="1" ht="13.2" x14ac:dyDescent="0.25">
      <c r="A420" s="217" t="s">
        <v>1663</v>
      </c>
      <c r="B420" s="223" t="s">
        <v>1664</v>
      </c>
      <c r="C420" s="217"/>
      <c r="D420" s="217"/>
      <c r="E420" s="121"/>
      <c r="F420" s="51"/>
    </row>
    <row r="421" spans="1:7" s="43" customFormat="1" ht="13.2" x14ac:dyDescent="0.25">
      <c r="A421" s="217" t="s">
        <v>1665</v>
      </c>
      <c r="B421" s="223" t="s">
        <v>1666</v>
      </c>
      <c r="C421" s="217" t="s">
        <v>1011</v>
      </c>
      <c r="D421" s="53">
        <v>0</v>
      </c>
      <c r="E421" s="121">
        <f>Saisie!D421</f>
        <v>0</v>
      </c>
      <c r="F421" s="51">
        <f t="shared" si="31"/>
        <v>0</v>
      </c>
    </row>
    <row r="422" spans="1:7" s="43" customFormat="1" ht="13.2" x14ac:dyDescent="0.25">
      <c r="A422" s="217" t="s">
        <v>1667</v>
      </c>
      <c r="B422" s="223" t="s">
        <v>1668</v>
      </c>
      <c r="C422" s="217" t="s">
        <v>1011</v>
      </c>
      <c r="D422" s="53">
        <v>0</v>
      </c>
      <c r="E422" s="121">
        <f>Saisie!D422</f>
        <v>0</v>
      </c>
      <c r="F422" s="51">
        <f t="shared" si="31"/>
        <v>0</v>
      </c>
    </row>
    <row r="423" spans="1:7" s="8" customFormat="1" ht="13.2" x14ac:dyDescent="0.25">
      <c r="A423" s="217" t="s">
        <v>1669</v>
      </c>
      <c r="B423" s="223" t="s">
        <v>1670</v>
      </c>
      <c r="C423" s="217" t="s">
        <v>1011</v>
      </c>
      <c r="D423" s="53">
        <v>0</v>
      </c>
      <c r="E423" s="121">
        <f>Saisie!D423</f>
        <v>0</v>
      </c>
      <c r="F423" s="51">
        <f t="shared" si="31"/>
        <v>0</v>
      </c>
    </row>
    <row r="424" spans="1:7" s="43" customFormat="1" ht="13.2" x14ac:dyDescent="0.25">
      <c r="A424" s="217" t="s">
        <v>1671</v>
      </c>
      <c r="B424" s="223" t="s">
        <v>1672</v>
      </c>
      <c r="C424" s="217" t="s">
        <v>1011</v>
      </c>
      <c r="D424" s="53">
        <v>0</v>
      </c>
      <c r="E424" s="121">
        <f>Saisie!D424</f>
        <v>0</v>
      </c>
      <c r="F424" s="51">
        <f t="shared" si="31"/>
        <v>0</v>
      </c>
      <c r="G424" s="74"/>
    </row>
    <row r="425" spans="1:7" s="2" customFormat="1" ht="13.2" x14ac:dyDescent="0.25">
      <c r="A425" s="217" t="s">
        <v>1673</v>
      </c>
      <c r="B425" s="223" t="s">
        <v>1674</v>
      </c>
      <c r="C425" s="217" t="s">
        <v>1011</v>
      </c>
      <c r="D425" s="53">
        <v>0</v>
      </c>
      <c r="E425" s="121">
        <f>Saisie!D425</f>
        <v>0</v>
      </c>
      <c r="F425" s="51">
        <f t="shared" si="31"/>
        <v>0</v>
      </c>
      <c r="G425" s="52"/>
    </row>
    <row r="426" spans="1:7" s="8" customFormat="1" ht="13.2" x14ac:dyDescent="0.25">
      <c r="A426" s="202"/>
      <c r="B426" s="216"/>
      <c r="C426" s="217"/>
      <c r="D426" s="45"/>
      <c r="E426" s="45"/>
      <c r="F426" s="51"/>
      <c r="G426" s="52"/>
    </row>
    <row r="427" spans="1:7" s="8" customFormat="1" ht="13.2" x14ac:dyDescent="0.25">
      <c r="A427" s="202"/>
      <c r="B427" s="122" t="s">
        <v>1675</v>
      </c>
      <c r="C427" s="217"/>
      <c r="D427" s="45"/>
      <c r="E427" s="45"/>
      <c r="F427" s="84">
        <f>SUM(F387:F426)</f>
        <v>0</v>
      </c>
      <c r="G427" s="45"/>
    </row>
    <row r="428" spans="1:7" s="8" customFormat="1" ht="13.2" x14ac:dyDescent="0.25">
      <c r="A428" s="202"/>
      <c r="B428" s="216"/>
      <c r="C428" s="217"/>
      <c r="D428" s="45"/>
      <c r="E428" s="45"/>
      <c r="F428" s="51"/>
      <c r="G428" s="74"/>
    </row>
    <row r="429" spans="1:7" s="8" customFormat="1" ht="13.2" x14ac:dyDescent="0.25">
      <c r="A429" s="29" t="s">
        <v>1676</v>
      </c>
      <c r="B429" s="30" t="s">
        <v>1677</v>
      </c>
      <c r="C429" s="224"/>
      <c r="D429" s="224"/>
      <c r="E429" s="224"/>
      <c r="F429" s="224"/>
      <c r="G429" s="74"/>
    </row>
    <row r="430" spans="1:7" s="8" customFormat="1" ht="13.2" x14ac:dyDescent="0.25">
      <c r="A430" s="27" t="s">
        <v>1678</v>
      </c>
      <c r="B430" s="6" t="s">
        <v>1679</v>
      </c>
      <c r="C430" s="217"/>
      <c r="D430" s="45"/>
      <c r="E430" s="45"/>
      <c r="F430" s="51"/>
      <c r="G430" s="45"/>
    </row>
    <row r="431" spans="1:7" s="8" customFormat="1" ht="13.2" x14ac:dyDescent="0.25">
      <c r="A431" s="202" t="s">
        <v>92</v>
      </c>
      <c r="B431" s="216" t="s">
        <v>1680</v>
      </c>
      <c r="C431" s="217" t="s">
        <v>1034</v>
      </c>
      <c r="D431" s="53">
        <v>414.48</v>
      </c>
      <c r="E431" s="121">
        <f>Saisie!D431</f>
        <v>0</v>
      </c>
      <c r="F431" s="51">
        <f t="shared" ref="F431:F461" si="32">E431*D431</f>
        <v>0</v>
      </c>
      <c r="G431" s="52"/>
    </row>
    <row r="432" spans="1:7" s="8" customFormat="1" ht="13.2" x14ac:dyDescent="0.25">
      <c r="A432" s="202" t="s">
        <v>93</v>
      </c>
      <c r="B432" s="216" t="s">
        <v>1681</v>
      </c>
      <c r="C432" s="217" t="s">
        <v>1682</v>
      </c>
      <c r="D432" s="53">
        <v>828.96</v>
      </c>
      <c r="E432" s="121">
        <f>Saisie!D432</f>
        <v>0</v>
      </c>
      <c r="F432" s="51">
        <f t="shared" si="32"/>
        <v>0</v>
      </c>
      <c r="G432" s="52"/>
    </row>
    <row r="433" spans="1:7" s="8" customFormat="1" ht="26.4" x14ac:dyDescent="0.25">
      <c r="A433" s="27" t="s">
        <v>1683</v>
      </c>
      <c r="B433" s="6" t="s">
        <v>1684</v>
      </c>
      <c r="C433" s="217"/>
      <c r="D433" s="45"/>
      <c r="E433" s="121"/>
      <c r="F433" s="51"/>
      <c r="G433" s="45"/>
    </row>
    <row r="434" spans="1:7" s="8" customFormat="1" ht="13.2" x14ac:dyDescent="0.25">
      <c r="A434" s="202" t="s">
        <v>106</v>
      </c>
      <c r="B434" s="216" t="s">
        <v>1685</v>
      </c>
      <c r="C434" s="217" t="s">
        <v>1141</v>
      </c>
      <c r="D434" s="53">
        <v>173.9</v>
      </c>
      <c r="E434" s="121">
        <f>Saisie!D434</f>
        <v>0</v>
      </c>
      <c r="F434" s="51">
        <f t="shared" si="32"/>
        <v>0</v>
      </c>
      <c r="G434" s="52"/>
    </row>
    <row r="435" spans="1:7" s="8" customFormat="1" ht="13.2" x14ac:dyDescent="0.25">
      <c r="A435" s="202" t="s">
        <v>107</v>
      </c>
      <c r="B435" s="216" t="s">
        <v>1686</v>
      </c>
      <c r="C435" s="217"/>
      <c r="D435" s="45"/>
      <c r="E435" s="121"/>
      <c r="F435" s="46"/>
      <c r="G435" s="52"/>
    </row>
    <row r="436" spans="1:7" s="8" customFormat="1" ht="13.2" x14ac:dyDescent="0.25">
      <c r="A436" s="202" t="s">
        <v>1687</v>
      </c>
      <c r="B436" s="216" t="s">
        <v>1688</v>
      </c>
      <c r="C436" s="217" t="s">
        <v>1141</v>
      </c>
      <c r="D436" s="53">
        <v>0</v>
      </c>
      <c r="E436" s="121">
        <f>Saisie!D436</f>
        <v>0</v>
      </c>
      <c r="F436" s="51">
        <f t="shared" si="32"/>
        <v>0</v>
      </c>
      <c r="G436" s="45"/>
    </row>
    <row r="437" spans="1:7" s="8" customFormat="1" ht="13.2" x14ac:dyDescent="0.25">
      <c r="A437" s="202" t="s">
        <v>1689</v>
      </c>
      <c r="B437" s="216" t="s">
        <v>1690</v>
      </c>
      <c r="C437" s="217" t="s">
        <v>1141</v>
      </c>
      <c r="D437" s="53">
        <v>0</v>
      </c>
      <c r="E437" s="121">
        <f>Saisie!D437</f>
        <v>0</v>
      </c>
      <c r="F437" s="51">
        <f t="shared" si="32"/>
        <v>0</v>
      </c>
      <c r="G437" s="52"/>
    </row>
    <row r="438" spans="1:7" s="8" customFormat="1" ht="13.2" x14ac:dyDescent="0.25">
      <c r="A438" s="202" t="s">
        <v>1691</v>
      </c>
      <c r="B438" s="216" t="s">
        <v>1692</v>
      </c>
      <c r="C438" s="217" t="s">
        <v>1141</v>
      </c>
      <c r="D438" s="53">
        <v>0</v>
      </c>
      <c r="E438" s="121">
        <f>Saisie!D438</f>
        <v>0</v>
      </c>
      <c r="F438" s="51">
        <f t="shared" si="32"/>
        <v>0</v>
      </c>
      <c r="G438" s="52"/>
    </row>
    <row r="439" spans="1:7" s="8" customFormat="1" ht="13.2" x14ac:dyDescent="0.25">
      <c r="A439" s="202" t="s">
        <v>108</v>
      </c>
      <c r="B439" s="216" t="s">
        <v>1693</v>
      </c>
      <c r="C439" s="217" t="s">
        <v>1694</v>
      </c>
      <c r="D439" s="53">
        <v>347.8</v>
      </c>
      <c r="E439" s="121">
        <f>Saisie!D439</f>
        <v>0</v>
      </c>
      <c r="F439" s="51">
        <f>E439*D439</f>
        <v>0</v>
      </c>
      <c r="G439" s="52"/>
    </row>
    <row r="440" spans="1:7" s="8" customFormat="1" ht="26.4" x14ac:dyDescent="0.25">
      <c r="A440" s="27" t="s">
        <v>1695</v>
      </c>
      <c r="B440" s="6" t="s">
        <v>1696</v>
      </c>
      <c r="C440" s="217"/>
      <c r="D440" s="45"/>
      <c r="E440" s="121"/>
      <c r="F440" s="51"/>
      <c r="G440" s="52"/>
    </row>
    <row r="441" spans="1:7" s="8" customFormat="1" ht="13.2" x14ac:dyDescent="0.25">
      <c r="A441" s="202" t="s">
        <v>1697</v>
      </c>
      <c r="B441" s="216" t="s">
        <v>1698</v>
      </c>
      <c r="C441" s="217" t="s">
        <v>1034</v>
      </c>
      <c r="D441" s="53">
        <v>39.6</v>
      </c>
      <c r="E441" s="121">
        <f>Saisie!D441</f>
        <v>0</v>
      </c>
      <c r="F441" s="51">
        <f t="shared" si="32"/>
        <v>0</v>
      </c>
      <c r="G441" s="52"/>
    </row>
    <row r="442" spans="1:7" s="8" customFormat="1" ht="13.2" x14ac:dyDescent="0.25">
      <c r="A442" s="202" t="s">
        <v>1699</v>
      </c>
      <c r="B442" s="216" t="s">
        <v>1700</v>
      </c>
      <c r="C442" s="217" t="s">
        <v>1034</v>
      </c>
      <c r="D442" s="53">
        <v>0</v>
      </c>
      <c r="E442" s="121">
        <f>Saisie!D442</f>
        <v>0</v>
      </c>
      <c r="F442" s="51">
        <f t="shared" si="32"/>
        <v>0</v>
      </c>
      <c r="G442" s="52"/>
    </row>
    <row r="443" spans="1:7" s="43" customFormat="1" ht="13.2" x14ac:dyDescent="0.25">
      <c r="A443" s="202" t="s">
        <v>1701</v>
      </c>
      <c r="B443" s="216" t="s">
        <v>1702</v>
      </c>
      <c r="C443" s="217" t="s">
        <v>1034</v>
      </c>
      <c r="D443" s="53">
        <v>0</v>
      </c>
      <c r="E443" s="121">
        <f>Saisie!D443</f>
        <v>0</v>
      </c>
      <c r="F443" s="51">
        <f t="shared" si="32"/>
        <v>0</v>
      </c>
      <c r="G443" s="45"/>
    </row>
    <row r="444" spans="1:7" s="43" customFormat="1" ht="13.2" x14ac:dyDescent="0.25">
      <c r="A444" s="27" t="s">
        <v>1703</v>
      </c>
      <c r="B444" s="6" t="s">
        <v>1704</v>
      </c>
      <c r="C444" s="217"/>
      <c r="D444" s="45"/>
      <c r="E444" s="121">
        <f>Saisie!D444</f>
        <v>0</v>
      </c>
      <c r="F444" s="51"/>
      <c r="G444" s="52"/>
    </row>
    <row r="445" spans="1:7" s="43" customFormat="1" ht="13.2" x14ac:dyDescent="0.25">
      <c r="A445" s="202" t="s">
        <v>1705</v>
      </c>
      <c r="B445" s="216" t="s">
        <v>1706</v>
      </c>
      <c r="C445" s="217" t="s">
        <v>1141</v>
      </c>
      <c r="D445" s="53">
        <v>0</v>
      </c>
      <c r="E445" s="121">
        <f>Saisie!D445</f>
        <v>0</v>
      </c>
      <c r="F445" s="51">
        <f t="shared" si="32"/>
        <v>0</v>
      </c>
      <c r="G445" s="52"/>
    </row>
    <row r="446" spans="1:7" s="43" customFormat="1" ht="13.2" x14ac:dyDescent="0.25">
      <c r="A446" s="202" t="s">
        <v>1707</v>
      </c>
      <c r="B446" s="216" t="s">
        <v>1708</v>
      </c>
      <c r="C446" s="217" t="s">
        <v>1141</v>
      </c>
      <c r="D446" s="53">
        <v>0</v>
      </c>
      <c r="E446" s="121">
        <f>Saisie!D446</f>
        <v>0</v>
      </c>
      <c r="F446" s="51">
        <f t="shared" si="32"/>
        <v>0</v>
      </c>
      <c r="G446" s="52"/>
    </row>
    <row r="447" spans="1:7" s="8" customFormat="1" ht="13.2" x14ac:dyDescent="0.25">
      <c r="A447" s="27" t="s">
        <v>1709</v>
      </c>
      <c r="B447" s="6" t="s">
        <v>1710</v>
      </c>
      <c r="C447" s="217" t="s">
        <v>1141</v>
      </c>
      <c r="D447" s="53">
        <v>0</v>
      </c>
      <c r="E447" s="121">
        <f>Saisie!D447</f>
        <v>0</v>
      </c>
      <c r="F447" s="51">
        <f t="shared" si="32"/>
        <v>0</v>
      </c>
      <c r="G447" s="45"/>
    </row>
    <row r="448" spans="1:7" s="43" customFormat="1" ht="26.4" x14ac:dyDescent="0.25">
      <c r="A448" s="27" t="s">
        <v>1711</v>
      </c>
      <c r="B448" s="6" t="s">
        <v>1712</v>
      </c>
      <c r="C448" s="217" t="s">
        <v>1141</v>
      </c>
      <c r="D448" s="53">
        <v>0</v>
      </c>
      <c r="E448" s="121">
        <f>Saisie!D448</f>
        <v>0</v>
      </c>
      <c r="F448" s="51">
        <f t="shared" si="32"/>
        <v>0</v>
      </c>
      <c r="G448" s="52"/>
    </row>
    <row r="449" spans="1:7" s="43" customFormat="1" ht="26.4" x14ac:dyDescent="0.25">
      <c r="A449" s="27" t="s">
        <v>1713</v>
      </c>
      <c r="B449" s="6" t="s">
        <v>1714</v>
      </c>
      <c r="C449" s="217"/>
      <c r="D449" s="45"/>
      <c r="E449" s="121"/>
      <c r="F449" s="51"/>
      <c r="G449" s="52"/>
    </row>
    <row r="450" spans="1:7" s="43" customFormat="1" ht="13.2" x14ac:dyDescent="0.25">
      <c r="A450" s="202" t="s">
        <v>1715</v>
      </c>
      <c r="B450" s="216" t="s">
        <v>1716</v>
      </c>
      <c r="C450" s="217" t="s">
        <v>1232</v>
      </c>
      <c r="D450" s="53">
        <v>3.71</v>
      </c>
      <c r="E450" s="121">
        <f>Saisie!D450</f>
        <v>0</v>
      </c>
      <c r="F450" s="51">
        <f t="shared" si="32"/>
        <v>0</v>
      </c>
      <c r="G450" s="52"/>
    </row>
    <row r="451" spans="1:7" s="43" customFormat="1" ht="13.2" x14ac:dyDescent="0.25">
      <c r="A451" s="202" t="s">
        <v>1717</v>
      </c>
      <c r="B451" s="216" t="s">
        <v>1718</v>
      </c>
      <c r="C451" s="217"/>
      <c r="D451" s="45"/>
      <c r="E451" s="121"/>
      <c r="F451" s="46"/>
      <c r="G451" s="52"/>
    </row>
    <row r="452" spans="1:7" s="43" customFormat="1" ht="13.2" x14ac:dyDescent="0.25">
      <c r="A452" s="202" t="s">
        <v>1719</v>
      </c>
      <c r="B452" s="216" t="s">
        <v>1720</v>
      </c>
      <c r="C452" s="217" t="s">
        <v>1232</v>
      </c>
      <c r="D452" s="53">
        <v>0</v>
      </c>
      <c r="E452" s="121">
        <f>Saisie!D452</f>
        <v>0</v>
      </c>
      <c r="F452" s="51">
        <f t="shared" si="32"/>
        <v>0</v>
      </c>
      <c r="G452" s="52"/>
    </row>
    <row r="453" spans="1:7" s="8" customFormat="1" ht="13.2" x14ac:dyDescent="0.25">
      <c r="A453" s="202" t="s">
        <v>1721</v>
      </c>
      <c r="B453" s="216" t="s">
        <v>1722</v>
      </c>
      <c r="C453" s="217" t="s">
        <v>1232</v>
      </c>
      <c r="D453" s="53">
        <v>34.799999999999997</v>
      </c>
      <c r="E453" s="121">
        <f>Saisie!D453</f>
        <v>0</v>
      </c>
      <c r="F453" s="51">
        <f t="shared" si="32"/>
        <v>0</v>
      </c>
      <c r="G453" s="52"/>
    </row>
    <row r="454" spans="1:7" s="8" customFormat="1" ht="13.2" x14ac:dyDescent="0.25">
      <c r="A454" s="202" t="s">
        <v>1723</v>
      </c>
      <c r="B454" s="216" t="s">
        <v>1724</v>
      </c>
      <c r="C454" s="217" t="s">
        <v>1232</v>
      </c>
      <c r="D454" s="53">
        <v>0</v>
      </c>
      <c r="E454" s="121">
        <f>Saisie!D454</f>
        <v>0</v>
      </c>
      <c r="F454" s="51">
        <f t="shared" si="32"/>
        <v>0</v>
      </c>
    </row>
    <row r="455" spans="1:7" s="8" customFormat="1" ht="13.2" x14ac:dyDescent="0.25">
      <c r="A455" s="27" t="s">
        <v>1725</v>
      </c>
      <c r="B455" s="6" t="s">
        <v>1726</v>
      </c>
      <c r="C455" s="217"/>
      <c r="D455" s="45"/>
      <c r="E455" s="121"/>
      <c r="F455" s="51"/>
    </row>
    <row r="456" spans="1:7" s="8" customFormat="1" ht="13.2" x14ac:dyDescent="0.25">
      <c r="A456" s="202" t="s">
        <v>1727</v>
      </c>
      <c r="B456" s="216" t="s">
        <v>1728</v>
      </c>
      <c r="C456" s="217" t="s">
        <v>1232</v>
      </c>
      <c r="D456" s="53">
        <v>0</v>
      </c>
      <c r="E456" s="121">
        <f>Saisie!D456</f>
        <v>0</v>
      </c>
      <c r="F456" s="51">
        <f t="shared" si="32"/>
        <v>0</v>
      </c>
    </row>
    <row r="457" spans="1:7" s="8" customFormat="1" ht="13.2" x14ac:dyDescent="0.25">
      <c r="A457" s="202" t="s">
        <v>1729</v>
      </c>
      <c r="B457" s="216" t="s">
        <v>1730</v>
      </c>
      <c r="C457" s="217" t="s">
        <v>1232</v>
      </c>
      <c r="D457" s="53">
        <v>0</v>
      </c>
      <c r="E457" s="121">
        <f>Saisie!D457</f>
        <v>0</v>
      </c>
      <c r="F457" s="51">
        <f t="shared" si="32"/>
        <v>0</v>
      </c>
    </row>
    <row r="458" spans="1:7" s="8" customFormat="1" ht="13.2" x14ac:dyDescent="0.25">
      <c r="A458" s="27" t="s">
        <v>1731</v>
      </c>
      <c r="B458" s="6" t="s">
        <v>1732</v>
      </c>
      <c r="C458" s="217" t="s">
        <v>1141</v>
      </c>
      <c r="D458" s="53">
        <v>0</v>
      </c>
      <c r="E458" s="121">
        <f>Saisie!D458</f>
        <v>0</v>
      </c>
      <c r="F458" s="51">
        <f t="shared" si="32"/>
        <v>0</v>
      </c>
    </row>
    <row r="459" spans="1:7" s="43" customFormat="1" ht="13.2" x14ac:dyDescent="0.25">
      <c r="A459" s="27" t="s">
        <v>1733</v>
      </c>
      <c r="B459" s="6" t="s">
        <v>1734</v>
      </c>
      <c r="C459" s="217" t="s">
        <v>1141</v>
      </c>
      <c r="D459" s="53">
        <v>0</v>
      </c>
      <c r="E459" s="121">
        <f>Saisie!D459</f>
        <v>0</v>
      </c>
      <c r="F459" s="51">
        <f t="shared" si="32"/>
        <v>0</v>
      </c>
      <c r="G459" s="52"/>
    </row>
    <row r="460" spans="1:7" s="43" customFormat="1" ht="13.2" x14ac:dyDescent="0.25">
      <c r="A460" s="27" t="s">
        <v>1735</v>
      </c>
      <c r="B460" s="6" t="s">
        <v>1736</v>
      </c>
      <c r="C460" s="217"/>
      <c r="D460" s="45"/>
      <c r="E460" s="121"/>
      <c r="F460" s="51"/>
      <c r="G460" s="76"/>
    </row>
    <row r="461" spans="1:7" s="43" customFormat="1" ht="26.4" x14ac:dyDescent="0.25">
      <c r="A461" s="202" t="s">
        <v>1737</v>
      </c>
      <c r="B461" s="216" t="s">
        <v>1738</v>
      </c>
      <c r="C461" s="217" t="s">
        <v>1141</v>
      </c>
      <c r="D461" s="53">
        <v>0</v>
      </c>
      <c r="E461" s="121">
        <f>Saisie!D461</f>
        <v>0</v>
      </c>
      <c r="F461" s="51">
        <f t="shared" si="32"/>
        <v>0</v>
      </c>
      <c r="G461" s="52"/>
    </row>
    <row r="462" spans="1:7" s="43" customFormat="1" ht="13.2" x14ac:dyDescent="0.25">
      <c r="A462" s="202" t="s">
        <v>1739</v>
      </c>
      <c r="B462" s="216" t="s">
        <v>1740</v>
      </c>
      <c r="C462" s="217"/>
      <c r="D462" s="45"/>
      <c r="E462" s="121"/>
      <c r="F462" s="51"/>
      <c r="G462" s="52"/>
    </row>
    <row r="463" spans="1:7" s="43" customFormat="1" ht="13.2" x14ac:dyDescent="0.25">
      <c r="A463" s="202" t="s">
        <v>1741</v>
      </c>
      <c r="B463" s="216" t="s">
        <v>1742</v>
      </c>
      <c r="C463" s="217" t="s">
        <v>1141</v>
      </c>
      <c r="D463" s="53">
        <v>0</v>
      </c>
      <c r="E463" s="121">
        <f>Saisie!D463</f>
        <v>0</v>
      </c>
      <c r="F463" s="51">
        <f>E463*D463</f>
        <v>0</v>
      </c>
      <c r="G463" s="52"/>
    </row>
    <row r="464" spans="1:7" s="43" customFormat="1" ht="13.2" x14ac:dyDescent="0.25">
      <c r="A464" s="202" t="s">
        <v>1743</v>
      </c>
      <c r="B464" s="216" t="s">
        <v>1744</v>
      </c>
      <c r="C464" s="217" t="s">
        <v>1141</v>
      </c>
      <c r="D464" s="53">
        <v>0</v>
      </c>
      <c r="E464" s="121">
        <f>Saisie!D464</f>
        <v>0</v>
      </c>
      <c r="F464" s="51">
        <f>E464*D464</f>
        <v>0</v>
      </c>
      <c r="G464" s="76"/>
    </row>
    <row r="465" spans="1:8" s="43" customFormat="1" ht="13.2" x14ac:dyDescent="0.25">
      <c r="A465" s="202" t="s">
        <v>1745</v>
      </c>
      <c r="B465" s="216" t="s">
        <v>1746</v>
      </c>
      <c r="C465" s="217"/>
      <c r="D465" s="45"/>
      <c r="E465" s="121"/>
      <c r="F465" s="51"/>
      <c r="G465" s="52"/>
    </row>
    <row r="466" spans="1:8" s="43" customFormat="1" ht="13.2" x14ac:dyDescent="0.25">
      <c r="A466" s="202" t="s">
        <v>1747</v>
      </c>
      <c r="B466" s="216" t="s">
        <v>1748</v>
      </c>
      <c r="C466" s="217" t="s">
        <v>1232</v>
      </c>
      <c r="D466" s="53">
        <v>0</v>
      </c>
      <c r="E466" s="121">
        <f>Saisie!D466</f>
        <v>0</v>
      </c>
      <c r="F466" s="51">
        <f t="shared" ref="F466:F474" si="33">D466*E466</f>
        <v>0</v>
      </c>
      <c r="G466" s="52"/>
      <c r="H466" s="26"/>
    </row>
    <row r="467" spans="1:8" s="43" customFormat="1" ht="13.2" x14ac:dyDescent="0.25">
      <c r="A467" s="202" t="s">
        <v>1749</v>
      </c>
      <c r="B467" s="216" t="s">
        <v>1750</v>
      </c>
      <c r="C467" s="217" t="s">
        <v>1232</v>
      </c>
      <c r="D467" s="53">
        <v>0</v>
      </c>
      <c r="E467" s="121">
        <f>Saisie!D467</f>
        <v>0</v>
      </c>
      <c r="F467" s="51">
        <f t="shared" si="33"/>
        <v>0</v>
      </c>
      <c r="G467" s="76"/>
    </row>
    <row r="468" spans="1:8" s="43" customFormat="1" ht="13.2" x14ac:dyDescent="0.25">
      <c r="A468" s="202" t="s">
        <v>1751</v>
      </c>
      <c r="B468" s="216" t="s">
        <v>1752</v>
      </c>
      <c r="C468" s="217" t="s">
        <v>1232</v>
      </c>
      <c r="D468" s="53">
        <v>0</v>
      </c>
      <c r="E468" s="121">
        <f>Saisie!D468</f>
        <v>0</v>
      </c>
      <c r="F468" s="51">
        <f t="shared" si="33"/>
        <v>0</v>
      </c>
      <c r="G468" s="52"/>
    </row>
    <row r="469" spans="1:8" s="43" customFormat="1" ht="13.2" x14ac:dyDescent="0.25">
      <c r="A469" s="202" t="s">
        <v>1753</v>
      </c>
      <c r="B469" s="216" t="s">
        <v>1754</v>
      </c>
      <c r="C469" s="217" t="s">
        <v>1232</v>
      </c>
      <c r="D469" s="53">
        <v>0</v>
      </c>
      <c r="E469" s="121">
        <f>Saisie!D469</f>
        <v>0</v>
      </c>
      <c r="F469" s="51">
        <f t="shared" si="33"/>
        <v>0</v>
      </c>
      <c r="G469" s="52"/>
    </row>
    <row r="470" spans="1:8" s="43" customFormat="1" ht="13.2" x14ac:dyDescent="0.25">
      <c r="A470" s="202" t="s">
        <v>1755</v>
      </c>
      <c r="B470" s="216" t="s">
        <v>1756</v>
      </c>
      <c r="C470" s="217" t="s">
        <v>1232</v>
      </c>
      <c r="D470" s="53">
        <v>0</v>
      </c>
      <c r="E470" s="121">
        <f>Saisie!D470</f>
        <v>0</v>
      </c>
      <c r="F470" s="51">
        <f t="shared" si="33"/>
        <v>0</v>
      </c>
      <c r="G470" s="45"/>
    </row>
    <row r="471" spans="1:8" s="43" customFormat="1" ht="13.2" x14ac:dyDescent="0.25">
      <c r="A471" s="202" t="s">
        <v>1757</v>
      </c>
      <c r="B471" s="216" t="s">
        <v>1758</v>
      </c>
      <c r="C471" s="217"/>
      <c r="D471" s="45"/>
      <c r="E471" s="121"/>
      <c r="F471" s="51"/>
      <c r="G471" s="76"/>
    </row>
    <row r="472" spans="1:8" s="43" customFormat="1" ht="13.2" x14ac:dyDescent="0.25">
      <c r="A472" s="202" t="s">
        <v>1759</v>
      </c>
      <c r="B472" s="216" t="s">
        <v>1760</v>
      </c>
      <c r="C472" s="217" t="s">
        <v>1232</v>
      </c>
      <c r="D472" s="53">
        <v>3.71</v>
      </c>
      <c r="E472" s="121">
        <f>Saisie!D472</f>
        <v>0</v>
      </c>
      <c r="F472" s="51">
        <f t="shared" si="33"/>
        <v>0</v>
      </c>
      <c r="G472" s="52"/>
    </row>
    <row r="473" spans="1:8" s="43" customFormat="1" ht="13.2" x14ac:dyDescent="0.25">
      <c r="A473" s="202" t="s">
        <v>1761</v>
      </c>
      <c r="B473" s="216" t="s">
        <v>1762</v>
      </c>
      <c r="C473" s="217" t="s">
        <v>1232</v>
      </c>
      <c r="D473" s="53">
        <v>34.799999999999997</v>
      </c>
      <c r="E473" s="121">
        <f>Saisie!D473</f>
        <v>0</v>
      </c>
      <c r="F473" s="51">
        <f t="shared" si="33"/>
        <v>0</v>
      </c>
      <c r="G473" s="52"/>
    </row>
    <row r="474" spans="1:8" s="43" customFormat="1" ht="13.2" x14ac:dyDescent="0.25">
      <c r="A474" s="202" t="s">
        <v>1763</v>
      </c>
      <c r="B474" s="216" t="s">
        <v>1764</v>
      </c>
      <c r="C474" s="217" t="s">
        <v>1232</v>
      </c>
      <c r="D474" s="53">
        <v>0</v>
      </c>
      <c r="E474" s="121">
        <f>Saisie!D474</f>
        <v>0</v>
      </c>
      <c r="F474" s="51">
        <f t="shared" si="33"/>
        <v>0</v>
      </c>
      <c r="G474" s="45"/>
    </row>
    <row r="475" spans="1:8" s="43" customFormat="1" ht="13.2" x14ac:dyDescent="0.25">
      <c r="A475" s="202" t="s">
        <v>1765</v>
      </c>
      <c r="B475" s="216" t="s">
        <v>1766</v>
      </c>
      <c r="C475" s="217" t="s">
        <v>1232</v>
      </c>
      <c r="D475" s="53">
        <v>0</v>
      </c>
      <c r="E475" s="121">
        <f>Saisie!D475</f>
        <v>0</v>
      </c>
      <c r="F475" s="51">
        <f t="shared" ref="F475:F480" si="34">E475*D475</f>
        <v>0</v>
      </c>
      <c r="G475" s="76"/>
    </row>
    <row r="476" spans="1:8" s="43" customFormat="1" ht="13.2" x14ac:dyDescent="0.25">
      <c r="A476" s="202" t="s">
        <v>1767</v>
      </c>
      <c r="B476" s="216" t="s">
        <v>1768</v>
      </c>
      <c r="C476" s="217" t="s">
        <v>1141</v>
      </c>
      <c r="D476" s="53">
        <v>0</v>
      </c>
      <c r="E476" s="121">
        <f>Saisie!D476</f>
        <v>0</v>
      </c>
      <c r="F476" s="51">
        <f t="shared" si="34"/>
        <v>0</v>
      </c>
      <c r="G476" s="52"/>
    </row>
    <row r="477" spans="1:8" s="43" customFormat="1" ht="26.4" x14ac:dyDescent="0.25">
      <c r="A477" s="202" t="s">
        <v>1769</v>
      </c>
      <c r="B477" s="216" t="s">
        <v>1770</v>
      </c>
      <c r="C477" s="217" t="s">
        <v>1232</v>
      </c>
      <c r="D477" s="53">
        <v>0</v>
      </c>
      <c r="E477" s="121">
        <f>Saisie!D477</f>
        <v>0</v>
      </c>
      <c r="F477" s="51">
        <f t="shared" si="34"/>
        <v>0</v>
      </c>
      <c r="G477" s="52"/>
    </row>
    <row r="478" spans="1:8" s="43" customFormat="1" ht="13.2" x14ac:dyDescent="0.25">
      <c r="A478" s="202" t="s">
        <v>1771</v>
      </c>
      <c r="B478" s="216" t="s">
        <v>1772</v>
      </c>
      <c r="C478" s="217" t="s">
        <v>1141</v>
      </c>
      <c r="D478" s="53">
        <v>0</v>
      </c>
      <c r="E478" s="121">
        <f>Saisie!D478</f>
        <v>0</v>
      </c>
      <c r="F478" s="51">
        <f t="shared" si="34"/>
        <v>0</v>
      </c>
      <c r="G478" s="52"/>
    </row>
    <row r="479" spans="1:8" s="43" customFormat="1" ht="13.2" x14ac:dyDescent="0.25">
      <c r="A479" s="202" t="s">
        <v>1773</v>
      </c>
      <c r="B479" s="216" t="s">
        <v>1774</v>
      </c>
      <c r="C479" s="217" t="s">
        <v>1141</v>
      </c>
      <c r="D479" s="53">
        <v>0</v>
      </c>
      <c r="E479" s="121">
        <f>Saisie!D479</f>
        <v>0</v>
      </c>
      <c r="F479" s="51">
        <f t="shared" si="34"/>
        <v>0</v>
      </c>
      <c r="G479" s="45"/>
    </row>
    <row r="480" spans="1:8" s="43" customFormat="1" ht="13.2" x14ac:dyDescent="0.25">
      <c r="A480" s="202" t="s">
        <v>1775</v>
      </c>
      <c r="B480" s="216" t="s">
        <v>1776</v>
      </c>
      <c r="C480" s="217" t="s">
        <v>1034</v>
      </c>
      <c r="D480" s="53">
        <v>0</v>
      </c>
      <c r="E480" s="121">
        <f>Saisie!D480</f>
        <v>0</v>
      </c>
      <c r="F480" s="51">
        <f t="shared" si="34"/>
        <v>0</v>
      </c>
      <c r="G480" s="76"/>
    </row>
    <row r="481" spans="1:7" s="43" customFormat="1" ht="13.2" x14ac:dyDescent="0.25">
      <c r="A481" s="202" t="s">
        <v>1777</v>
      </c>
      <c r="B481" s="216" t="s">
        <v>1778</v>
      </c>
      <c r="C481" s="217"/>
      <c r="D481" s="45"/>
      <c r="E481" s="121"/>
      <c r="F481" s="51"/>
      <c r="G481" s="52"/>
    </row>
    <row r="482" spans="1:7" s="43" customFormat="1" ht="13.2" x14ac:dyDescent="0.25">
      <c r="A482" s="202" t="s">
        <v>1779</v>
      </c>
      <c r="B482" s="216" t="s">
        <v>1780</v>
      </c>
      <c r="C482" s="217" t="s">
        <v>1141</v>
      </c>
      <c r="D482" s="53">
        <v>0</v>
      </c>
      <c r="E482" s="121">
        <f>Saisie!D482</f>
        <v>0</v>
      </c>
      <c r="F482" s="51">
        <f t="shared" ref="F482:F495" si="35">E482*D482</f>
        <v>0</v>
      </c>
      <c r="G482" s="52"/>
    </row>
    <row r="483" spans="1:7" s="8" customFormat="1" ht="13.2" x14ac:dyDescent="0.25">
      <c r="A483" s="202" t="s">
        <v>1781</v>
      </c>
      <c r="B483" s="216" t="s">
        <v>1782</v>
      </c>
      <c r="C483" s="217" t="s">
        <v>1141</v>
      </c>
      <c r="D483" s="53">
        <v>0</v>
      </c>
      <c r="E483" s="121">
        <f>Saisie!D483</f>
        <v>0</v>
      </c>
      <c r="F483" s="51">
        <f t="shared" si="35"/>
        <v>0</v>
      </c>
      <c r="G483" s="45"/>
    </row>
    <row r="484" spans="1:7" s="43" customFormat="1" ht="13.2" x14ac:dyDescent="0.25">
      <c r="A484" s="202" t="s">
        <v>1783</v>
      </c>
      <c r="B484" s="216" t="s">
        <v>1784</v>
      </c>
      <c r="C484" s="217" t="s">
        <v>1141</v>
      </c>
      <c r="D484" s="53">
        <v>0</v>
      </c>
      <c r="E484" s="121">
        <f>Saisie!D484</f>
        <v>0</v>
      </c>
      <c r="F484" s="51">
        <f>E484*D484</f>
        <v>0</v>
      </c>
      <c r="G484" s="52"/>
    </row>
    <row r="485" spans="1:7" s="43" customFormat="1" ht="13.2" x14ac:dyDescent="0.25">
      <c r="A485" s="202" t="s">
        <v>1785</v>
      </c>
      <c r="B485" s="192" t="s">
        <v>4344</v>
      </c>
      <c r="C485" s="217" t="s">
        <v>1141</v>
      </c>
      <c r="D485" s="53">
        <v>0</v>
      </c>
      <c r="E485" s="121">
        <f>Saisie!D485</f>
        <v>0</v>
      </c>
      <c r="F485" s="51">
        <f>E485*D485</f>
        <v>0</v>
      </c>
      <c r="G485" s="52"/>
    </row>
    <row r="486" spans="1:7" s="43" customFormat="1" ht="13.2" x14ac:dyDescent="0.25">
      <c r="A486" s="202" t="s">
        <v>1786</v>
      </c>
      <c r="B486" s="192" t="s">
        <v>1787</v>
      </c>
      <c r="C486" s="217" t="s">
        <v>1141</v>
      </c>
      <c r="D486" s="53">
        <v>0</v>
      </c>
      <c r="E486" s="121">
        <f>Saisie!D486</f>
        <v>0</v>
      </c>
      <c r="F486" s="51">
        <f>E486*D486</f>
        <v>0</v>
      </c>
      <c r="G486" s="52"/>
    </row>
    <row r="487" spans="1:7" s="43" customFormat="1" ht="13.2" x14ac:dyDescent="0.25">
      <c r="A487" s="202" t="s">
        <v>1788</v>
      </c>
      <c r="B487" s="216" t="s">
        <v>4345</v>
      </c>
      <c r="C487" s="217"/>
      <c r="D487" s="53"/>
      <c r="E487" s="121"/>
      <c r="F487" s="51"/>
      <c r="G487" s="52"/>
    </row>
    <row r="488" spans="1:7" s="43" customFormat="1" ht="13.2" x14ac:dyDescent="0.25">
      <c r="A488" s="202" t="s">
        <v>4346</v>
      </c>
      <c r="B488" s="192" t="s">
        <v>4355</v>
      </c>
      <c r="C488" s="217" t="s">
        <v>1141</v>
      </c>
      <c r="D488" s="53">
        <v>0</v>
      </c>
      <c r="E488" s="121">
        <f>Saisie!D487</f>
        <v>0</v>
      </c>
      <c r="F488" s="51"/>
      <c r="G488" s="52"/>
    </row>
    <row r="489" spans="1:7" s="43" customFormat="1" ht="13.2" x14ac:dyDescent="0.25">
      <c r="A489" s="202" t="s">
        <v>4347</v>
      </c>
      <c r="B489" s="192" t="s">
        <v>4349</v>
      </c>
      <c r="C489" s="217" t="s">
        <v>1141</v>
      </c>
      <c r="D489" s="53">
        <v>0</v>
      </c>
      <c r="E489" s="121">
        <f>Saisie!D489</f>
        <v>0</v>
      </c>
      <c r="F489" s="51">
        <f t="shared" ref="F489" si="36">E489*D489</f>
        <v>0</v>
      </c>
      <c r="G489" s="52"/>
    </row>
    <row r="490" spans="1:7" s="43" customFormat="1" ht="13.2" x14ac:dyDescent="0.25">
      <c r="A490" s="202" t="s">
        <v>4354</v>
      </c>
      <c r="B490" s="192" t="s">
        <v>4350</v>
      </c>
      <c r="C490" s="217" t="s">
        <v>1141</v>
      </c>
      <c r="D490" s="53">
        <v>0</v>
      </c>
      <c r="E490" s="121">
        <f>Saisie!D490</f>
        <v>0</v>
      </c>
      <c r="F490" s="51">
        <f t="shared" ref="F490" si="37">E490*D490</f>
        <v>0</v>
      </c>
      <c r="G490" s="52"/>
    </row>
    <row r="491" spans="1:7" s="43" customFormat="1" ht="13.2" x14ac:dyDescent="0.25">
      <c r="A491" s="202" t="s">
        <v>1789</v>
      </c>
      <c r="B491" s="216" t="s">
        <v>1790</v>
      </c>
      <c r="C491" s="217" t="s">
        <v>1141</v>
      </c>
      <c r="D491" s="53">
        <v>0</v>
      </c>
      <c r="E491" s="121">
        <f>Saisie!D491</f>
        <v>0</v>
      </c>
      <c r="F491" s="51">
        <f t="shared" si="35"/>
        <v>0</v>
      </c>
      <c r="G491" s="52"/>
    </row>
    <row r="492" spans="1:7" s="43" customFormat="1" ht="13.2" x14ac:dyDescent="0.25">
      <c r="A492" s="202" t="s">
        <v>1791</v>
      </c>
      <c r="B492" s="216" t="s">
        <v>1792</v>
      </c>
      <c r="C492" s="217" t="s">
        <v>1141</v>
      </c>
      <c r="D492" s="53">
        <v>0</v>
      </c>
      <c r="E492" s="121">
        <f>Saisie!D492</f>
        <v>0</v>
      </c>
      <c r="F492" s="51">
        <f>E492*D492</f>
        <v>0</v>
      </c>
      <c r="G492" s="52"/>
    </row>
    <row r="493" spans="1:7" s="2" customFormat="1" ht="13.2" x14ac:dyDescent="0.25">
      <c r="A493" s="202" t="s">
        <v>1793</v>
      </c>
      <c r="B493" s="216" t="s">
        <v>1794</v>
      </c>
      <c r="C493" s="217" t="s">
        <v>1141</v>
      </c>
      <c r="D493" s="53">
        <v>0</v>
      </c>
      <c r="E493" s="121">
        <f>Saisie!D493</f>
        <v>0</v>
      </c>
      <c r="F493" s="51">
        <f t="shared" si="35"/>
        <v>0</v>
      </c>
      <c r="G493" s="52"/>
    </row>
    <row r="494" spans="1:7" s="2" customFormat="1" ht="13.2" x14ac:dyDescent="0.25">
      <c r="A494" s="202" t="s">
        <v>1795</v>
      </c>
      <c r="B494" s="216" t="s">
        <v>1796</v>
      </c>
      <c r="C494" s="217" t="s">
        <v>1141</v>
      </c>
      <c r="D494" s="53">
        <v>0</v>
      </c>
      <c r="E494" s="121">
        <f>Saisie!D494</f>
        <v>0</v>
      </c>
      <c r="F494" s="51">
        <f>E494*D494</f>
        <v>0</v>
      </c>
      <c r="G494" s="52"/>
    </row>
    <row r="495" spans="1:7" s="2" customFormat="1" ht="13.2" x14ac:dyDescent="0.25">
      <c r="A495" s="202" t="s">
        <v>1797</v>
      </c>
      <c r="B495" s="216" t="s">
        <v>1798</v>
      </c>
      <c r="C495" s="217" t="s">
        <v>1141</v>
      </c>
      <c r="D495" s="53">
        <v>0</v>
      </c>
      <c r="E495" s="121">
        <f>Saisie!D495</f>
        <v>0</v>
      </c>
      <c r="F495" s="51">
        <f t="shared" si="35"/>
        <v>0</v>
      </c>
      <c r="G495" s="52"/>
    </row>
    <row r="496" spans="1:7" s="2" customFormat="1" ht="13.2" x14ac:dyDescent="0.25">
      <c r="A496" s="202" t="s">
        <v>1799</v>
      </c>
      <c r="B496" s="216" t="s">
        <v>4351</v>
      </c>
      <c r="C496" s="217" t="s">
        <v>1141</v>
      </c>
      <c r="D496" s="53">
        <v>0</v>
      </c>
      <c r="E496" s="121">
        <f>Saisie!D496</f>
        <v>0</v>
      </c>
      <c r="F496" s="51">
        <f>E496*D496</f>
        <v>0</v>
      </c>
      <c r="G496" s="52"/>
    </row>
    <row r="497" spans="1:7" s="2" customFormat="1" ht="26.4" x14ac:dyDescent="0.25">
      <c r="A497" s="202" t="s">
        <v>1800</v>
      </c>
      <c r="B497" s="216" t="s">
        <v>1801</v>
      </c>
      <c r="C497" s="217"/>
      <c r="D497" s="45"/>
      <c r="E497" s="121"/>
      <c r="F497" s="51"/>
      <c r="G497" s="52"/>
    </row>
    <row r="498" spans="1:7" s="17" customFormat="1" ht="13.2" x14ac:dyDescent="0.25">
      <c r="A498" s="202" t="s">
        <v>1802</v>
      </c>
      <c r="B498" s="216" t="s">
        <v>1803</v>
      </c>
      <c r="C498" s="217" t="s">
        <v>1804</v>
      </c>
      <c r="D498" s="53">
        <v>45.21</v>
      </c>
      <c r="E498" s="121">
        <f>Saisie!D498</f>
        <v>0</v>
      </c>
      <c r="F498" s="51">
        <f>E498*D498</f>
        <v>0</v>
      </c>
    </row>
    <row r="499" spans="1:7" s="17" customFormat="1" ht="13.2" x14ac:dyDescent="0.25">
      <c r="A499" s="202" t="s">
        <v>1805</v>
      </c>
      <c r="B499" s="216" t="s">
        <v>1806</v>
      </c>
      <c r="C499" s="217" t="s">
        <v>1804</v>
      </c>
      <c r="D499" s="53">
        <v>0</v>
      </c>
      <c r="E499" s="121">
        <f>Saisie!D499</f>
        <v>0</v>
      </c>
      <c r="F499" s="51">
        <f>E499*D499</f>
        <v>0</v>
      </c>
    </row>
    <row r="500" spans="1:7" s="17" customFormat="1" ht="13.2" x14ac:dyDescent="0.25">
      <c r="A500" s="202" t="s">
        <v>1807</v>
      </c>
      <c r="B500" s="216" t="s">
        <v>1808</v>
      </c>
      <c r="C500" s="217" t="s">
        <v>1804</v>
      </c>
      <c r="D500" s="53">
        <v>0</v>
      </c>
      <c r="E500" s="121">
        <f>Saisie!D500</f>
        <v>0</v>
      </c>
      <c r="F500" s="51">
        <f>E500*D500</f>
        <v>0</v>
      </c>
    </row>
    <row r="501" spans="1:7" s="17" customFormat="1" ht="13.2" x14ac:dyDescent="0.25">
      <c r="A501" s="202" t="s">
        <v>1809</v>
      </c>
      <c r="B501" s="216" t="s">
        <v>1810</v>
      </c>
      <c r="C501" s="217" t="s">
        <v>1804</v>
      </c>
      <c r="D501" s="53">
        <v>1.93</v>
      </c>
      <c r="E501" s="121">
        <f>Saisie!D501</f>
        <v>0</v>
      </c>
      <c r="F501" s="51">
        <f>E501*D501</f>
        <v>0</v>
      </c>
    </row>
    <row r="502" spans="1:7" s="17" customFormat="1" ht="13.2" x14ac:dyDescent="0.25">
      <c r="A502" s="202" t="s">
        <v>1811</v>
      </c>
      <c r="B502" s="216" t="s">
        <v>1812</v>
      </c>
      <c r="C502" s="217" t="s">
        <v>1804</v>
      </c>
      <c r="D502" s="53">
        <v>0</v>
      </c>
      <c r="E502" s="121">
        <f>Saisie!D502</f>
        <v>0</v>
      </c>
      <c r="F502" s="51">
        <f>E502*D502</f>
        <v>0</v>
      </c>
    </row>
    <row r="503" spans="1:7" s="17" customFormat="1" ht="13.2" x14ac:dyDescent="0.25">
      <c r="A503" s="202" t="s">
        <v>1813</v>
      </c>
      <c r="B503" s="216" t="s">
        <v>1814</v>
      </c>
      <c r="C503" s="217" t="s">
        <v>1804</v>
      </c>
      <c r="D503" s="53">
        <v>0</v>
      </c>
      <c r="E503" s="121">
        <f>Saisie!D503</f>
        <v>0</v>
      </c>
      <c r="F503" s="51">
        <f t="shared" ref="F503:F522" si="38">E503*D503</f>
        <v>0</v>
      </c>
      <c r="G503" s="3"/>
    </row>
    <row r="504" spans="1:7" s="17" customFormat="1" ht="13.2" x14ac:dyDescent="0.25">
      <c r="A504" s="202" t="s">
        <v>1815</v>
      </c>
      <c r="B504" s="216" t="s">
        <v>1816</v>
      </c>
      <c r="C504" s="217" t="s">
        <v>1804</v>
      </c>
      <c r="D504" s="53">
        <v>0</v>
      </c>
      <c r="E504" s="121">
        <f>Saisie!D504</f>
        <v>0</v>
      </c>
      <c r="F504" s="51">
        <f>E504*D504</f>
        <v>0</v>
      </c>
    </row>
    <row r="505" spans="1:7" s="17" customFormat="1" ht="13.2" x14ac:dyDescent="0.25">
      <c r="A505" s="202" t="s">
        <v>1817</v>
      </c>
      <c r="B505" s="216" t="s">
        <v>1818</v>
      </c>
      <c r="C505" s="217" t="s">
        <v>1804</v>
      </c>
      <c r="D505" s="53">
        <v>0</v>
      </c>
      <c r="E505" s="121">
        <f>Saisie!D505</f>
        <v>0</v>
      </c>
      <c r="F505" s="51">
        <f t="shared" si="38"/>
        <v>0</v>
      </c>
    </row>
    <row r="506" spans="1:7" s="17" customFormat="1" ht="13.2" x14ac:dyDescent="0.25">
      <c r="A506" s="202" t="s">
        <v>1819</v>
      </c>
      <c r="B506" s="216" t="s">
        <v>1820</v>
      </c>
      <c r="C506" s="217" t="s">
        <v>1804</v>
      </c>
      <c r="D506" s="53">
        <v>0</v>
      </c>
      <c r="E506" s="121">
        <f>Saisie!D506</f>
        <v>0</v>
      </c>
      <c r="F506" s="51">
        <f>E506*D506</f>
        <v>0</v>
      </c>
    </row>
    <row r="507" spans="1:7" s="17" customFormat="1" ht="13.2" x14ac:dyDescent="0.25">
      <c r="A507" s="202" t="s">
        <v>1821</v>
      </c>
      <c r="B507" s="216" t="s">
        <v>1822</v>
      </c>
      <c r="C507" s="217" t="s">
        <v>1804</v>
      </c>
      <c r="D507" s="53">
        <v>0</v>
      </c>
      <c r="E507" s="121">
        <f>Saisie!D507</f>
        <v>0</v>
      </c>
      <c r="F507" s="51">
        <f t="shared" si="38"/>
        <v>0</v>
      </c>
    </row>
    <row r="508" spans="1:7" s="17" customFormat="1" ht="13.2" x14ac:dyDescent="0.25">
      <c r="A508" s="202" t="s">
        <v>1823</v>
      </c>
      <c r="B508" s="216" t="s">
        <v>1824</v>
      </c>
      <c r="C508" s="217" t="s">
        <v>1804</v>
      </c>
      <c r="D508" s="53">
        <v>0</v>
      </c>
      <c r="E508" s="121">
        <f>Saisie!D508</f>
        <v>0</v>
      </c>
      <c r="F508" s="51">
        <f t="shared" si="38"/>
        <v>0</v>
      </c>
    </row>
    <row r="509" spans="1:7" s="17" customFormat="1" ht="13.2" x14ac:dyDescent="0.25">
      <c r="A509" s="202" t="s">
        <v>1825</v>
      </c>
      <c r="B509" s="216" t="s">
        <v>1826</v>
      </c>
      <c r="C509" s="217" t="s">
        <v>1804</v>
      </c>
      <c r="D509" s="53">
        <v>0</v>
      </c>
      <c r="E509" s="121">
        <f>Saisie!D509</f>
        <v>0</v>
      </c>
      <c r="F509" s="51">
        <f t="shared" si="38"/>
        <v>0</v>
      </c>
    </row>
    <row r="510" spans="1:7" s="17" customFormat="1" ht="13.2" x14ac:dyDescent="0.25">
      <c r="A510" s="202" t="s">
        <v>1827</v>
      </c>
      <c r="B510" s="216" t="s">
        <v>1828</v>
      </c>
      <c r="C510" s="217" t="s">
        <v>1804</v>
      </c>
      <c r="D510" s="53">
        <v>0</v>
      </c>
      <c r="E510" s="121">
        <f>Saisie!D510</f>
        <v>0</v>
      </c>
      <c r="F510" s="51">
        <f>E510*D510</f>
        <v>0</v>
      </c>
    </row>
    <row r="511" spans="1:7" s="17" customFormat="1" ht="13.2" x14ac:dyDescent="0.25">
      <c r="A511" s="202" t="s">
        <v>1829</v>
      </c>
      <c r="B511" s="216" t="s">
        <v>1830</v>
      </c>
      <c r="C511" s="217" t="s">
        <v>1804</v>
      </c>
      <c r="D511" s="53">
        <v>0</v>
      </c>
      <c r="E511" s="121">
        <f>Saisie!D511</f>
        <v>0</v>
      </c>
      <c r="F511" s="51">
        <f>E511*D511</f>
        <v>0</v>
      </c>
    </row>
    <row r="512" spans="1:7" s="17" customFormat="1" ht="13.2" x14ac:dyDescent="0.25">
      <c r="A512" s="202" t="s">
        <v>1831</v>
      </c>
      <c r="B512" s="216" t="s">
        <v>1832</v>
      </c>
      <c r="C512" s="217" t="s">
        <v>1141</v>
      </c>
      <c r="D512" s="53">
        <v>0</v>
      </c>
      <c r="E512" s="121">
        <f>Saisie!D512</f>
        <v>0</v>
      </c>
      <c r="F512" s="51">
        <f t="shared" ref="F512" si="39">E512*D512</f>
        <v>0</v>
      </c>
    </row>
    <row r="513" spans="1:6" s="17" customFormat="1" ht="13.2" x14ac:dyDescent="0.25">
      <c r="A513" s="202" t="s">
        <v>1833</v>
      </c>
      <c r="B513" s="216" t="s">
        <v>1834</v>
      </c>
      <c r="C513" s="217" t="s">
        <v>1141</v>
      </c>
      <c r="D513" s="53">
        <v>0</v>
      </c>
      <c r="E513" s="121">
        <f>Saisie!D513</f>
        <v>0</v>
      </c>
      <c r="F513" s="51">
        <f t="shared" ref="F513" si="40">E513*D513</f>
        <v>0</v>
      </c>
    </row>
    <row r="514" spans="1:6" s="17" customFormat="1" ht="13.2" x14ac:dyDescent="0.25">
      <c r="A514" s="202" t="s">
        <v>1835</v>
      </c>
      <c r="B514" s="216" t="s">
        <v>1836</v>
      </c>
      <c r="C514" s="217" t="s">
        <v>1804</v>
      </c>
      <c r="D514" s="53">
        <v>0</v>
      </c>
      <c r="E514" s="121">
        <f>Saisie!D514</f>
        <v>0</v>
      </c>
      <c r="F514" s="51">
        <f t="shared" si="38"/>
        <v>0</v>
      </c>
    </row>
    <row r="515" spans="1:6" s="17" customFormat="1" ht="13.2" x14ac:dyDescent="0.25">
      <c r="A515" s="202" t="s">
        <v>1837</v>
      </c>
      <c r="B515" s="216" t="s">
        <v>1838</v>
      </c>
      <c r="C515" s="217" t="s">
        <v>1804</v>
      </c>
      <c r="D515" s="53">
        <v>0</v>
      </c>
      <c r="E515" s="121">
        <f>Saisie!D515</f>
        <v>0</v>
      </c>
      <c r="F515" s="51">
        <f t="shared" si="38"/>
        <v>0</v>
      </c>
    </row>
    <row r="516" spans="1:6" s="17" customFormat="1" ht="13.2" x14ac:dyDescent="0.25">
      <c r="A516" s="202" t="s">
        <v>1839</v>
      </c>
      <c r="B516" s="216" t="s">
        <v>1840</v>
      </c>
      <c r="C516" s="217" t="s">
        <v>1804</v>
      </c>
      <c r="D516" s="53">
        <v>0</v>
      </c>
      <c r="E516" s="121">
        <f>Saisie!D516</f>
        <v>0</v>
      </c>
      <c r="F516" s="51">
        <f t="shared" si="38"/>
        <v>0</v>
      </c>
    </row>
    <row r="517" spans="1:6" s="17" customFormat="1" ht="13.2" x14ac:dyDescent="0.25">
      <c r="A517" s="202" t="s">
        <v>1841</v>
      </c>
      <c r="B517" s="216" t="s">
        <v>1842</v>
      </c>
      <c r="C517" s="217" t="s">
        <v>1804</v>
      </c>
      <c r="D517" s="53">
        <v>0</v>
      </c>
      <c r="E517" s="121">
        <f>Saisie!D517</f>
        <v>0</v>
      </c>
      <c r="F517" s="51">
        <f t="shared" si="38"/>
        <v>0</v>
      </c>
    </row>
    <row r="518" spans="1:6" s="17" customFormat="1" ht="26.4" x14ac:dyDescent="0.25">
      <c r="A518" s="202" t="s">
        <v>1843</v>
      </c>
      <c r="B518" s="216" t="s">
        <v>1844</v>
      </c>
      <c r="C518" s="217" t="s">
        <v>1804</v>
      </c>
      <c r="D518" s="53">
        <v>0</v>
      </c>
      <c r="E518" s="121">
        <f>Saisie!D518</f>
        <v>0</v>
      </c>
      <c r="F518" s="51">
        <f t="shared" si="38"/>
        <v>0</v>
      </c>
    </row>
    <row r="519" spans="1:6" s="17" customFormat="1" ht="26.4" x14ac:dyDescent="0.25">
      <c r="A519" s="202" t="s">
        <v>1845</v>
      </c>
      <c r="B519" s="216" t="s">
        <v>1846</v>
      </c>
      <c r="C519" s="217"/>
      <c r="D519" s="45"/>
      <c r="E519" s="121"/>
      <c r="F519" s="51"/>
    </row>
    <row r="520" spans="1:6" s="17" customFormat="1" ht="13.2" x14ac:dyDescent="0.25">
      <c r="A520" s="202" t="s">
        <v>1847</v>
      </c>
      <c r="B520" s="216" t="s">
        <v>1848</v>
      </c>
      <c r="C520" s="217" t="s">
        <v>1804</v>
      </c>
      <c r="D520" s="53">
        <v>0</v>
      </c>
      <c r="E520" s="121">
        <f>Saisie!D520</f>
        <v>0</v>
      </c>
      <c r="F520" s="51">
        <f t="shared" si="38"/>
        <v>0</v>
      </c>
    </row>
    <row r="521" spans="1:6" s="17" customFormat="1" ht="13.2" x14ac:dyDescent="0.25">
      <c r="A521" s="202" t="s">
        <v>1849</v>
      </c>
      <c r="B521" s="216" t="s">
        <v>1850</v>
      </c>
      <c r="C521" s="217" t="s">
        <v>1804</v>
      </c>
      <c r="D521" s="53">
        <f>D516+D511+D505+D500</f>
        <v>0</v>
      </c>
      <c r="E521" s="121">
        <f>Saisie!D521</f>
        <v>0</v>
      </c>
      <c r="F521" s="51">
        <f t="shared" si="38"/>
        <v>0</v>
      </c>
    </row>
    <row r="522" spans="1:6" s="17" customFormat="1" ht="13.2" x14ac:dyDescent="0.25">
      <c r="A522" s="202" t="s">
        <v>1851</v>
      </c>
      <c r="B522" s="216" t="s">
        <v>1852</v>
      </c>
      <c r="C522" s="217" t="s">
        <v>1141</v>
      </c>
      <c r="D522" s="53">
        <v>0</v>
      </c>
      <c r="E522" s="121">
        <f>Saisie!D522</f>
        <v>0</v>
      </c>
      <c r="F522" s="51">
        <f t="shared" si="38"/>
        <v>0</v>
      </c>
    </row>
    <row r="523" spans="1:6" s="17" customFormat="1" ht="13.2" x14ac:dyDescent="0.25">
      <c r="A523" s="202" t="s">
        <v>1853</v>
      </c>
      <c r="B523" s="216" t="s">
        <v>1854</v>
      </c>
      <c r="C523" s="217"/>
      <c r="D523" s="45"/>
      <c r="E523" s="121"/>
      <c r="F523" s="51"/>
    </row>
    <row r="524" spans="1:6" s="17" customFormat="1" ht="13.2" x14ac:dyDescent="0.25">
      <c r="A524" s="202" t="s">
        <v>1855</v>
      </c>
      <c r="B524" s="216" t="s">
        <v>1856</v>
      </c>
      <c r="C524" s="217" t="s">
        <v>1141</v>
      </c>
      <c r="D524" s="53">
        <v>0</v>
      </c>
      <c r="E524" s="121">
        <f>Saisie!D524</f>
        <v>0</v>
      </c>
      <c r="F524" s="51">
        <f t="shared" ref="F524:F584" si="41">E524*D524</f>
        <v>0</v>
      </c>
    </row>
    <row r="525" spans="1:6" s="17" customFormat="1" ht="13.2" x14ac:dyDescent="0.25">
      <c r="A525" s="202" t="s">
        <v>1857</v>
      </c>
      <c r="B525" s="216" t="s">
        <v>1858</v>
      </c>
      <c r="C525" s="217" t="s">
        <v>1141</v>
      </c>
      <c r="D525" s="53">
        <v>0</v>
      </c>
      <c r="E525" s="121">
        <f>Saisie!D525</f>
        <v>0</v>
      </c>
      <c r="F525" s="51">
        <f t="shared" si="41"/>
        <v>0</v>
      </c>
    </row>
    <row r="526" spans="1:6" s="17" customFormat="1" ht="13.2" x14ac:dyDescent="0.25">
      <c r="A526" s="202" t="s">
        <v>1859</v>
      </c>
      <c r="B526" s="216" t="s">
        <v>1860</v>
      </c>
      <c r="C526" s="217" t="s">
        <v>1141</v>
      </c>
      <c r="D526" s="53">
        <v>0</v>
      </c>
      <c r="E526" s="121">
        <f>Saisie!D526</f>
        <v>0</v>
      </c>
      <c r="F526" s="51">
        <f t="shared" si="41"/>
        <v>0</v>
      </c>
    </row>
    <row r="527" spans="1:6" s="17" customFormat="1" ht="13.2" x14ac:dyDescent="0.25">
      <c r="A527" s="202" t="s">
        <v>1861</v>
      </c>
      <c r="B527" s="216" t="s">
        <v>1862</v>
      </c>
      <c r="C527" s="217"/>
      <c r="D527" s="45"/>
      <c r="E527" s="121"/>
      <c r="F527" s="51"/>
    </row>
    <row r="528" spans="1:6" s="17" customFormat="1" ht="13.2" x14ac:dyDescent="0.25">
      <c r="A528" s="202" t="s">
        <v>1863</v>
      </c>
      <c r="B528" s="216" t="s">
        <v>1856</v>
      </c>
      <c r="C528" s="217" t="s">
        <v>1804</v>
      </c>
      <c r="D528" s="53">
        <v>0</v>
      </c>
      <c r="E528" s="121">
        <f>Saisie!D528</f>
        <v>0</v>
      </c>
      <c r="F528" s="51">
        <f>E528*D528</f>
        <v>0</v>
      </c>
    </row>
    <row r="529" spans="1:6" s="17" customFormat="1" ht="13.2" x14ac:dyDescent="0.25">
      <c r="A529" s="202" t="s">
        <v>1864</v>
      </c>
      <c r="B529" s="216" t="s">
        <v>1858</v>
      </c>
      <c r="C529" s="217" t="s">
        <v>1804</v>
      </c>
      <c r="D529" s="53">
        <v>0</v>
      </c>
      <c r="E529" s="121">
        <f>Saisie!D529</f>
        <v>0</v>
      </c>
      <c r="F529" s="51">
        <f>E529*D529</f>
        <v>0</v>
      </c>
    </row>
    <row r="530" spans="1:6" s="17" customFormat="1" ht="13.2" x14ac:dyDescent="0.25">
      <c r="A530" s="202" t="s">
        <v>1865</v>
      </c>
      <c r="B530" s="216" t="s">
        <v>1866</v>
      </c>
      <c r="C530" s="217" t="s">
        <v>1141</v>
      </c>
      <c r="D530" s="53">
        <v>0</v>
      </c>
      <c r="E530" s="121">
        <f>Saisie!D530</f>
        <v>0</v>
      </c>
      <c r="F530" s="51">
        <f t="shared" si="41"/>
        <v>0</v>
      </c>
    </row>
    <row r="531" spans="1:6" s="17" customFormat="1" ht="13.2" x14ac:dyDescent="0.25">
      <c r="A531" s="202" t="s">
        <v>1867</v>
      </c>
      <c r="B531" s="216" t="s">
        <v>1868</v>
      </c>
      <c r="C531" s="217" t="s">
        <v>1141</v>
      </c>
      <c r="D531" s="53">
        <v>0</v>
      </c>
      <c r="E531" s="121">
        <f>Saisie!D531</f>
        <v>0</v>
      </c>
      <c r="F531" s="51">
        <f t="shared" si="41"/>
        <v>0</v>
      </c>
    </row>
    <row r="532" spans="1:6" s="17" customFormat="1" ht="13.2" x14ac:dyDescent="0.25">
      <c r="A532" s="202" t="s">
        <v>1869</v>
      </c>
      <c r="B532" s="216" t="s">
        <v>1870</v>
      </c>
      <c r="C532" s="217" t="s">
        <v>1694</v>
      </c>
      <c r="D532" s="53">
        <v>0</v>
      </c>
      <c r="E532" s="121">
        <f>Saisie!D532</f>
        <v>0</v>
      </c>
      <c r="F532" s="51">
        <f t="shared" si="41"/>
        <v>0</v>
      </c>
    </row>
    <row r="533" spans="1:6" s="17" customFormat="1" ht="13.2" x14ac:dyDescent="0.25">
      <c r="A533" s="202" t="s">
        <v>1871</v>
      </c>
      <c r="B533" s="192" t="s">
        <v>1872</v>
      </c>
      <c r="C533" s="217" t="s">
        <v>1141</v>
      </c>
      <c r="D533" s="53">
        <v>0</v>
      </c>
      <c r="E533" s="121">
        <f>Saisie!D533</f>
        <v>0</v>
      </c>
      <c r="F533" s="51">
        <f>E533*D533</f>
        <v>0</v>
      </c>
    </row>
    <row r="534" spans="1:6" s="17" customFormat="1" ht="13.2" x14ac:dyDescent="0.25">
      <c r="A534" s="202" t="s">
        <v>1873</v>
      </c>
      <c r="B534" s="192" t="s">
        <v>1874</v>
      </c>
      <c r="C534" s="217" t="s">
        <v>1141</v>
      </c>
      <c r="D534" s="53">
        <v>0</v>
      </c>
      <c r="E534" s="121">
        <f>Saisie!D534</f>
        <v>0</v>
      </c>
      <c r="F534" s="51">
        <f>E534*D534</f>
        <v>0</v>
      </c>
    </row>
    <row r="535" spans="1:6" s="17" customFormat="1" ht="13.2" x14ac:dyDescent="0.25">
      <c r="A535" s="202" t="s">
        <v>1875</v>
      </c>
      <c r="B535" s="216" t="s">
        <v>1876</v>
      </c>
      <c r="C535" s="217"/>
      <c r="D535" s="45"/>
      <c r="E535" s="121"/>
      <c r="F535" s="51"/>
    </row>
    <row r="536" spans="1:6" s="17" customFormat="1" ht="26.4" x14ac:dyDescent="0.25">
      <c r="A536" s="202" t="s">
        <v>1877</v>
      </c>
      <c r="B536" s="216" t="s">
        <v>1878</v>
      </c>
      <c r="C536" s="217" t="s">
        <v>1034</v>
      </c>
      <c r="D536" s="53">
        <v>0</v>
      </c>
      <c r="E536" s="121">
        <f>Saisie!D536</f>
        <v>0</v>
      </c>
      <c r="F536" s="51">
        <f t="shared" si="41"/>
        <v>0</v>
      </c>
    </row>
    <row r="537" spans="1:6" s="17" customFormat="1" ht="26.4" x14ac:dyDescent="0.25">
      <c r="A537" s="202" t="s">
        <v>1879</v>
      </c>
      <c r="B537" s="216" t="s">
        <v>1880</v>
      </c>
      <c r="C537" s="217" t="s">
        <v>1034</v>
      </c>
      <c r="D537" s="53">
        <v>0</v>
      </c>
      <c r="E537" s="121">
        <f>Saisie!D537</f>
        <v>0</v>
      </c>
      <c r="F537" s="51">
        <f t="shared" si="41"/>
        <v>0</v>
      </c>
    </row>
    <row r="538" spans="1:6" s="17" customFormat="1" ht="18.75" customHeight="1" x14ac:dyDescent="0.25">
      <c r="A538" s="202" t="s">
        <v>1881</v>
      </c>
      <c r="B538" s="216" t="s">
        <v>1882</v>
      </c>
      <c r="C538" s="217" t="s">
        <v>1883</v>
      </c>
      <c r="D538" s="45"/>
      <c r="E538" s="121"/>
      <c r="F538" s="51"/>
    </row>
    <row r="539" spans="1:6" s="17" customFormat="1" ht="23.25" customHeight="1" x14ac:dyDescent="0.25">
      <c r="A539" s="202" t="s">
        <v>1884</v>
      </c>
      <c r="B539" s="216" t="s">
        <v>1885</v>
      </c>
      <c r="C539" s="217" t="s">
        <v>1034</v>
      </c>
      <c r="D539" s="53">
        <v>0</v>
      </c>
      <c r="E539" s="121">
        <f>Saisie!D539</f>
        <v>0</v>
      </c>
      <c r="F539" s="51">
        <f t="shared" si="41"/>
        <v>0</v>
      </c>
    </row>
    <row r="540" spans="1:6" s="17" customFormat="1" ht="22.5" customHeight="1" x14ac:dyDescent="0.25">
      <c r="A540" s="202" t="s">
        <v>1886</v>
      </c>
      <c r="B540" s="246" t="s">
        <v>4326</v>
      </c>
      <c r="C540" s="217" t="s">
        <v>1034</v>
      </c>
      <c r="D540" s="53">
        <v>0</v>
      </c>
      <c r="E540" s="121">
        <f>Saisie!D540</f>
        <v>0</v>
      </c>
      <c r="F540" s="51">
        <f t="shared" ref="F540" si="42">E540*D540</f>
        <v>0</v>
      </c>
    </row>
    <row r="541" spans="1:6" s="17" customFormat="1" ht="27.75" customHeight="1" x14ac:dyDescent="0.25">
      <c r="A541" s="202" t="s">
        <v>1888</v>
      </c>
      <c r="B541" s="246" t="s">
        <v>1889</v>
      </c>
      <c r="C541" s="217" t="s">
        <v>1034</v>
      </c>
      <c r="D541" s="53">
        <v>0</v>
      </c>
      <c r="E541" s="121">
        <f>Saisie!D541</f>
        <v>0</v>
      </c>
      <c r="F541" s="51">
        <f>E541*D541</f>
        <v>0</v>
      </c>
    </row>
    <row r="542" spans="1:6" s="17" customFormat="1" ht="27.75" customHeight="1" x14ac:dyDescent="0.25">
      <c r="A542" s="202" t="s">
        <v>1890</v>
      </c>
      <c r="B542" s="228" t="s">
        <v>1891</v>
      </c>
      <c r="C542" s="217" t="s">
        <v>1034</v>
      </c>
      <c r="D542" s="53">
        <v>0</v>
      </c>
      <c r="E542" s="121">
        <f>Saisie!D542</f>
        <v>0</v>
      </c>
      <c r="F542" s="51">
        <f>E542*D542</f>
        <v>0</v>
      </c>
    </row>
    <row r="543" spans="1:6" s="17" customFormat="1" ht="26.4" x14ac:dyDescent="0.25">
      <c r="A543" s="202" t="s">
        <v>1892</v>
      </c>
      <c r="B543" s="216" t="s">
        <v>1893</v>
      </c>
      <c r="C543" s="217" t="s">
        <v>1034</v>
      </c>
      <c r="D543" s="53">
        <v>0</v>
      </c>
      <c r="E543" s="121">
        <f>Saisie!D543</f>
        <v>0</v>
      </c>
      <c r="F543" s="51">
        <f t="shared" si="41"/>
        <v>0</v>
      </c>
    </row>
    <row r="544" spans="1:6" s="17" customFormat="1" ht="26.4" x14ac:dyDescent="0.25">
      <c r="A544" s="202" t="s">
        <v>1894</v>
      </c>
      <c r="B544" s="216" t="s">
        <v>1895</v>
      </c>
      <c r="C544" s="217" t="s">
        <v>1034</v>
      </c>
      <c r="D544" s="53">
        <v>0</v>
      </c>
      <c r="E544" s="121">
        <f>Saisie!D544</f>
        <v>0</v>
      </c>
      <c r="F544" s="51">
        <f t="shared" si="41"/>
        <v>0</v>
      </c>
    </row>
    <row r="545" spans="1:6" s="17" customFormat="1" ht="26.4" x14ac:dyDescent="0.25">
      <c r="A545" s="202" t="s">
        <v>1896</v>
      </c>
      <c r="B545" s="216" t="s">
        <v>1897</v>
      </c>
      <c r="C545" s="217" t="s">
        <v>1034</v>
      </c>
      <c r="D545" s="53">
        <v>0</v>
      </c>
      <c r="E545" s="121">
        <f>Saisie!D545</f>
        <v>0</v>
      </c>
      <c r="F545" s="51">
        <f>E545*D545</f>
        <v>0</v>
      </c>
    </row>
    <row r="546" spans="1:6" s="17" customFormat="1" ht="26.4" x14ac:dyDescent="0.25">
      <c r="A546" s="202" t="s">
        <v>1898</v>
      </c>
      <c r="B546" s="216" t="s">
        <v>1899</v>
      </c>
      <c r="C546" s="217" t="s">
        <v>1034</v>
      </c>
      <c r="D546" s="53">
        <v>0</v>
      </c>
      <c r="E546" s="121">
        <f>Saisie!D546</f>
        <v>0</v>
      </c>
      <c r="F546" s="51">
        <f>E546*D546</f>
        <v>0</v>
      </c>
    </row>
    <row r="547" spans="1:6" s="17" customFormat="1" ht="13.2" x14ac:dyDescent="0.25">
      <c r="A547" s="202" t="s">
        <v>1900</v>
      </c>
      <c r="B547" s="216" t="s">
        <v>1901</v>
      </c>
      <c r="C547" s="217" t="s">
        <v>1034</v>
      </c>
      <c r="D547" s="53">
        <v>0</v>
      </c>
      <c r="E547" s="121">
        <f>Saisie!D547</f>
        <v>0</v>
      </c>
      <c r="F547" s="51">
        <f t="shared" si="41"/>
        <v>0</v>
      </c>
    </row>
    <row r="548" spans="1:6" s="17" customFormat="1" ht="13.2" x14ac:dyDescent="0.25">
      <c r="A548" s="202" t="s">
        <v>1902</v>
      </c>
      <c r="B548" s="228" t="s">
        <v>1903</v>
      </c>
      <c r="C548" s="217" t="s">
        <v>1034</v>
      </c>
      <c r="D548" s="53">
        <v>0</v>
      </c>
      <c r="E548" s="121">
        <f>Saisie!D548</f>
        <v>0</v>
      </c>
      <c r="F548" s="51">
        <f>E548*D548</f>
        <v>0</v>
      </c>
    </row>
    <row r="549" spans="1:6" s="17" customFormat="1" ht="13.2" x14ac:dyDescent="0.25">
      <c r="A549" s="202" t="s">
        <v>1904</v>
      </c>
      <c r="B549" s="228" t="s">
        <v>1905</v>
      </c>
      <c r="C549" s="217" t="s">
        <v>1034</v>
      </c>
      <c r="D549" s="53">
        <v>0</v>
      </c>
      <c r="E549" s="121">
        <f>Saisie!D549</f>
        <v>0</v>
      </c>
      <c r="F549" s="51">
        <f>E549*D549</f>
        <v>0</v>
      </c>
    </row>
    <row r="550" spans="1:6" s="17" customFormat="1" ht="26.4" x14ac:dyDescent="0.25">
      <c r="A550" s="202" t="s">
        <v>1906</v>
      </c>
      <c r="B550" s="216" t="s">
        <v>1907</v>
      </c>
      <c r="C550" s="217" t="s">
        <v>1034</v>
      </c>
      <c r="D550" s="53">
        <v>0</v>
      </c>
      <c r="E550" s="121">
        <f>Saisie!D550</f>
        <v>0</v>
      </c>
      <c r="F550" s="51">
        <f t="shared" si="41"/>
        <v>0</v>
      </c>
    </row>
    <row r="551" spans="1:6" s="17" customFormat="1" ht="13.2" x14ac:dyDescent="0.25">
      <c r="A551" s="202" t="s">
        <v>1908</v>
      </c>
      <c r="B551" s="216" t="s">
        <v>1909</v>
      </c>
      <c r="C551" s="217" t="s">
        <v>1034</v>
      </c>
      <c r="D551" s="53">
        <v>0</v>
      </c>
      <c r="E551" s="121">
        <f>Saisie!D551</f>
        <v>0</v>
      </c>
      <c r="F551" s="51">
        <f t="shared" si="41"/>
        <v>0</v>
      </c>
    </row>
    <row r="552" spans="1:6" s="17" customFormat="1" ht="26.4" x14ac:dyDescent="0.25">
      <c r="A552" s="202" t="s">
        <v>1910</v>
      </c>
      <c r="B552" s="216" t="s">
        <v>1911</v>
      </c>
      <c r="C552" s="217" t="s">
        <v>1034</v>
      </c>
      <c r="D552" s="53">
        <v>0</v>
      </c>
      <c r="E552" s="121">
        <f>Saisie!D552</f>
        <v>0</v>
      </c>
      <c r="F552" s="51">
        <f t="shared" si="41"/>
        <v>0</v>
      </c>
    </row>
    <row r="553" spans="1:6" s="17" customFormat="1" ht="26.4" x14ac:dyDescent="0.25">
      <c r="A553" s="202" t="s">
        <v>1912</v>
      </c>
      <c r="B553" s="216" t="s">
        <v>1913</v>
      </c>
      <c r="C553" s="217" t="s">
        <v>1034</v>
      </c>
      <c r="D553" s="53">
        <v>0</v>
      </c>
      <c r="E553" s="121">
        <f>Saisie!D553</f>
        <v>0</v>
      </c>
      <c r="F553" s="51">
        <f t="shared" si="41"/>
        <v>0</v>
      </c>
    </row>
    <row r="554" spans="1:6" s="17" customFormat="1" ht="26.4" x14ac:dyDescent="0.25">
      <c r="A554" s="202" t="s">
        <v>1914</v>
      </c>
      <c r="B554" s="216" t="s">
        <v>1915</v>
      </c>
      <c r="C554" s="217" t="s">
        <v>1034</v>
      </c>
      <c r="D554" s="53">
        <v>0</v>
      </c>
      <c r="E554" s="121">
        <f>Saisie!D554</f>
        <v>0</v>
      </c>
      <c r="F554" s="51">
        <f t="shared" si="41"/>
        <v>0</v>
      </c>
    </row>
    <row r="555" spans="1:6" s="17" customFormat="1" ht="26.4" x14ac:dyDescent="0.25">
      <c r="A555" s="202" t="s">
        <v>1916</v>
      </c>
      <c r="B555" s="216" t="s">
        <v>1917</v>
      </c>
      <c r="C555" s="217" t="s">
        <v>1034</v>
      </c>
      <c r="D555" s="53">
        <v>0</v>
      </c>
      <c r="E555" s="121">
        <f>Saisie!D555</f>
        <v>0</v>
      </c>
      <c r="F555" s="51">
        <f t="shared" si="41"/>
        <v>0</v>
      </c>
    </row>
    <row r="556" spans="1:6" s="17" customFormat="1" ht="26.4" x14ac:dyDescent="0.25">
      <c r="A556" s="202" t="s">
        <v>1918</v>
      </c>
      <c r="B556" s="216" t="s">
        <v>1919</v>
      </c>
      <c r="C556" s="217" t="s">
        <v>1034</v>
      </c>
      <c r="D556" s="53">
        <v>0</v>
      </c>
      <c r="E556" s="121">
        <f>Saisie!D556</f>
        <v>0</v>
      </c>
      <c r="F556" s="51">
        <f t="shared" si="41"/>
        <v>0</v>
      </c>
    </row>
    <row r="557" spans="1:6" s="17" customFormat="1" ht="26.4" x14ac:dyDescent="0.25">
      <c r="A557" s="202" t="s">
        <v>1920</v>
      </c>
      <c r="B557" s="216" t="s">
        <v>1921</v>
      </c>
      <c r="C557" s="217" t="s">
        <v>1034</v>
      </c>
      <c r="D557" s="53">
        <v>0</v>
      </c>
      <c r="E557" s="121">
        <f>Saisie!D557</f>
        <v>0</v>
      </c>
      <c r="F557" s="51">
        <f t="shared" si="41"/>
        <v>0</v>
      </c>
    </row>
    <row r="558" spans="1:6" s="17" customFormat="1" ht="26.4" x14ac:dyDescent="0.25">
      <c r="A558" s="202" t="s">
        <v>1922</v>
      </c>
      <c r="B558" s="216" t="s">
        <v>1923</v>
      </c>
      <c r="C558" s="217" t="s">
        <v>1034</v>
      </c>
      <c r="D558" s="53">
        <v>0</v>
      </c>
      <c r="E558" s="121">
        <f>Saisie!D558</f>
        <v>0</v>
      </c>
      <c r="F558" s="51">
        <f t="shared" si="41"/>
        <v>0</v>
      </c>
    </row>
    <row r="559" spans="1:6" s="17" customFormat="1" ht="26.4" x14ac:dyDescent="0.25">
      <c r="A559" s="202" t="s">
        <v>1924</v>
      </c>
      <c r="B559" s="216" t="s">
        <v>1925</v>
      </c>
      <c r="C559" s="217" t="s">
        <v>1034</v>
      </c>
      <c r="D559" s="53">
        <v>0</v>
      </c>
      <c r="E559" s="121">
        <f>Saisie!D559</f>
        <v>0</v>
      </c>
      <c r="F559" s="51">
        <f t="shared" si="41"/>
        <v>0</v>
      </c>
    </row>
    <row r="560" spans="1:6" s="17" customFormat="1" ht="26.4" x14ac:dyDescent="0.25">
      <c r="A560" s="202" t="s">
        <v>1926</v>
      </c>
      <c r="B560" s="216" t="s">
        <v>1927</v>
      </c>
      <c r="C560" s="217" t="s">
        <v>1034</v>
      </c>
      <c r="D560" s="53">
        <v>0</v>
      </c>
      <c r="E560" s="121">
        <f>Saisie!D560</f>
        <v>0</v>
      </c>
      <c r="F560" s="51">
        <f t="shared" si="41"/>
        <v>0</v>
      </c>
    </row>
    <row r="561" spans="1:9" s="17" customFormat="1" ht="26.4" x14ac:dyDescent="0.25">
      <c r="A561" s="202" t="s">
        <v>1928</v>
      </c>
      <c r="B561" s="216" t="s">
        <v>1929</v>
      </c>
      <c r="C561" s="217" t="s">
        <v>1034</v>
      </c>
      <c r="D561" s="53">
        <v>0</v>
      </c>
      <c r="E561" s="121">
        <f>Saisie!D561</f>
        <v>0</v>
      </c>
      <c r="F561" s="51">
        <f t="shared" si="41"/>
        <v>0</v>
      </c>
    </row>
    <row r="562" spans="1:9" s="17" customFormat="1" ht="24.6" customHeight="1" x14ac:dyDescent="0.25">
      <c r="A562" s="202" t="s">
        <v>1930</v>
      </c>
      <c r="B562" s="216" t="s">
        <v>1931</v>
      </c>
      <c r="C562" s="217" t="s">
        <v>1034</v>
      </c>
      <c r="D562" s="53">
        <v>0</v>
      </c>
      <c r="E562" s="121">
        <f>Saisie!D562</f>
        <v>0</v>
      </c>
      <c r="F562" s="51">
        <f>E562*D562</f>
        <v>0</v>
      </c>
    </row>
    <row r="563" spans="1:9" s="17" customFormat="1" ht="26.4" x14ac:dyDescent="0.25">
      <c r="A563" s="202" t="s">
        <v>1932</v>
      </c>
      <c r="B563" s="216" t="s">
        <v>1933</v>
      </c>
      <c r="C563" s="217" t="s">
        <v>1034</v>
      </c>
      <c r="D563" s="53">
        <v>0</v>
      </c>
      <c r="E563" s="121">
        <f>Saisie!D563</f>
        <v>0</v>
      </c>
      <c r="F563" s="51">
        <f t="shared" si="41"/>
        <v>0</v>
      </c>
      <c r="G563" s="3"/>
    </row>
    <row r="564" spans="1:9" s="17" customFormat="1" ht="12.75" customHeight="1" x14ac:dyDescent="0.25">
      <c r="A564" s="202" t="s">
        <v>1934</v>
      </c>
      <c r="B564" s="216" t="s">
        <v>1935</v>
      </c>
      <c r="C564" s="217" t="s">
        <v>1034</v>
      </c>
      <c r="D564" s="53">
        <v>0</v>
      </c>
      <c r="E564" s="121">
        <f>Saisie!D564</f>
        <v>0</v>
      </c>
      <c r="F564" s="51">
        <f t="shared" si="41"/>
        <v>0</v>
      </c>
    </row>
    <row r="565" spans="1:9" s="17" customFormat="1" ht="26.4" x14ac:dyDescent="0.25">
      <c r="A565" s="202" t="s">
        <v>1936</v>
      </c>
      <c r="B565" s="216" t="s">
        <v>1937</v>
      </c>
      <c r="C565" s="217" t="s">
        <v>1034</v>
      </c>
      <c r="D565" s="53">
        <v>0</v>
      </c>
      <c r="E565" s="121">
        <f>Saisie!D565</f>
        <v>0</v>
      </c>
      <c r="F565" s="51">
        <f t="shared" si="41"/>
        <v>0</v>
      </c>
    </row>
    <row r="566" spans="1:9" s="17" customFormat="1" ht="26.4" x14ac:dyDescent="0.25">
      <c r="A566" s="202" t="s">
        <v>1938</v>
      </c>
      <c r="B566" s="216" t="s">
        <v>1939</v>
      </c>
      <c r="C566" s="217" t="s">
        <v>1034</v>
      </c>
      <c r="D566" s="53">
        <v>0</v>
      </c>
      <c r="E566" s="121">
        <f>Saisie!D566</f>
        <v>0</v>
      </c>
      <c r="F566" s="51">
        <f t="shared" si="41"/>
        <v>0</v>
      </c>
    </row>
    <row r="567" spans="1:9" s="17" customFormat="1" ht="26.4" x14ac:dyDescent="0.25">
      <c r="A567" s="202" t="s">
        <v>1940</v>
      </c>
      <c r="B567" s="216" t="s">
        <v>1941</v>
      </c>
      <c r="C567" s="217" t="s">
        <v>1034</v>
      </c>
      <c r="D567" s="53">
        <v>0</v>
      </c>
      <c r="E567" s="121">
        <f>Saisie!D567</f>
        <v>0</v>
      </c>
      <c r="F567" s="51">
        <f t="shared" si="41"/>
        <v>0</v>
      </c>
    </row>
    <row r="568" spans="1:9" s="17" customFormat="1" ht="13.2" x14ac:dyDescent="0.25">
      <c r="A568" s="202" t="s">
        <v>1942</v>
      </c>
      <c r="B568" s="216" t="s">
        <v>1943</v>
      </c>
      <c r="C568" s="217" t="s">
        <v>1034</v>
      </c>
      <c r="D568" s="53">
        <v>0</v>
      </c>
      <c r="E568" s="121">
        <f>Saisie!D568</f>
        <v>0</v>
      </c>
      <c r="F568" s="51">
        <f t="shared" si="41"/>
        <v>0</v>
      </c>
    </row>
    <row r="569" spans="1:9" s="17" customFormat="1" ht="26.4" x14ac:dyDescent="0.25">
      <c r="A569" s="202" t="s">
        <v>1944</v>
      </c>
      <c r="B569" s="216" t="s">
        <v>1945</v>
      </c>
      <c r="C569" s="217" t="s">
        <v>1034</v>
      </c>
      <c r="D569" s="53">
        <v>0</v>
      </c>
      <c r="E569" s="121">
        <f>Saisie!D569</f>
        <v>0</v>
      </c>
      <c r="F569" s="51">
        <f t="shared" si="41"/>
        <v>0</v>
      </c>
    </row>
    <row r="570" spans="1:9" s="17" customFormat="1" ht="26.4" x14ac:dyDescent="0.25">
      <c r="A570" s="202" t="s">
        <v>1946</v>
      </c>
      <c r="B570" s="216" t="s">
        <v>1947</v>
      </c>
      <c r="C570" s="217" t="s">
        <v>1034</v>
      </c>
      <c r="D570" s="53">
        <v>0</v>
      </c>
      <c r="E570" s="121">
        <f>Saisie!D570</f>
        <v>0</v>
      </c>
      <c r="F570" s="51">
        <f t="shared" si="41"/>
        <v>0</v>
      </c>
    </row>
    <row r="571" spans="1:9" s="17" customFormat="1" ht="26.4" x14ac:dyDescent="0.25">
      <c r="A571" s="202" t="s">
        <v>1948</v>
      </c>
      <c r="B571" s="216" t="s">
        <v>1949</v>
      </c>
      <c r="C571" s="217" t="s">
        <v>1034</v>
      </c>
      <c r="D571" s="53">
        <v>0</v>
      </c>
      <c r="E571" s="121">
        <f>Saisie!D571</f>
        <v>0</v>
      </c>
      <c r="F571" s="51">
        <f t="shared" si="41"/>
        <v>0</v>
      </c>
    </row>
    <row r="572" spans="1:9" s="17" customFormat="1" ht="13.2" x14ac:dyDescent="0.25">
      <c r="A572" s="202" t="s">
        <v>1950</v>
      </c>
      <c r="B572" s="216" t="s">
        <v>1951</v>
      </c>
      <c r="C572" s="217" t="s">
        <v>1034</v>
      </c>
      <c r="D572" s="53">
        <v>0</v>
      </c>
      <c r="E572" s="121">
        <f>Saisie!D572</f>
        <v>0</v>
      </c>
      <c r="F572" s="51">
        <f t="shared" si="41"/>
        <v>0</v>
      </c>
    </row>
    <row r="573" spans="1:9" s="17" customFormat="1" ht="13.2" x14ac:dyDescent="0.25">
      <c r="A573" s="202" t="s">
        <v>1952</v>
      </c>
      <c r="B573" s="216" t="s">
        <v>1953</v>
      </c>
      <c r="C573" s="217" t="s">
        <v>1034</v>
      </c>
      <c r="D573" s="53">
        <v>0</v>
      </c>
      <c r="E573" s="121">
        <f>Saisie!D573</f>
        <v>0</v>
      </c>
      <c r="F573" s="51">
        <f t="shared" si="41"/>
        <v>0</v>
      </c>
    </row>
    <row r="574" spans="1:9" s="17" customFormat="1" ht="26.4" x14ac:dyDescent="0.25">
      <c r="A574" s="202" t="s">
        <v>1954</v>
      </c>
      <c r="B574" s="216" t="s">
        <v>1955</v>
      </c>
      <c r="C574" s="217" t="s">
        <v>1034</v>
      </c>
      <c r="D574" s="53">
        <v>0</v>
      </c>
      <c r="E574" s="121">
        <f>Saisie!D574</f>
        <v>0</v>
      </c>
      <c r="F574" s="51">
        <f t="shared" si="41"/>
        <v>0</v>
      </c>
    </row>
    <row r="575" spans="1:9" s="17" customFormat="1" ht="13.2" x14ac:dyDescent="0.25">
      <c r="A575" s="202" t="s">
        <v>1956</v>
      </c>
      <c r="B575" s="216" t="s">
        <v>1957</v>
      </c>
      <c r="C575" s="217" t="s">
        <v>1034</v>
      </c>
      <c r="D575" s="53">
        <v>0</v>
      </c>
      <c r="E575" s="121">
        <f>Saisie!D575</f>
        <v>0</v>
      </c>
      <c r="F575" s="51">
        <f t="shared" si="41"/>
        <v>0</v>
      </c>
      <c r="I575" s="216"/>
    </row>
    <row r="576" spans="1:9" s="17" customFormat="1" ht="13.2" x14ac:dyDescent="0.25">
      <c r="A576" s="202" t="s">
        <v>1958</v>
      </c>
      <c r="B576" s="216" t="s">
        <v>1959</v>
      </c>
      <c r="C576" s="217" t="s">
        <v>1034</v>
      </c>
      <c r="D576" s="53">
        <v>0</v>
      </c>
      <c r="E576" s="121">
        <f>Saisie!D576</f>
        <v>0</v>
      </c>
      <c r="F576" s="51">
        <f t="shared" si="41"/>
        <v>0</v>
      </c>
    </row>
    <row r="577" spans="1:6" s="17" customFormat="1" ht="15.75" customHeight="1" x14ac:dyDescent="0.25">
      <c r="A577" s="202" t="s">
        <v>1960</v>
      </c>
      <c r="B577" s="216" t="s">
        <v>4327</v>
      </c>
      <c r="C577" s="227" t="s">
        <v>1034</v>
      </c>
      <c r="D577" s="53">
        <v>0</v>
      </c>
      <c r="E577" s="121">
        <f>Saisie!D577</f>
        <v>0</v>
      </c>
      <c r="F577" s="51">
        <f>E577*D578</f>
        <v>0</v>
      </c>
    </row>
    <row r="578" spans="1:6" s="17" customFormat="1" ht="13.2" x14ac:dyDescent="0.25">
      <c r="A578" s="202" t="s">
        <v>1962</v>
      </c>
      <c r="B578" s="216" t="s">
        <v>1963</v>
      </c>
      <c r="C578" s="217"/>
      <c r="D578" s="53"/>
      <c r="E578" s="121"/>
      <c r="F578" s="51"/>
    </row>
    <row r="579" spans="1:6" s="17" customFormat="1" ht="13.2" x14ac:dyDescent="0.25">
      <c r="A579" s="202" t="s">
        <v>1964</v>
      </c>
      <c r="B579" s="216" t="s">
        <v>1965</v>
      </c>
      <c r="C579" s="217" t="s">
        <v>1034</v>
      </c>
      <c r="D579" s="53">
        <v>0</v>
      </c>
      <c r="E579" s="121">
        <f>Saisie!D579</f>
        <v>0</v>
      </c>
      <c r="F579" s="51"/>
    </row>
    <row r="580" spans="1:6" s="17" customFormat="1" ht="13.2" x14ac:dyDescent="0.25">
      <c r="A580" s="202" t="s">
        <v>1966</v>
      </c>
      <c r="B580" s="216" t="s">
        <v>1967</v>
      </c>
      <c r="C580" s="217" t="s">
        <v>1034</v>
      </c>
      <c r="D580" s="53">
        <v>0</v>
      </c>
      <c r="E580" s="121">
        <f>Saisie!D580</f>
        <v>0</v>
      </c>
      <c r="F580" s="51"/>
    </row>
    <row r="581" spans="1:6" s="17" customFormat="1" ht="13.2" x14ac:dyDescent="0.25">
      <c r="A581" s="202" t="s">
        <v>1968</v>
      </c>
      <c r="B581" s="216" t="s">
        <v>1969</v>
      </c>
      <c r="C581" s="217" t="s">
        <v>1141</v>
      </c>
      <c r="D581" s="53">
        <v>0</v>
      </c>
      <c r="E581" s="121">
        <f>Saisie!D581</f>
        <v>0</v>
      </c>
      <c r="F581" s="51">
        <f t="shared" si="41"/>
        <v>0</v>
      </c>
    </row>
    <row r="582" spans="1:6" s="17" customFormat="1" ht="13.2" x14ac:dyDescent="0.25">
      <c r="A582" s="202" t="s">
        <v>1970</v>
      </c>
      <c r="B582" s="216" t="s">
        <v>4311</v>
      </c>
      <c r="C582" s="217"/>
      <c r="D582" s="45"/>
      <c r="E582" s="121"/>
      <c r="F582" s="51"/>
    </row>
    <row r="583" spans="1:6" s="17" customFormat="1" ht="13.2" x14ac:dyDescent="0.25">
      <c r="A583" s="202" t="s">
        <v>1972</v>
      </c>
      <c r="B583" s="216" t="s">
        <v>1973</v>
      </c>
      <c r="C583" s="217" t="s">
        <v>1141</v>
      </c>
      <c r="D583" s="53">
        <v>0</v>
      </c>
      <c r="E583" s="121">
        <f>Saisie!D583</f>
        <v>0</v>
      </c>
      <c r="F583" s="51">
        <f t="shared" si="41"/>
        <v>0</v>
      </c>
    </row>
    <row r="584" spans="1:6" s="17" customFormat="1" ht="13.2" x14ac:dyDescent="0.25">
      <c r="A584" s="202" t="s">
        <v>1974</v>
      </c>
      <c r="B584" s="216" t="s">
        <v>1975</v>
      </c>
      <c r="C584" s="217" t="s">
        <v>1141</v>
      </c>
      <c r="D584" s="53">
        <v>0</v>
      </c>
      <c r="E584" s="121">
        <f>Saisie!D584</f>
        <v>0</v>
      </c>
      <c r="F584" s="51">
        <f t="shared" si="41"/>
        <v>0</v>
      </c>
    </row>
    <row r="585" spans="1:6" s="17" customFormat="1" ht="13.2" x14ac:dyDescent="0.25">
      <c r="A585" s="202" t="s">
        <v>1976</v>
      </c>
      <c r="B585" s="216" t="s">
        <v>1977</v>
      </c>
      <c r="C585" s="217" t="s">
        <v>1141</v>
      </c>
      <c r="D585" s="53">
        <v>0</v>
      </c>
      <c r="E585" s="121">
        <f>Saisie!D585</f>
        <v>0</v>
      </c>
      <c r="F585" s="51">
        <f>E585*D585</f>
        <v>0</v>
      </c>
    </row>
    <row r="586" spans="1:6" s="17" customFormat="1" ht="27" customHeight="1" x14ac:dyDescent="0.25">
      <c r="A586" s="202" t="s">
        <v>1978</v>
      </c>
      <c r="B586" s="216" t="s">
        <v>1979</v>
      </c>
      <c r="C586" s="217" t="s">
        <v>1141</v>
      </c>
      <c r="D586" s="53">
        <v>0</v>
      </c>
      <c r="E586" s="121">
        <f>Saisie!D586</f>
        <v>0</v>
      </c>
      <c r="F586" s="51">
        <f>E586*D586</f>
        <v>0</v>
      </c>
    </row>
    <row r="587" spans="1:6" s="17" customFormat="1" ht="13.2" x14ac:dyDescent="0.25">
      <c r="A587" s="202" t="s">
        <v>1980</v>
      </c>
      <c r="B587" s="216" t="s">
        <v>1981</v>
      </c>
      <c r="C587" s="217" t="s">
        <v>1034</v>
      </c>
      <c r="D587" s="53">
        <v>0</v>
      </c>
      <c r="E587" s="121">
        <f>Saisie!D587</f>
        <v>0</v>
      </c>
      <c r="F587" s="51">
        <f>E587*D587</f>
        <v>0</v>
      </c>
    </row>
    <row r="588" spans="1:6" s="17" customFormat="1" ht="13.2" x14ac:dyDescent="0.25">
      <c r="A588" s="202" t="s">
        <v>1982</v>
      </c>
      <c r="B588" s="216" t="s">
        <v>1983</v>
      </c>
      <c r="C588" s="217" t="s">
        <v>1984</v>
      </c>
      <c r="D588" s="53">
        <v>0</v>
      </c>
      <c r="E588" s="121">
        <f>Saisie!D588</f>
        <v>0</v>
      </c>
      <c r="F588" s="51">
        <f>E588*D588</f>
        <v>0</v>
      </c>
    </row>
    <row r="589" spans="1:6" s="17" customFormat="1" ht="13.2" x14ac:dyDescent="0.25">
      <c r="A589" s="202" t="s">
        <v>1985</v>
      </c>
      <c r="B589" s="216" t="s">
        <v>1986</v>
      </c>
      <c r="C589" s="217" t="s">
        <v>1011</v>
      </c>
      <c r="D589" s="53">
        <v>0</v>
      </c>
      <c r="E589" s="121">
        <f>Saisie!D589</f>
        <v>0</v>
      </c>
      <c r="F589" s="51">
        <f t="shared" ref="F589:F596" si="43">E589*D589</f>
        <v>0</v>
      </c>
    </row>
    <row r="590" spans="1:6" s="17" customFormat="1" ht="13.2" x14ac:dyDescent="0.25">
      <c r="A590" s="202" t="s">
        <v>1987</v>
      </c>
      <c r="B590" s="216" t="s">
        <v>1988</v>
      </c>
      <c r="C590" s="217" t="s">
        <v>1011</v>
      </c>
      <c r="D590" s="53">
        <v>0</v>
      </c>
      <c r="E590" s="121">
        <f>Saisie!D590</f>
        <v>0</v>
      </c>
      <c r="F590" s="51">
        <f t="shared" si="43"/>
        <v>0</v>
      </c>
    </row>
    <row r="591" spans="1:6" s="43" customFormat="1" ht="13.2" x14ac:dyDescent="0.25">
      <c r="A591" s="202" t="s">
        <v>1989</v>
      </c>
      <c r="B591" s="216" t="s">
        <v>1990</v>
      </c>
      <c r="C591" s="217" t="s">
        <v>1991</v>
      </c>
      <c r="D591" s="53">
        <v>0</v>
      </c>
      <c r="E591" s="121">
        <f>Saisie!D591</f>
        <v>0</v>
      </c>
      <c r="F591" s="51">
        <f t="shared" si="43"/>
        <v>0</v>
      </c>
    </row>
    <row r="592" spans="1:6" s="43" customFormat="1" ht="13.2" x14ac:dyDescent="0.25">
      <c r="A592" s="202" t="s">
        <v>1992</v>
      </c>
      <c r="B592" s="216" t="s">
        <v>1993</v>
      </c>
      <c r="C592" s="217" t="s">
        <v>1011</v>
      </c>
      <c r="D592" s="53">
        <v>0</v>
      </c>
      <c r="E592" s="121">
        <f>Saisie!D592</f>
        <v>0</v>
      </c>
      <c r="F592" s="51">
        <f t="shared" si="43"/>
        <v>0</v>
      </c>
    </row>
    <row r="593" spans="1:7" s="43" customFormat="1" ht="13.2" x14ac:dyDescent="0.25">
      <c r="A593" s="202" t="s">
        <v>1994</v>
      </c>
      <c r="B593" s="216" t="s">
        <v>1995</v>
      </c>
      <c r="C593" s="217" t="s">
        <v>1991</v>
      </c>
      <c r="D593" s="53">
        <v>0</v>
      </c>
      <c r="E593" s="121">
        <f>Saisie!D593</f>
        <v>0</v>
      </c>
      <c r="F593" s="51">
        <f t="shared" si="43"/>
        <v>0</v>
      </c>
    </row>
    <row r="594" spans="1:7" s="8" customFormat="1" ht="13.2" x14ac:dyDescent="0.25">
      <c r="A594" s="28" t="s">
        <v>1996</v>
      </c>
      <c r="B594" s="6" t="s">
        <v>1997</v>
      </c>
      <c r="C594" s="217" t="s">
        <v>1011</v>
      </c>
      <c r="D594" s="53">
        <v>0</v>
      </c>
      <c r="E594" s="121">
        <f>Saisie!D594</f>
        <v>0</v>
      </c>
      <c r="F594" s="51">
        <f t="shared" si="43"/>
        <v>0</v>
      </c>
    </row>
    <row r="595" spans="1:7" s="43" customFormat="1" ht="13.2" x14ac:dyDescent="0.25">
      <c r="A595" s="28" t="s">
        <v>1998</v>
      </c>
      <c r="B595" s="6" t="s">
        <v>1999</v>
      </c>
      <c r="C595" s="217" t="s">
        <v>1011</v>
      </c>
      <c r="D595" s="53">
        <v>0</v>
      </c>
      <c r="E595" s="121">
        <f>Saisie!D595</f>
        <v>0</v>
      </c>
      <c r="F595" s="51">
        <f t="shared" si="43"/>
        <v>0</v>
      </c>
      <c r="G595" s="52"/>
    </row>
    <row r="596" spans="1:7" s="2" customFormat="1" ht="13.2" x14ac:dyDescent="0.25">
      <c r="A596" s="28" t="s">
        <v>2000</v>
      </c>
      <c r="B596" s="6" t="s">
        <v>2001</v>
      </c>
      <c r="C596" s="217" t="s">
        <v>1011</v>
      </c>
      <c r="D596" s="53">
        <v>0</v>
      </c>
      <c r="E596" s="121">
        <f>Saisie!D596</f>
        <v>0</v>
      </c>
      <c r="F596" s="51">
        <f t="shared" si="43"/>
        <v>0</v>
      </c>
      <c r="G596" s="52"/>
    </row>
    <row r="597" spans="1:7" s="8" customFormat="1" ht="13.2" x14ac:dyDescent="0.25">
      <c r="A597" s="28" t="s">
        <v>2002</v>
      </c>
      <c r="B597" s="6" t="s">
        <v>2003</v>
      </c>
      <c r="C597" s="217" t="s">
        <v>1011</v>
      </c>
      <c r="D597" s="53">
        <v>0</v>
      </c>
      <c r="E597" s="121">
        <f>Saisie!D597</f>
        <v>0</v>
      </c>
      <c r="F597" s="51">
        <f>E597*D597</f>
        <v>0</v>
      </c>
      <c r="G597" s="45"/>
    </row>
    <row r="598" spans="1:7" s="43" customFormat="1" ht="13.2" x14ac:dyDescent="0.25">
      <c r="A598" s="202"/>
      <c r="B598" s="216"/>
      <c r="C598" s="216"/>
      <c r="D598" s="216"/>
      <c r="E598" s="216"/>
      <c r="F598" s="216"/>
      <c r="G598" s="52"/>
    </row>
    <row r="599" spans="1:7" s="43" customFormat="1" ht="13.2" x14ac:dyDescent="0.25">
      <c r="A599" s="202"/>
      <c r="B599" s="122" t="s">
        <v>2004</v>
      </c>
      <c r="C599" s="217"/>
      <c r="D599" s="45"/>
      <c r="E599" s="45"/>
      <c r="F599" s="84">
        <f>SUM(F430:F597)</f>
        <v>0</v>
      </c>
      <c r="G599" s="52"/>
    </row>
    <row r="600" spans="1:7" s="20" customFormat="1" ht="13.2" x14ac:dyDescent="0.25">
      <c r="A600" s="202"/>
      <c r="B600" s="216"/>
      <c r="C600" s="216"/>
      <c r="D600" s="216"/>
      <c r="E600" s="216"/>
      <c r="F600" s="216"/>
      <c r="G600" s="218"/>
    </row>
    <row r="601" spans="1:7" s="20" customFormat="1" ht="13.2" x14ac:dyDescent="0.25">
      <c r="A601" s="29" t="s">
        <v>2005</v>
      </c>
      <c r="B601" s="30" t="s">
        <v>2006</v>
      </c>
      <c r="C601" s="224"/>
      <c r="D601" s="224"/>
      <c r="E601" s="224"/>
      <c r="F601" s="224"/>
      <c r="G601" s="218"/>
    </row>
    <row r="602" spans="1:7" s="43" customFormat="1" ht="26.4" x14ac:dyDescent="0.25">
      <c r="A602" s="27" t="s">
        <v>2007</v>
      </c>
      <c r="B602" s="3" t="s">
        <v>2008</v>
      </c>
      <c r="C602" s="217" t="s">
        <v>1011</v>
      </c>
      <c r="D602" s="53">
        <v>15</v>
      </c>
      <c r="E602" s="121">
        <f>Saisie!D602</f>
        <v>0</v>
      </c>
      <c r="F602" s="51">
        <f t="shared" ref="F602:F607" si="44">E602*D602</f>
        <v>0</v>
      </c>
      <c r="G602" s="45"/>
    </row>
    <row r="603" spans="1:7" s="43" customFormat="1" ht="13.2" x14ac:dyDescent="0.25">
      <c r="A603" s="202" t="s">
        <v>117</v>
      </c>
      <c r="B603" s="192" t="s">
        <v>2009</v>
      </c>
      <c r="C603" s="217" t="s">
        <v>1011</v>
      </c>
      <c r="D603" s="53">
        <v>0</v>
      </c>
      <c r="E603" s="121">
        <f>Saisie!D603</f>
        <v>0</v>
      </c>
      <c r="F603" s="51">
        <f t="shared" si="44"/>
        <v>0</v>
      </c>
      <c r="G603" s="52"/>
    </row>
    <row r="604" spans="1:7" s="43" customFormat="1" ht="13.2" x14ac:dyDescent="0.25">
      <c r="A604" s="27" t="s">
        <v>2010</v>
      </c>
      <c r="B604" s="3" t="s">
        <v>2011</v>
      </c>
      <c r="C604" s="217" t="s">
        <v>1141</v>
      </c>
      <c r="D604" s="53">
        <v>0</v>
      </c>
      <c r="E604" s="121">
        <f>Saisie!D604</f>
        <v>0</v>
      </c>
      <c r="F604" s="51">
        <f t="shared" si="44"/>
        <v>0</v>
      </c>
      <c r="G604" s="52"/>
    </row>
    <row r="605" spans="1:7" s="43" customFormat="1" ht="13.2" x14ac:dyDescent="0.25">
      <c r="A605" s="27" t="s">
        <v>2012</v>
      </c>
      <c r="B605" s="3" t="s">
        <v>2013</v>
      </c>
      <c r="C605" s="217" t="s">
        <v>1034</v>
      </c>
      <c r="D605" s="53">
        <v>0</v>
      </c>
      <c r="E605" s="121">
        <f>Saisie!D605</f>
        <v>0</v>
      </c>
      <c r="F605" s="51">
        <f t="shared" si="44"/>
        <v>0</v>
      </c>
      <c r="G605" s="52"/>
    </row>
    <row r="606" spans="1:7" s="43" customFormat="1" ht="13.2" x14ac:dyDescent="0.25">
      <c r="A606" s="27" t="s">
        <v>2014</v>
      </c>
      <c r="B606" s="6" t="s">
        <v>2015</v>
      </c>
      <c r="C606" s="217" t="s">
        <v>1141</v>
      </c>
      <c r="D606" s="53">
        <v>0</v>
      </c>
      <c r="E606" s="121">
        <f>Saisie!D606</f>
        <v>0</v>
      </c>
      <c r="F606" s="51">
        <f t="shared" si="44"/>
        <v>0</v>
      </c>
      <c r="G606" s="52"/>
    </row>
    <row r="607" spans="1:7" s="43" customFormat="1" ht="26.4" x14ac:dyDescent="0.25">
      <c r="A607" s="27" t="s">
        <v>2016</v>
      </c>
      <c r="B607" s="6" t="s">
        <v>2017</v>
      </c>
      <c r="C607" s="217" t="s">
        <v>1232</v>
      </c>
      <c r="D607" s="53">
        <v>0</v>
      </c>
      <c r="E607" s="121">
        <f>Saisie!D607</f>
        <v>0</v>
      </c>
      <c r="F607" s="51">
        <f t="shared" si="44"/>
        <v>0</v>
      </c>
      <c r="G607" s="52"/>
    </row>
    <row r="608" spans="1:7" s="8" customFormat="1" ht="26.4" x14ac:dyDescent="0.25">
      <c r="A608" s="27" t="s">
        <v>2018</v>
      </c>
      <c r="B608" s="6" t="s">
        <v>2019</v>
      </c>
      <c r="C608" s="217"/>
      <c r="D608" s="45"/>
      <c r="E608" s="121"/>
      <c r="F608" s="51"/>
      <c r="G608" s="45"/>
    </row>
    <row r="609" spans="1:7" s="43" customFormat="1" ht="26.4" x14ac:dyDescent="0.25">
      <c r="A609" s="202" t="s">
        <v>2020</v>
      </c>
      <c r="B609" s="216" t="s">
        <v>2021</v>
      </c>
      <c r="C609" s="217" t="s">
        <v>1232</v>
      </c>
      <c r="D609" s="53">
        <v>0</v>
      </c>
      <c r="E609" s="121">
        <f>Saisie!D609</f>
        <v>0</v>
      </c>
      <c r="F609" s="51">
        <f>E609*D609</f>
        <v>0</v>
      </c>
      <c r="G609" s="52"/>
    </row>
    <row r="610" spans="1:7" s="7" customFormat="1" ht="26.4" x14ac:dyDescent="0.25">
      <c r="A610" s="202" t="s">
        <v>2022</v>
      </c>
      <c r="B610" s="216" t="s">
        <v>2023</v>
      </c>
      <c r="C610" s="217" t="s">
        <v>1232</v>
      </c>
      <c r="D610" s="53">
        <v>0</v>
      </c>
      <c r="E610" s="121">
        <f>Saisie!D610</f>
        <v>0</v>
      </c>
      <c r="F610" s="51">
        <f>E610*D610</f>
        <v>0</v>
      </c>
      <c r="G610" s="52"/>
    </row>
    <row r="611" spans="1:7" s="43" customFormat="1" ht="26.4" x14ac:dyDescent="0.25">
      <c r="A611" s="27" t="s">
        <v>2024</v>
      </c>
      <c r="B611" s="6" t="s">
        <v>2025</v>
      </c>
      <c r="C611" s="217"/>
      <c r="D611" s="45"/>
      <c r="E611" s="121"/>
      <c r="F611" s="51"/>
      <c r="G611" s="52"/>
    </row>
    <row r="612" spans="1:7" s="43" customFormat="1" ht="26.4" x14ac:dyDescent="0.25">
      <c r="A612" s="202" t="s">
        <v>2026</v>
      </c>
      <c r="B612" s="216" t="s">
        <v>2027</v>
      </c>
      <c r="C612" s="217" t="s">
        <v>1232</v>
      </c>
      <c r="D612" s="53">
        <v>354.02</v>
      </c>
      <c r="E612" s="121">
        <f>Saisie!D612</f>
        <v>0</v>
      </c>
      <c r="F612" s="51">
        <f>E612*D612</f>
        <v>0</v>
      </c>
      <c r="G612" s="52"/>
    </row>
    <row r="613" spans="1:7" s="43" customFormat="1" ht="26.4" x14ac:dyDescent="0.25">
      <c r="A613" s="202" t="s">
        <v>2028</v>
      </c>
      <c r="B613" s="216" t="s">
        <v>2029</v>
      </c>
      <c r="C613" s="217" t="s">
        <v>1232</v>
      </c>
      <c r="D613" s="53">
        <v>88.51</v>
      </c>
      <c r="E613" s="121">
        <f>Saisie!D613</f>
        <v>0</v>
      </c>
      <c r="F613" s="51">
        <f>E613*D613</f>
        <v>0</v>
      </c>
      <c r="G613" s="52"/>
    </row>
    <row r="614" spans="1:7" s="43" customFormat="1" ht="26.4" x14ac:dyDescent="0.25">
      <c r="A614" s="27" t="s">
        <v>2030</v>
      </c>
      <c r="B614" s="6" t="s">
        <v>2031</v>
      </c>
      <c r="C614" s="217"/>
      <c r="D614" s="45"/>
      <c r="E614" s="121"/>
      <c r="F614" s="51"/>
      <c r="G614" s="52"/>
    </row>
    <row r="615" spans="1:7" s="43" customFormat="1" ht="26.4" x14ac:dyDescent="0.25">
      <c r="A615" s="202" t="s">
        <v>2032</v>
      </c>
      <c r="B615" s="216" t="s">
        <v>2033</v>
      </c>
      <c r="C615" s="217" t="s">
        <v>1232</v>
      </c>
      <c r="D615" s="53">
        <v>20</v>
      </c>
      <c r="E615" s="121">
        <f>Saisie!D615</f>
        <v>0</v>
      </c>
      <c r="F615" s="51">
        <f>E615*D615</f>
        <v>0</v>
      </c>
      <c r="G615" s="52"/>
    </row>
    <row r="616" spans="1:7" s="43" customFormat="1" ht="26.4" x14ac:dyDescent="0.25">
      <c r="A616" s="202" t="s">
        <v>2034</v>
      </c>
      <c r="B616" s="216" t="s">
        <v>2035</v>
      </c>
      <c r="C616" s="217" t="s">
        <v>1232</v>
      </c>
      <c r="D616" s="53">
        <v>0</v>
      </c>
      <c r="E616" s="121">
        <f>Saisie!D616</f>
        <v>0</v>
      </c>
      <c r="F616" s="51">
        <f>E616*D616</f>
        <v>0</v>
      </c>
      <c r="G616" s="52"/>
    </row>
    <row r="617" spans="1:7" s="43" customFormat="1" ht="26.4" x14ac:dyDescent="0.25">
      <c r="A617" s="27" t="s">
        <v>2036</v>
      </c>
      <c r="B617" s="6" t="s">
        <v>2037</v>
      </c>
      <c r="C617" s="217"/>
      <c r="D617" s="45"/>
      <c r="E617" s="121"/>
      <c r="F617" s="51"/>
      <c r="G617" s="52"/>
    </row>
    <row r="618" spans="1:7" s="8" customFormat="1" ht="26.4" x14ac:dyDescent="0.25">
      <c r="A618" s="202" t="s">
        <v>2038</v>
      </c>
      <c r="B618" s="216" t="s">
        <v>2039</v>
      </c>
      <c r="C618" s="217" t="s">
        <v>1232</v>
      </c>
      <c r="D618" s="53">
        <v>0</v>
      </c>
      <c r="E618" s="121">
        <f>Saisie!D618</f>
        <v>0</v>
      </c>
      <c r="F618" s="51">
        <f>E618*D618</f>
        <v>0</v>
      </c>
      <c r="G618" s="45"/>
    </row>
    <row r="619" spans="1:7" s="43" customFormat="1" ht="26.4" x14ac:dyDescent="0.25">
      <c r="A619" s="202" t="s">
        <v>2040</v>
      </c>
      <c r="B619" s="216" t="s">
        <v>2041</v>
      </c>
      <c r="C619" s="217" t="s">
        <v>1232</v>
      </c>
      <c r="D619" s="53">
        <v>0</v>
      </c>
      <c r="E619" s="121">
        <f>Saisie!D619</f>
        <v>0</v>
      </c>
      <c r="F619" s="51">
        <f>E619*D619</f>
        <v>0</v>
      </c>
      <c r="G619" s="52"/>
    </row>
    <row r="620" spans="1:7" s="43" customFormat="1" ht="26.4" x14ac:dyDescent="0.25">
      <c r="A620" s="27" t="s">
        <v>2042</v>
      </c>
      <c r="B620" s="6" t="s">
        <v>2043</v>
      </c>
      <c r="C620" s="217"/>
      <c r="D620" s="45"/>
      <c r="E620" s="121"/>
      <c r="F620" s="51"/>
      <c r="G620" s="52"/>
    </row>
    <row r="621" spans="1:7" s="43" customFormat="1" ht="26.4" x14ac:dyDescent="0.25">
      <c r="A621" s="202" t="s">
        <v>2044</v>
      </c>
      <c r="B621" s="216" t="s">
        <v>2045</v>
      </c>
      <c r="C621" s="217" t="s">
        <v>1232</v>
      </c>
      <c r="D621" s="53">
        <v>0</v>
      </c>
      <c r="E621" s="121">
        <f>Saisie!D621</f>
        <v>0</v>
      </c>
      <c r="F621" s="51">
        <f>E621*D621</f>
        <v>0</v>
      </c>
      <c r="G621" s="52"/>
    </row>
    <row r="622" spans="1:7" s="43" customFormat="1" ht="26.4" x14ac:dyDescent="0.25">
      <c r="A622" s="202" t="s">
        <v>2046</v>
      </c>
      <c r="B622" s="216" t="s">
        <v>2047</v>
      </c>
      <c r="C622" s="217" t="s">
        <v>1232</v>
      </c>
      <c r="D622" s="53">
        <v>0</v>
      </c>
      <c r="E622" s="121">
        <f>Saisie!D622</f>
        <v>0</v>
      </c>
      <c r="F622" s="51">
        <f>E622*D622</f>
        <v>0</v>
      </c>
      <c r="G622" s="52"/>
    </row>
    <row r="623" spans="1:7" s="43" customFormat="1" ht="26.4" x14ac:dyDescent="0.25">
      <c r="A623" s="27" t="s">
        <v>2048</v>
      </c>
      <c r="B623" s="6" t="s">
        <v>2049</v>
      </c>
      <c r="C623" s="217"/>
      <c r="D623" s="45"/>
      <c r="E623" s="121"/>
      <c r="F623" s="51"/>
      <c r="G623" s="52"/>
    </row>
    <row r="624" spans="1:7" s="43" customFormat="1" ht="26.4" x14ac:dyDescent="0.25">
      <c r="A624" s="202" t="s">
        <v>2050</v>
      </c>
      <c r="B624" s="216" t="s">
        <v>2051</v>
      </c>
      <c r="C624" s="217" t="s">
        <v>1232</v>
      </c>
      <c r="D624" s="53">
        <v>0</v>
      </c>
      <c r="E624" s="121">
        <f>Saisie!D624</f>
        <v>0</v>
      </c>
      <c r="F624" s="51">
        <f t="shared" ref="F624:F633" si="45">E624*D624</f>
        <v>0</v>
      </c>
      <c r="G624" s="52"/>
    </row>
    <row r="625" spans="1:7" s="43" customFormat="1" ht="26.4" x14ac:dyDescent="0.25">
      <c r="A625" s="202" t="s">
        <v>2052</v>
      </c>
      <c r="B625" s="216" t="s">
        <v>2053</v>
      </c>
      <c r="C625" s="217" t="s">
        <v>1232</v>
      </c>
      <c r="D625" s="53">
        <v>0</v>
      </c>
      <c r="E625" s="121">
        <f>Saisie!D625</f>
        <v>0</v>
      </c>
      <c r="F625" s="51">
        <f t="shared" si="45"/>
        <v>0</v>
      </c>
      <c r="G625" s="52"/>
    </row>
    <row r="626" spans="1:7" s="43" customFormat="1" ht="26.4" x14ac:dyDescent="0.25">
      <c r="A626" s="27" t="s">
        <v>2054</v>
      </c>
      <c r="B626" s="6" t="s">
        <v>2055</v>
      </c>
      <c r="C626" s="217"/>
      <c r="D626" s="45"/>
      <c r="E626" s="121"/>
      <c r="F626" s="51"/>
      <c r="G626" s="52"/>
    </row>
    <row r="627" spans="1:7" s="43" customFormat="1" ht="13.2" x14ac:dyDescent="0.25">
      <c r="A627" s="202" t="s">
        <v>2056</v>
      </c>
      <c r="B627" s="216" t="s">
        <v>2057</v>
      </c>
      <c r="C627" s="217" t="s">
        <v>1232</v>
      </c>
      <c r="D627" s="53">
        <v>0</v>
      </c>
      <c r="E627" s="121">
        <f>Saisie!D627</f>
        <v>0</v>
      </c>
      <c r="F627" s="51">
        <f>E627*D627</f>
        <v>0</v>
      </c>
      <c r="G627" s="52"/>
    </row>
    <row r="628" spans="1:7" s="43" customFormat="1" ht="26.4" x14ac:dyDescent="0.25">
      <c r="A628" s="202" t="s">
        <v>2058</v>
      </c>
      <c r="B628" s="216" t="s">
        <v>2059</v>
      </c>
      <c r="C628" s="217" t="s">
        <v>1232</v>
      </c>
      <c r="D628" s="53">
        <v>0</v>
      </c>
      <c r="E628" s="121">
        <f>Saisie!D628</f>
        <v>0</v>
      </c>
      <c r="F628" s="51">
        <f>E628*D628</f>
        <v>0</v>
      </c>
      <c r="G628" s="52"/>
    </row>
    <row r="629" spans="1:7" s="8" customFormat="1" ht="13.2" x14ac:dyDescent="0.25">
      <c r="A629" s="27" t="s">
        <v>2060</v>
      </c>
      <c r="B629" s="6" t="s">
        <v>2061</v>
      </c>
      <c r="C629" s="217" t="s">
        <v>1232</v>
      </c>
      <c r="D629" s="53">
        <v>0</v>
      </c>
      <c r="E629" s="121">
        <f>Saisie!D629</f>
        <v>0</v>
      </c>
      <c r="F629" s="51">
        <f t="shared" si="45"/>
        <v>0</v>
      </c>
      <c r="G629" s="45"/>
    </row>
    <row r="630" spans="1:7" s="43" customFormat="1" ht="26.4" x14ac:dyDescent="0.25">
      <c r="A630" s="27" t="s">
        <v>2062</v>
      </c>
      <c r="B630" s="6" t="s">
        <v>2063</v>
      </c>
      <c r="C630" s="217" t="s">
        <v>1232</v>
      </c>
      <c r="D630" s="53">
        <v>80.459999999999994</v>
      </c>
      <c r="E630" s="121">
        <f>Saisie!D630</f>
        <v>0</v>
      </c>
      <c r="F630" s="51">
        <f t="shared" si="45"/>
        <v>0</v>
      </c>
      <c r="G630" s="52"/>
    </row>
    <row r="631" spans="1:7" s="43" customFormat="1" ht="13.2" x14ac:dyDescent="0.25">
      <c r="A631" s="27" t="s">
        <v>2064</v>
      </c>
      <c r="B631" s="6" t="s">
        <v>2065</v>
      </c>
      <c r="C631" s="217" t="s">
        <v>1232</v>
      </c>
      <c r="D631" s="53">
        <v>0</v>
      </c>
      <c r="E631" s="121">
        <f>Saisie!D631</f>
        <v>0</v>
      </c>
      <c r="F631" s="51">
        <f t="shared" si="45"/>
        <v>0</v>
      </c>
      <c r="G631" s="52"/>
    </row>
    <row r="632" spans="1:7" s="43" customFormat="1" ht="26.4" x14ac:dyDescent="0.25">
      <c r="A632" s="27" t="s">
        <v>2066</v>
      </c>
      <c r="B632" s="6" t="s">
        <v>2067</v>
      </c>
      <c r="C632" s="217" t="s">
        <v>1232</v>
      </c>
      <c r="D632" s="53">
        <v>0</v>
      </c>
      <c r="E632" s="121">
        <f>Saisie!D632</f>
        <v>0</v>
      </c>
      <c r="F632" s="51">
        <f t="shared" si="45"/>
        <v>0</v>
      </c>
      <c r="G632" s="52"/>
    </row>
    <row r="633" spans="1:7" s="43" customFormat="1" ht="26.4" x14ac:dyDescent="0.25">
      <c r="A633" s="27" t="s">
        <v>2068</v>
      </c>
      <c r="B633" s="6" t="s">
        <v>2069</v>
      </c>
      <c r="C633" s="217" t="s">
        <v>1232</v>
      </c>
      <c r="D633" s="53">
        <v>0</v>
      </c>
      <c r="E633" s="121">
        <f>Saisie!D633</f>
        <v>0</v>
      </c>
      <c r="F633" s="51">
        <f t="shared" si="45"/>
        <v>0</v>
      </c>
      <c r="G633" s="52"/>
    </row>
    <row r="634" spans="1:7" s="43" customFormat="1" ht="26.4" x14ac:dyDescent="0.25">
      <c r="A634" s="27" t="s">
        <v>2070</v>
      </c>
      <c r="B634" s="6" t="s">
        <v>2071</v>
      </c>
      <c r="C634" s="217"/>
      <c r="D634" s="45"/>
      <c r="E634" s="121"/>
      <c r="F634" s="51"/>
      <c r="G634" s="52"/>
    </row>
    <row r="635" spans="1:7" s="43" customFormat="1" ht="26.4" x14ac:dyDescent="0.25">
      <c r="A635" s="202" t="s">
        <v>2072</v>
      </c>
      <c r="B635" s="216" t="s">
        <v>2073</v>
      </c>
      <c r="C635" s="217" t="s">
        <v>1232</v>
      </c>
      <c r="D635" s="53">
        <v>0</v>
      </c>
      <c r="E635" s="121">
        <f>Saisie!D635</f>
        <v>0</v>
      </c>
      <c r="F635" s="51">
        <f t="shared" ref="F635:F703" si="46">E635*D635</f>
        <v>0</v>
      </c>
      <c r="G635" s="52"/>
    </row>
    <row r="636" spans="1:7" s="43" customFormat="1" ht="26.4" x14ac:dyDescent="0.25">
      <c r="A636" s="202" t="s">
        <v>2074</v>
      </c>
      <c r="B636" s="216" t="s">
        <v>2075</v>
      </c>
      <c r="C636" s="217" t="s">
        <v>1232</v>
      </c>
      <c r="D636" s="53">
        <v>0</v>
      </c>
      <c r="E636" s="121">
        <f>Saisie!D636</f>
        <v>0</v>
      </c>
      <c r="F636" s="51">
        <f t="shared" si="46"/>
        <v>0</v>
      </c>
      <c r="G636" s="52"/>
    </row>
    <row r="637" spans="1:7" s="8" customFormat="1" ht="26.4" x14ac:dyDescent="0.25">
      <c r="A637" s="202" t="s">
        <v>2076</v>
      </c>
      <c r="B637" s="216" t="s">
        <v>2077</v>
      </c>
      <c r="C637" s="217" t="s">
        <v>1232</v>
      </c>
      <c r="D637" s="53">
        <v>402.3</v>
      </c>
      <c r="E637" s="121">
        <f>Saisie!D637</f>
        <v>0</v>
      </c>
      <c r="F637" s="51">
        <f t="shared" si="46"/>
        <v>0</v>
      </c>
      <c r="G637" s="45"/>
    </row>
    <row r="638" spans="1:7" s="43" customFormat="1" ht="26.4" x14ac:dyDescent="0.25">
      <c r="A638" s="202" t="s">
        <v>2078</v>
      </c>
      <c r="B638" s="216" t="s">
        <v>2079</v>
      </c>
      <c r="C638" s="217" t="s">
        <v>1232</v>
      </c>
      <c r="D638" s="53">
        <v>0</v>
      </c>
      <c r="E638" s="121">
        <f>Saisie!D638</f>
        <v>0</v>
      </c>
      <c r="F638" s="51">
        <f t="shared" si="46"/>
        <v>0</v>
      </c>
      <c r="G638" s="52"/>
    </row>
    <row r="639" spans="1:7" s="43" customFormat="1" ht="26.4" x14ac:dyDescent="0.25">
      <c r="A639" s="202" t="s">
        <v>2080</v>
      </c>
      <c r="B639" s="216" t="s">
        <v>2081</v>
      </c>
      <c r="C639" s="217" t="s">
        <v>1232</v>
      </c>
      <c r="D639" s="53">
        <v>0</v>
      </c>
      <c r="E639" s="121">
        <f>Saisie!D639</f>
        <v>0</v>
      </c>
      <c r="F639" s="51">
        <f t="shared" si="46"/>
        <v>0</v>
      </c>
      <c r="G639" s="52"/>
    </row>
    <row r="640" spans="1:7" s="43" customFormat="1" ht="26.4" x14ac:dyDescent="0.25">
      <c r="A640" s="83" t="s">
        <v>2082</v>
      </c>
      <c r="B640" s="4" t="s">
        <v>2083</v>
      </c>
      <c r="C640" s="217" t="s">
        <v>1232</v>
      </c>
      <c r="D640" s="53">
        <v>0</v>
      </c>
      <c r="E640" s="121">
        <f>Saisie!D640</f>
        <v>0</v>
      </c>
      <c r="F640" s="51">
        <f t="shared" ref="F640" si="47">E640*D640</f>
        <v>0</v>
      </c>
      <c r="G640" s="194"/>
    </row>
    <row r="641" spans="1:7" s="43" customFormat="1" ht="13.2" x14ac:dyDescent="0.25">
      <c r="A641" s="83" t="s">
        <v>2084</v>
      </c>
      <c r="B641" s="4" t="s">
        <v>2085</v>
      </c>
      <c r="C641" s="217" t="s">
        <v>1232</v>
      </c>
      <c r="D641" s="53">
        <v>0</v>
      </c>
      <c r="E641" s="121">
        <f>Saisie!D641</f>
        <v>0</v>
      </c>
      <c r="F641" s="51">
        <f t="shared" ref="F641" si="48">E641*D641</f>
        <v>0</v>
      </c>
      <c r="G641" s="194"/>
    </row>
    <row r="642" spans="1:7" s="43" customFormat="1" ht="13.2" x14ac:dyDescent="0.25">
      <c r="A642" s="83" t="s">
        <v>2086</v>
      </c>
      <c r="B642" s="4" t="s">
        <v>4312</v>
      </c>
      <c r="C642" s="217" t="s">
        <v>1232</v>
      </c>
      <c r="D642" s="53">
        <v>0</v>
      </c>
      <c r="E642" s="121">
        <f>Saisie!D642</f>
        <v>0</v>
      </c>
      <c r="F642" s="51">
        <f t="shared" ref="F642" si="49">E642*D642</f>
        <v>0</v>
      </c>
      <c r="G642" s="194"/>
    </row>
    <row r="643" spans="1:7" s="43" customFormat="1" ht="13.2" x14ac:dyDescent="0.25">
      <c r="A643" s="27" t="s">
        <v>2089</v>
      </c>
      <c r="B643" s="6" t="s">
        <v>2090</v>
      </c>
      <c r="C643" s="217"/>
      <c r="D643" s="45"/>
      <c r="E643" s="121"/>
      <c r="F643" s="51"/>
      <c r="G643" s="52"/>
    </row>
    <row r="644" spans="1:7" s="43" customFormat="1" ht="13.2" x14ac:dyDescent="0.25">
      <c r="A644" s="202" t="s">
        <v>2091</v>
      </c>
      <c r="B644" s="216" t="s">
        <v>2092</v>
      </c>
      <c r="C644" s="217"/>
      <c r="D644" s="45"/>
      <c r="E644" s="121"/>
      <c r="F644" s="51"/>
      <c r="G644" s="52"/>
    </row>
    <row r="645" spans="1:7" s="43" customFormat="1" ht="13.2" x14ac:dyDescent="0.25">
      <c r="A645" s="202" t="s">
        <v>2093</v>
      </c>
      <c r="B645" s="216" t="s">
        <v>2094</v>
      </c>
      <c r="C645" s="217" t="s">
        <v>1141</v>
      </c>
      <c r="D645" s="53">
        <v>0</v>
      </c>
      <c r="E645" s="121">
        <f>Saisie!D645</f>
        <v>0</v>
      </c>
      <c r="F645" s="51">
        <f t="shared" si="46"/>
        <v>0</v>
      </c>
      <c r="G645" s="52"/>
    </row>
    <row r="646" spans="1:7" s="43" customFormat="1" ht="13.2" x14ac:dyDescent="0.25">
      <c r="A646" s="202" t="s">
        <v>2095</v>
      </c>
      <c r="B646" s="216" t="s">
        <v>2096</v>
      </c>
      <c r="C646" s="217" t="s">
        <v>1141</v>
      </c>
      <c r="D646" s="53">
        <v>145.05000000000001</v>
      </c>
      <c r="E646" s="121">
        <f>Saisie!D646</f>
        <v>0</v>
      </c>
      <c r="F646" s="51">
        <f t="shared" si="46"/>
        <v>0</v>
      </c>
      <c r="G646" s="52"/>
    </row>
    <row r="647" spans="1:7" s="43" customFormat="1" ht="13.2" x14ac:dyDescent="0.25">
      <c r="A647" s="202" t="s">
        <v>2097</v>
      </c>
      <c r="B647" s="216" t="s">
        <v>2098</v>
      </c>
      <c r="C647" s="217" t="s">
        <v>1141</v>
      </c>
      <c r="D647" s="53">
        <v>0</v>
      </c>
      <c r="E647" s="121">
        <f>Saisie!D647</f>
        <v>0</v>
      </c>
      <c r="F647" s="51">
        <f t="shared" si="46"/>
        <v>0</v>
      </c>
      <c r="G647" s="52"/>
    </row>
    <row r="648" spans="1:7" s="43" customFormat="1" ht="13.2" x14ac:dyDescent="0.25">
      <c r="A648" s="202" t="s">
        <v>2099</v>
      </c>
      <c r="B648" s="216" t="s">
        <v>2100</v>
      </c>
      <c r="C648" s="217" t="s">
        <v>1141</v>
      </c>
      <c r="D648" s="53">
        <v>0</v>
      </c>
      <c r="E648" s="121">
        <f>Saisie!D648</f>
        <v>0</v>
      </c>
      <c r="F648" s="51">
        <f t="shared" si="46"/>
        <v>0</v>
      </c>
      <c r="G648" s="52"/>
    </row>
    <row r="649" spans="1:7" s="43" customFormat="1" ht="13.2" x14ac:dyDescent="0.25">
      <c r="A649" s="202" t="s">
        <v>2101</v>
      </c>
      <c r="B649" s="216" t="s">
        <v>2102</v>
      </c>
      <c r="C649" s="217" t="s">
        <v>1141</v>
      </c>
      <c r="D649" s="53">
        <v>200</v>
      </c>
      <c r="E649" s="121">
        <f>Saisie!D649</f>
        <v>0</v>
      </c>
      <c r="F649" s="51">
        <f t="shared" si="46"/>
        <v>0</v>
      </c>
      <c r="G649" s="52"/>
    </row>
    <row r="650" spans="1:7" s="43" customFormat="1" ht="13.2" x14ac:dyDescent="0.25">
      <c r="A650" s="202" t="s">
        <v>2103</v>
      </c>
      <c r="B650" s="216" t="s">
        <v>2104</v>
      </c>
      <c r="C650" s="217" t="s">
        <v>1141</v>
      </c>
      <c r="D650" s="53">
        <v>0</v>
      </c>
      <c r="E650" s="121">
        <f>Saisie!D650</f>
        <v>0</v>
      </c>
      <c r="F650" s="51">
        <f t="shared" si="46"/>
        <v>0</v>
      </c>
      <c r="G650" s="52"/>
    </row>
    <row r="651" spans="1:7" s="43" customFormat="1" ht="13.2" x14ac:dyDescent="0.25">
      <c r="A651" s="202" t="s">
        <v>2105</v>
      </c>
      <c r="B651" s="216" t="s">
        <v>2106</v>
      </c>
      <c r="C651" s="217" t="s">
        <v>1141</v>
      </c>
      <c r="D651" s="53">
        <v>0</v>
      </c>
      <c r="E651" s="121">
        <f>Saisie!D651</f>
        <v>0</v>
      </c>
      <c r="F651" s="51">
        <f>E651*D651</f>
        <v>0</v>
      </c>
      <c r="G651" s="52"/>
    </row>
    <row r="652" spans="1:7" s="43" customFormat="1" ht="13.2" x14ac:dyDescent="0.25">
      <c r="A652" s="202" t="s">
        <v>2107</v>
      </c>
      <c r="B652" s="216" t="s">
        <v>2108</v>
      </c>
      <c r="C652" s="217" t="s">
        <v>2109</v>
      </c>
      <c r="D652" s="53">
        <v>0</v>
      </c>
      <c r="E652" s="121">
        <f>Saisie!D652</f>
        <v>0</v>
      </c>
      <c r="F652" s="51">
        <f>E652*D652</f>
        <v>0</v>
      </c>
      <c r="G652" s="52"/>
    </row>
    <row r="653" spans="1:7" s="8" customFormat="1" ht="13.2" x14ac:dyDescent="0.25">
      <c r="A653" s="202" t="s">
        <v>2110</v>
      </c>
      <c r="B653" s="216" t="s">
        <v>2111</v>
      </c>
      <c r="C653" s="217"/>
      <c r="D653" s="47"/>
      <c r="E653" s="121"/>
      <c r="F653" s="47"/>
      <c r="G653" s="45"/>
    </row>
    <row r="654" spans="1:7" s="43" customFormat="1" ht="13.2" x14ac:dyDescent="0.25">
      <c r="A654" s="202" t="s">
        <v>2112</v>
      </c>
      <c r="B654" s="216" t="s">
        <v>2113</v>
      </c>
      <c r="C654" s="217" t="s">
        <v>1141</v>
      </c>
      <c r="D654" s="53">
        <v>0</v>
      </c>
      <c r="E654" s="121">
        <f>Saisie!D654</f>
        <v>0</v>
      </c>
      <c r="F654" s="51">
        <f>E654*D654</f>
        <v>0</v>
      </c>
      <c r="G654" s="52"/>
    </row>
    <row r="655" spans="1:7" s="43" customFormat="1" ht="13.2" x14ac:dyDescent="0.25">
      <c r="A655" s="202" t="s">
        <v>2114</v>
      </c>
      <c r="B655" s="216" t="s">
        <v>2115</v>
      </c>
      <c r="C655" s="217" t="s">
        <v>1141</v>
      </c>
      <c r="D655" s="53">
        <v>0</v>
      </c>
      <c r="E655" s="121">
        <f>Saisie!D655</f>
        <v>0</v>
      </c>
      <c r="F655" s="51">
        <f>E655*D655</f>
        <v>0</v>
      </c>
      <c r="G655" s="52"/>
    </row>
    <row r="656" spans="1:7" s="43" customFormat="1" ht="13.2" x14ac:dyDescent="0.25">
      <c r="A656" s="202" t="s">
        <v>2116</v>
      </c>
      <c r="B656" s="216" t="s">
        <v>2117</v>
      </c>
      <c r="C656" s="217" t="s">
        <v>2109</v>
      </c>
      <c r="D656" s="53">
        <v>0</v>
      </c>
      <c r="E656" s="121">
        <f>Saisie!D656</f>
        <v>0</v>
      </c>
      <c r="F656" s="51">
        <f>E656*D656</f>
        <v>0</v>
      </c>
      <c r="G656" s="52"/>
    </row>
    <row r="657" spans="1:7" s="43" customFormat="1" ht="13.2" x14ac:dyDescent="0.25">
      <c r="A657" s="202" t="s">
        <v>2118</v>
      </c>
      <c r="B657" s="216" t="s">
        <v>2119</v>
      </c>
      <c r="C657" s="217" t="s">
        <v>1141</v>
      </c>
      <c r="D657" s="53">
        <v>0</v>
      </c>
      <c r="E657" s="121">
        <f>Saisie!D657</f>
        <v>0</v>
      </c>
      <c r="F657" s="51">
        <f>E657*D657</f>
        <v>0</v>
      </c>
      <c r="G657" s="52"/>
    </row>
    <row r="658" spans="1:7" s="2" customFormat="1" ht="13.2" x14ac:dyDescent="0.25">
      <c r="A658" s="202" t="s">
        <v>2120</v>
      </c>
      <c r="B658" s="216" t="s">
        <v>2121</v>
      </c>
      <c r="C658" s="217"/>
      <c r="D658" s="45"/>
      <c r="E658" s="121"/>
      <c r="F658" s="51"/>
      <c r="G658" s="52"/>
    </row>
    <row r="659" spans="1:7" s="2" customFormat="1" ht="13.2" x14ac:dyDescent="0.25">
      <c r="A659" s="202" t="s">
        <v>2122</v>
      </c>
      <c r="B659" s="216" t="s">
        <v>2123</v>
      </c>
      <c r="C659" s="217"/>
      <c r="D659" s="45"/>
      <c r="E659" s="121"/>
      <c r="F659" s="51"/>
      <c r="G659" s="52"/>
    </row>
    <row r="660" spans="1:7" s="8" customFormat="1" ht="13.2" x14ac:dyDescent="0.25">
      <c r="A660" s="202" t="s">
        <v>2124</v>
      </c>
      <c r="B660" s="216" t="s">
        <v>2125</v>
      </c>
      <c r="C660" s="217" t="s">
        <v>984</v>
      </c>
      <c r="D660" s="53">
        <v>0</v>
      </c>
      <c r="E660" s="121">
        <f>Saisie!D660</f>
        <v>0</v>
      </c>
      <c r="F660" s="51">
        <f t="shared" si="46"/>
        <v>0</v>
      </c>
      <c r="G660" s="45"/>
    </row>
    <row r="661" spans="1:7" s="43" customFormat="1" ht="13.2" x14ac:dyDescent="0.25">
      <c r="A661" s="202" t="s">
        <v>2126</v>
      </c>
      <c r="B661" s="216" t="s">
        <v>2127</v>
      </c>
      <c r="C661" s="217" t="s">
        <v>984</v>
      </c>
      <c r="D661" s="53">
        <v>0</v>
      </c>
      <c r="E661" s="121">
        <f>Saisie!D661</f>
        <v>0</v>
      </c>
      <c r="F661" s="51">
        <f t="shared" si="46"/>
        <v>0</v>
      </c>
      <c r="G661" s="52"/>
    </row>
    <row r="662" spans="1:7" s="43" customFormat="1" ht="13.2" x14ac:dyDescent="0.25">
      <c r="A662" s="202" t="s">
        <v>2128</v>
      </c>
      <c r="B662" s="216" t="s">
        <v>2129</v>
      </c>
      <c r="C662" s="217" t="s">
        <v>984</v>
      </c>
      <c r="D662" s="53">
        <v>0</v>
      </c>
      <c r="E662" s="121">
        <f>Saisie!D662</f>
        <v>0</v>
      </c>
      <c r="F662" s="51">
        <f t="shared" si="46"/>
        <v>0</v>
      </c>
      <c r="G662" s="52"/>
    </row>
    <row r="663" spans="1:7" s="43" customFormat="1" ht="13.2" x14ac:dyDescent="0.25">
      <c r="A663" s="202" t="s">
        <v>2130</v>
      </c>
      <c r="B663" s="216" t="s">
        <v>2131</v>
      </c>
      <c r="C663" s="217" t="s">
        <v>2109</v>
      </c>
      <c r="D663" s="53">
        <v>0</v>
      </c>
      <c r="E663" s="121">
        <f>Saisie!D663</f>
        <v>0</v>
      </c>
      <c r="F663" s="51">
        <f t="shared" si="46"/>
        <v>0</v>
      </c>
      <c r="G663" s="52"/>
    </row>
    <row r="664" spans="1:7" s="43" customFormat="1" ht="13.2" x14ac:dyDescent="0.25">
      <c r="A664" s="202" t="s">
        <v>2132</v>
      </c>
      <c r="B664" s="216" t="s">
        <v>2133</v>
      </c>
      <c r="C664" s="217" t="s">
        <v>1034</v>
      </c>
      <c r="D664" s="53">
        <v>0</v>
      </c>
      <c r="E664" s="121">
        <f>Saisie!D664</f>
        <v>0</v>
      </c>
      <c r="F664" s="51">
        <f t="shared" si="46"/>
        <v>0</v>
      </c>
      <c r="G664" s="52"/>
    </row>
    <row r="665" spans="1:7" s="43" customFormat="1" ht="13.2" x14ac:dyDescent="0.25">
      <c r="A665" s="202" t="s">
        <v>2134</v>
      </c>
      <c r="B665" s="216" t="s">
        <v>2135</v>
      </c>
      <c r="C665" s="217"/>
      <c r="D665" s="45"/>
      <c r="E665" s="121"/>
      <c r="F665" s="51"/>
      <c r="G665" s="52"/>
    </row>
    <row r="666" spans="1:7" s="43" customFormat="1" ht="13.2" x14ac:dyDescent="0.25">
      <c r="A666" s="202" t="s">
        <v>2136</v>
      </c>
      <c r="B666" s="216" t="s">
        <v>2137</v>
      </c>
      <c r="C666" s="217" t="s">
        <v>1141</v>
      </c>
      <c r="D666" s="53">
        <v>0</v>
      </c>
      <c r="E666" s="121">
        <f>Saisie!D666</f>
        <v>0</v>
      </c>
      <c r="F666" s="51">
        <f t="shared" si="46"/>
        <v>0</v>
      </c>
      <c r="G666" s="52"/>
    </row>
    <row r="667" spans="1:7" s="43" customFormat="1" ht="13.2" x14ac:dyDescent="0.25">
      <c r="A667" s="202" t="s">
        <v>2138</v>
      </c>
      <c r="B667" s="216" t="s">
        <v>2139</v>
      </c>
      <c r="C667" s="217" t="s">
        <v>1141</v>
      </c>
      <c r="D667" s="53">
        <v>0</v>
      </c>
      <c r="E667" s="121">
        <f>Saisie!D667</f>
        <v>0</v>
      </c>
      <c r="F667" s="51">
        <f t="shared" si="46"/>
        <v>0</v>
      </c>
      <c r="G667" s="52"/>
    </row>
    <row r="668" spans="1:7" s="43" customFormat="1" ht="13.2" x14ac:dyDescent="0.25">
      <c r="A668" s="202" t="s">
        <v>2140</v>
      </c>
      <c r="B668" s="216" t="s">
        <v>2141</v>
      </c>
      <c r="C668" s="217" t="s">
        <v>1141</v>
      </c>
      <c r="D668" s="53">
        <v>0</v>
      </c>
      <c r="E668" s="121">
        <f>Saisie!D668</f>
        <v>0</v>
      </c>
      <c r="F668" s="51">
        <f t="shared" si="46"/>
        <v>0</v>
      </c>
      <c r="G668" s="52"/>
    </row>
    <row r="669" spans="1:7" s="43" customFormat="1" ht="13.2" x14ac:dyDescent="0.25">
      <c r="A669" s="202" t="s">
        <v>2142</v>
      </c>
      <c r="B669" s="216" t="s">
        <v>2143</v>
      </c>
      <c r="C669" s="217" t="s">
        <v>2109</v>
      </c>
      <c r="D669" s="53">
        <v>0</v>
      </c>
      <c r="E669" s="121">
        <f>Saisie!D669</f>
        <v>0</v>
      </c>
      <c r="F669" s="51">
        <f t="shared" si="46"/>
        <v>0</v>
      </c>
      <c r="G669" s="52"/>
    </row>
    <row r="670" spans="1:7" s="43" customFormat="1" ht="13.2" x14ac:dyDescent="0.25">
      <c r="A670" s="27" t="s">
        <v>2144</v>
      </c>
      <c r="B670" s="3" t="s">
        <v>2145</v>
      </c>
      <c r="C670" s="217"/>
      <c r="D670" s="45"/>
      <c r="E670" s="121"/>
      <c r="F670" s="51"/>
      <c r="G670" s="52"/>
    </row>
    <row r="671" spans="1:7" s="2" customFormat="1" ht="13.2" x14ac:dyDescent="0.25">
      <c r="A671" s="202" t="s">
        <v>2146</v>
      </c>
      <c r="B671" s="216" t="s">
        <v>2147</v>
      </c>
      <c r="C671" s="217"/>
      <c r="D671" s="45"/>
      <c r="E671" s="121"/>
      <c r="F671" s="51"/>
      <c r="G671" s="52"/>
    </row>
    <row r="672" spans="1:7" s="8" customFormat="1" ht="13.2" x14ac:dyDescent="0.25">
      <c r="A672" s="202" t="s">
        <v>2148</v>
      </c>
      <c r="B672" s="216" t="s">
        <v>2149</v>
      </c>
      <c r="C672" s="217" t="s">
        <v>1232</v>
      </c>
      <c r="D672" s="53">
        <v>0</v>
      </c>
      <c r="E672" s="121">
        <f>Saisie!D672</f>
        <v>0</v>
      </c>
      <c r="F672" s="51">
        <f t="shared" si="46"/>
        <v>0</v>
      </c>
      <c r="G672" s="45"/>
    </row>
    <row r="673" spans="1:7" s="43" customFormat="1" ht="13.2" x14ac:dyDescent="0.25">
      <c r="A673" s="202" t="s">
        <v>2150</v>
      </c>
      <c r="B673" s="216" t="s">
        <v>2151</v>
      </c>
      <c r="C673" s="217" t="s">
        <v>1232</v>
      </c>
      <c r="D673" s="53">
        <v>0</v>
      </c>
      <c r="E673" s="121">
        <f>Saisie!D673</f>
        <v>0</v>
      </c>
      <c r="F673" s="51">
        <f t="shared" si="46"/>
        <v>0</v>
      </c>
      <c r="G673" s="52"/>
    </row>
    <row r="674" spans="1:7" s="43" customFormat="1" ht="13.2" x14ac:dyDescent="0.25">
      <c r="A674" s="202" t="s">
        <v>2152</v>
      </c>
      <c r="B674" s="216" t="s">
        <v>2153</v>
      </c>
      <c r="C674" s="217"/>
      <c r="D674" s="45"/>
      <c r="E674" s="121"/>
      <c r="F674" s="51"/>
      <c r="G674" s="52"/>
    </row>
    <row r="675" spans="1:7" s="43" customFormat="1" ht="13.2" x14ac:dyDescent="0.25">
      <c r="A675" s="202" t="s">
        <v>2154</v>
      </c>
      <c r="B675" s="216" t="s">
        <v>2149</v>
      </c>
      <c r="C675" s="217" t="s">
        <v>1232</v>
      </c>
      <c r="D675" s="53">
        <v>0</v>
      </c>
      <c r="E675" s="121">
        <f>Saisie!D675</f>
        <v>0</v>
      </c>
      <c r="F675" s="51">
        <f t="shared" si="46"/>
        <v>0</v>
      </c>
      <c r="G675" s="52"/>
    </row>
    <row r="676" spans="1:7" s="43" customFormat="1" ht="13.2" x14ac:dyDescent="0.25">
      <c r="A676" s="202" t="s">
        <v>2155</v>
      </c>
      <c r="B676" s="216" t="s">
        <v>2151</v>
      </c>
      <c r="C676" s="217" t="s">
        <v>1232</v>
      </c>
      <c r="D676" s="53">
        <v>0</v>
      </c>
      <c r="E676" s="121">
        <f>Saisie!D676</f>
        <v>0</v>
      </c>
      <c r="F676" s="51">
        <f t="shared" si="46"/>
        <v>0</v>
      </c>
      <c r="G676" s="52"/>
    </row>
    <row r="677" spans="1:7" s="43" customFormat="1" ht="13.2" x14ac:dyDescent="0.25">
      <c r="A677" s="83" t="s">
        <v>2156</v>
      </c>
      <c r="B677" s="4" t="s">
        <v>2157</v>
      </c>
      <c r="C677" s="217"/>
      <c r="D677" s="45"/>
      <c r="E677" s="121"/>
      <c r="F677" s="51"/>
      <c r="G677" s="52"/>
    </row>
    <row r="678" spans="1:7" s="43" customFormat="1" ht="13.2" x14ac:dyDescent="0.25">
      <c r="A678" s="202" t="s">
        <v>2158</v>
      </c>
      <c r="B678" s="216" t="s">
        <v>2159</v>
      </c>
      <c r="C678" s="229" t="s">
        <v>1141</v>
      </c>
      <c r="D678" s="53">
        <v>136.16999999999999</v>
      </c>
      <c r="E678" s="121">
        <f>Saisie!D678</f>
        <v>0</v>
      </c>
      <c r="F678" s="51">
        <f t="shared" si="46"/>
        <v>0</v>
      </c>
      <c r="G678" s="52"/>
    </row>
    <row r="679" spans="1:7" s="43" customFormat="1" ht="13.2" x14ac:dyDescent="0.25">
      <c r="A679" s="202" t="s">
        <v>2160</v>
      </c>
      <c r="B679" s="216" t="s">
        <v>2161</v>
      </c>
      <c r="C679" s="229" t="s">
        <v>1141</v>
      </c>
      <c r="D679" s="53">
        <v>0</v>
      </c>
      <c r="E679" s="121">
        <f>Saisie!D679</f>
        <v>0</v>
      </c>
      <c r="F679" s="51">
        <f t="shared" si="46"/>
        <v>0</v>
      </c>
      <c r="G679" s="52"/>
    </row>
    <row r="680" spans="1:7" s="43" customFormat="1" ht="13.2" x14ac:dyDescent="0.25">
      <c r="A680" s="202" t="s">
        <v>2162</v>
      </c>
      <c r="B680" s="216" t="s">
        <v>2163</v>
      </c>
      <c r="C680" s="229" t="s">
        <v>1141</v>
      </c>
      <c r="D680" s="53">
        <v>0</v>
      </c>
      <c r="E680" s="121">
        <f>Saisie!D680</f>
        <v>0</v>
      </c>
      <c r="F680" s="127">
        <f t="shared" si="46"/>
        <v>0</v>
      </c>
      <c r="G680" s="52"/>
    </row>
    <row r="681" spans="1:7" s="43" customFormat="1" ht="13.2" x14ac:dyDescent="0.25">
      <c r="A681" s="202" t="s">
        <v>2164</v>
      </c>
      <c r="B681" s="216" t="s">
        <v>2165</v>
      </c>
      <c r="C681" s="227" t="s">
        <v>1883</v>
      </c>
      <c r="D681" s="47"/>
      <c r="E681" s="121"/>
      <c r="F681" s="47"/>
      <c r="G681" s="52"/>
    </row>
    <row r="682" spans="1:7" s="43" customFormat="1" ht="13.2" x14ac:dyDescent="0.25">
      <c r="A682" s="202" t="s">
        <v>2166</v>
      </c>
      <c r="B682" s="216" t="s">
        <v>2167</v>
      </c>
      <c r="C682" s="217" t="s">
        <v>1232</v>
      </c>
      <c r="D682" s="53">
        <v>13.62</v>
      </c>
      <c r="E682" s="121">
        <f>Saisie!D682</f>
        <v>0</v>
      </c>
      <c r="F682" s="51">
        <f t="shared" si="46"/>
        <v>0</v>
      </c>
      <c r="G682" s="52"/>
    </row>
    <row r="683" spans="1:7" s="8" customFormat="1" ht="13.2" x14ac:dyDescent="0.25">
      <c r="A683" s="202" t="s">
        <v>2168</v>
      </c>
      <c r="B683" s="216" t="s">
        <v>2169</v>
      </c>
      <c r="C683" s="217" t="s">
        <v>1232</v>
      </c>
      <c r="D683" s="53">
        <v>0</v>
      </c>
      <c r="E683" s="121">
        <f>Saisie!D683</f>
        <v>0</v>
      </c>
      <c r="F683" s="51">
        <f t="shared" si="46"/>
        <v>0</v>
      </c>
      <c r="G683" s="45"/>
    </row>
    <row r="684" spans="1:7" s="43" customFormat="1" ht="13.2" x14ac:dyDescent="0.25">
      <c r="A684" s="202" t="s">
        <v>2170</v>
      </c>
      <c r="B684" s="216" t="s">
        <v>2171</v>
      </c>
      <c r="C684" s="217" t="s">
        <v>1232</v>
      </c>
      <c r="D684" s="53">
        <v>0</v>
      </c>
      <c r="E684" s="121">
        <f>Saisie!D684</f>
        <v>0</v>
      </c>
      <c r="F684" s="51">
        <f t="shared" si="46"/>
        <v>0</v>
      </c>
      <c r="G684" s="52"/>
    </row>
    <row r="685" spans="1:7" s="43" customFormat="1" ht="13.2" x14ac:dyDescent="0.25">
      <c r="A685" s="202" t="s">
        <v>2172</v>
      </c>
      <c r="B685" s="216" t="s">
        <v>2173</v>
      </c>
      <c r="C685" s="217" t="s">
        <v>1232</v>
      </c>
      <c r="D685" s="53">
        <v>0</v>
      </c>
      <c r="E685" s="121">
        <f>Saisie!D685</f>
        <v>0</v>
      </c>
      <c r="F685" s="51">
        <f t="shared" si="46"/>
        <v>0</v>
      </c>
      <c r="G685" s="52"/>
    </row>
    <row r="686" spans="1:7" s="43" customFormat="1" ht="13.2" x14ac:dyDescent="0.25">
      <c r="A686" s="202" t="s">
        <v>2174</v>
      </c>
      <c r="B686" s="216" t="s">
        <v>2175</v>
      </c>
      <c r="C686" s="227"/>
      <c r="D686" s="45"/>
      <c r="E686" s="121"/>
      <c r="F686" s="51"/>
      <c r="G686" s="52"/>
    </row>
    <row r="687" spans="1:7" s="43" customFormat="1" ht="13.2" x14ac:dyDescent="0.25">
      <c r="A687" s="202" t="s">
        <v>2176</v>
      </c>
      <c r="B687" s="216" t="s">
        <v>2177</v>
      </c>
      <c r="C687" s="217" t="s">
        <v>1232</v>
      </c>
      <c r="D687" s="53">
        <v>42.03</v>
      </c>
      <c r="E687" s="121">
        <f>Saisie!D687</f>
        <v>0</v>
      </c>
      <c r="F687" s="51">
        <f t="shared" si="46"/>
        <v>0</v>
      </c>
      <c r="G687" s="52"/>
    </row>
    <row r="688" spans="1:7" s="43" customFormat="1" ht="13.2" x14ac:dyDescent="0.25">
      <c r="A688" s="202" t="s">
        <v>2178</v>
      </c>
      <c r="B688" s="216" t="s">
        <v>2179</v>
      </c>
      <c r="C688" s="217" t="s">
        <v>1232</v>
      </c>
      <c r="D688" s="53">
        <v>0</v>
      </c>
      <c r="E688" s="121">
        <f>Saisie!D688</f>
        <v>0</v>
      </c>
      <c r="F688" s="51">
        <f t="shared" si="46"/>
        <v>0</v>
      </c>
      <c r="G688" s="52"/>
    </row>
    <row r="689" spans="1:7" s="43" customFormat="1" ht="13.2" x14ac:dyDescent="0.25">
      <c r="A689" s="202" t="s">
        <v>2180</v>
      </c>
      <c r="B689" s="216" t="s">
        <v>2181</v>
      </c>
      <c r="C689" s="217" t="s">
        <v>1232</v>
      </c>
      <c r="D689" s="53">
        <v>0</v>
      </c>
      <c r="E689" s="121">
        <f>Saisie!D689</f>
        <v>0</v>
      </c>
      <c r="F689" s="51">
        <f t="shared" si="46"/>
        <v>0</v>
      </c>
      <c r="G689" s="52"/>
    </row>
    <row r="690" spans="1:7" s="8" customFormat="1" ht="13.2" x14ac:dyDescent="0.25">
      <c r="A690" s="202" t="s">
        <v>2182</v>
      </c>
      <c r="B690" s="216" t="s">
        <v>2183</v>
      </c>
      <c r="C690" s="217" t="s">
        <v>1232</v>
      </c>
      <c r="D690" s="53">
        <v>0</v>
      </c>
      <c r="E690" s="121">
        <f>Saisie!D690</f>
        <v>0</v>
      </c>
      <c r="F690" s="51">
        <f t="shared" si="46"/>
        <v>0</v>
      </c>
      <c r="G690" s="45"/>
    </row>
    <row r="691" spans="1:7" s="43" customFormat="1" ht="13.2" x14ac:dyDescent="0.25">
      <c r="A691" s="202" t="s">
        <v>2184</v>
      </c>
      <c r="B691" s="216" t="s">
        <v>2185</v>
      </c>
      <c r="C691" s="217" t="s">
        <v>1232</v>
      </c>
      <c r="D691" s="53">
        <v>0</v>
      </c>
      <c r="E691" s="121">
        <f>Saisie!D691</f>
        <v>0</v>
      </c>
      <c r="F691" s="51">
        <f t="shared" si="46"/>
        <v>0</v>
      </c>
      <c r="G691" s="52"/>
    </row>
    <row r="692" spans="1:7" s="43" customFormat="1" ht="13.2" x14ac:dyDescent="0.25">
      <c r="A692" s="202" t="s">
        <v>2186</v>
      </c>
      <c r="B692" s="216" t="s">
        <v>2187</v>
      </c>
      <c r="C692" s="227" t="s">
        <v>1883</v>
      </c>
      <c r="D692" s="45"/>
      <c r="E692" s="121"/>
      <c r="F692" s="51"/>
      <c r="G692" s="52"/>
    </row>
    <row r="693" spans="1:7" s="43" customFormat="1" ht="13.2" x14ac:dyDescent="0.25">
      <c r="A693" s="202" t="s">
        <v>2188</v>
      </c>
      <c r="B693" s="223" t="s">
        <v>2189</v>
      </c>
      <c r="C693" s="217" t="s">
        <v>1232</v>
      </c>
      <c r="D693" s="53">
        <v>0</v>
      </c>
      <c r="E693" s="121">
        <f>Saisie!D693</f>
        <v>0</v>
      </c>
      <c r="F693" s="51">
        <f t="shared" si="46"/>
        <v>0</v>
      </c>
      <c r="G693" s="52"/>
    </row>
    <row r="694" spans="1:7" s="43" customFormat="1" ht="13.2" x14ac:dyDescent="0.25">
      <c r="A694" s="202" t="s">
        <v>2190</v>
      </c>
      <c r="B694" s="223" t="s">
        <v>2191</v>
      </c>
      <c r="C694" s="217" t="s">
        <v>1232</v>
      </c>
      <c r="D694" s="53">
        <v>0</v>
      </c>
      <c r="E694" s="121">
        <f>Saisie!D694</f>
        <v>0</v>
      </c>
      <c r="F694" s="51">
        <f t="shared" si="46"/>
        <v>0</v>
      </c>
      <c r="G694" s="52"/>
    </row>
    <row r="695" spans="1:7" s="43" customFormat="1" ht="26.4" x14ac:dyDescent="0.25">
      <c r="A695" s="202" t="s">
        <v>2192</v>
      </c>
      <c r="B695" s="223" t="s">
        <v>2193</v>
      </c>
      <c r="C695" s="217" t="s">
        <v>1232</v>
      </c>
      <c r="D695" s="53">
        <v>0</v>
      </c>
      <c r="E695" s="121">
        <f>Saisie!D695</f>
        <v>0</v>
      </c>
      <c r="F695" s="51">
        <f t="shared" si="46"/>
        <v>0</v>
      </c>
      <c r="G695" s="52"/>
    </row>
    <row r="696" spans="1:7" s="43" customFormat="1" ht="13.2" x14ac:dyDescent="0.25">
      <c r="A696" s="202" t="s">
        <v>2194</v>
      </c>
      <c r="B696" s="216" t="s">
        <v>2195</v>
      </c>
      <c r="C696" s="217" t="s">
        <v>1232</v>
      </c>
      <c r="D696" s="53">
        <v>0</v>
      </c>
      <c r="E696" s="121">
        <f>Saisie!D696</f>
        <v>0</v>
      </c>
      <c r="F696" s="51">
        <f t="shared" si="46"/>
        <v>0</v>
      </c>
      <c r="G696" s="52"/>
    </row>
    <row r="697" spans="1:7" s="8" customFormat="1" ht="13.2" x14ac:dyDescent="0.25">
      <c r="A697" s="202" t="s">
        <v>2196</v>
      </c>
      <c r="B697" s="216" t="s">
        <v>2197</v>
      </c>
      <c r="C697" s="217" t="s">
        <v>1232</v>
      </c>
      <c r="D697" s="53">
        <v>259.45</v>
      </c>
      <c r="E697" s="121">
        <f>Saisie!D697</f>
        <v>0</v>
      </c>
      <c r="F697" s="51">
        <f t="shared" si="46"/>
        <v>0</v>
      </c>
      <c r="G697" s="45"/>
    </row>
    <row r="698" spans="1:7" s="43" customFormat="1" ht="13.2" x14ac:dyDescent="0.25">
      <c r="A698" s="202" t="s">
        <v>2198</v>
      </c>
      <c r="B698" s="216" t="s">
        <v>2199</v>
      </c>
      <c r="C698" s="217" t="s">
        <v>1232</v>
      </c>
      <c r="D698" s="53">
        <v>0</v>
      </c>
      <c r="E698" s="121">
        <f>Saisie!D698</f>
        <v>0</v>
      </c>
      <c r="F698" s="51">
        <f t="shared" si="46"/>
        <v>0</v>
      </c>
      <c r="G698" s="52"/>
    </row>
    <row r="699" spans="1:7" s="43" customFormat="1" ht="13.2" x14ac:dyDescent="0.25">
      <c r="A699" s="202" t="s">
        <v>2200</v>
      </c>
      <c r="B699" s="216" t="s">
        <v>2201</v>
      </c>
      <c r="C699" s="217" t="s">
        <v>1232</v>
      </c>
      <c r="D699" s="53">
        <v>133.04</v>
      </c>
      <c r="E699" s="121">
        <f>Saisie!D699</f>
        <v>0</v>
      </c>
      <c r="F699" s="51">
        <f t="shared" si="46"/>
        <v>0</v>
      </c>
      <c r="G699" s="52"/>
    </row>
    <row r="700" spans="1:7" s="43" customFormat="1" ht="13.2" x14ac:dyDescent="0.25">
      <c r="A700" s="83" t="s">
        <v>2202</v>
      </c>
      <c r="B700" s="4" t="s">
        <v>2203</v>
      </c>
      <c r="C700" s="217" t="s">
        <v>2088</v>
      </c>
      <c r="D700" s="53">
        <v>0</v>
      </c>
      <c r="E700" s="121">
        <f>Saisie!D700</f>
        <v>0</v>
      </c>
      <c r="F700" s="51">
        <f t="shared" ref="F700" si="50">E700*D700</f>
        <v>0</v>
      </c>
      <c r="G700" s="52"/>
    </row>
    <row r="701" spans="1:7" s="43" customFormat="1" ht="26.4" x14ac:dyDescent="0.25">
      <c r="A701" s="83" t="s">
        <v>2204</v>
      </c>
      <c r="B701" s="3" t="s">
        <v>4313</v>
      </c>
      <c r="C701" s="217" t="s">
        <v>1232</v>
      </c>
      <c r="D701" s="53">
        <v>0</v>
      </c>
      <c r="E701" s="121">
        <f>Saisie!D701</f>
        <v>0</v>
      </c>
      <c r="F701" s="51">
        <f t="shared" ref="F701" si="51">E701*D701</f>
        <v>0</v>
      </c>
      <c r="G701" s="46"/>
    </row>
    <row r="702" spans="1:7" s="43" customFormat="1" ht="13.2" x14ac:dyDescent="0.25">
      <c r="A702" s="203" t="s">
        <v>2206</v>
      </c>
      <c r="B702" s="3" t="s">
        <v>2207</v>
      </c>
      <c r="C702" s="217"/>
      <c r="D702" s="45"/>
      <c r="E702" s="121"/>
      <c r="F702" s="51"/>
      <c r="G702" s="52"/>
    </row>
    <row r="703" spans="1:7" s="43" customFormat="1" ht="13.8" x14ac:dyDescent="0.25">
      <c r="A703" s="202" t="s">
        <v>2208</v>
      </c>
      <c r="B703" s="216" t="s">
        <v>2209</v>
      </c>
      <c r="C703" s="217" t="s">
        <v>1034</v>
      </c>
      <c r="D703" s="53">
        <v>42.39</v>
      </c>
      <c r="E703" s="121">
        <f>Saisie!D703</f>
        <v>0</v>
      </c>
      <c r="F703" s="51">
        <f t="shared" si="46"/>
        <v>0</v>
      </c>
      <c r="G703" s="52"/>
    </row>
    <row r="704" spans="1:7" s="8" customFormat="1" ht="13.8" x14ac:dyDescent="0.25">
      <c r="A704" s="202" t="s">
        <v>2210</v>
      </c>
      <c r="B704" s="216" t="s">
        <v>2211</v>
      </c>
      <c r="C704" s="217" t="s">
        <v>1034</v>
      </c>
      <c r="D704" s="53">
        <v>43.2</v>
      </c>
      <c r="E704" s="121">
        <f>Saisie!D704</f>
        <v>0</v>
      </c>
      <c r="F704" s="51">
        <f>E704*D704</f>
        <v>0</v>
      </c>
      <c r="G704" s="45"/>
    </row>
    <row r="705" spans="1:7" s="43" customFormat="1" ht="13.2" x14ac:dyDescent="0.25">
      <c r="A705" s="202" t="s">
        <v>2212</v>
      </c>
      <c r="B705" s="216" t="s">
        <v>2213</v>
      </c>
      <c r="C705" s="217" t="s">
        <v>1034</v>
      </c>
      <c r="D705" s="53">
        <v>0</v>
      </c>
      <c r="E705" s="121">
        <f>Saisie!D705</f>
        <v>0</v>
      </c>
      <c r="F705" s="51">
        <f>E705*D705</f>
        <v>0</v>
      </c>
      <c r="G705" s="52"/>
    </row>
    <row r="706" spans="1:7" s="43" customFormat="1" ht="13.2" x14ac:dyDescent="0.25">
      <c r="A706" s="27" t="s">
        <v>2214</v>
      </c>
      <c r="B706" s="3" t="s">
        <v>2215</v>
      </c>
      <c r="C706" s="217" t="s">
        <v>1232</v>
      </c>
      <c r="D706" s="53">
        <v>14</v>
      </c>
      <c r="E706" s="121">
        <f>Saisie!D706</f>
        <v>0</v>
      </c>
      <c r="F706" s="51">
        <f>E706*D706</f>
        <v>0</v>
      </c>
      <c r="G706" s="52"/>
    </row>
    <row r="707" spans="1:7" s="43" customFormat="1" ht="26.4" x14ac:dyDescent="0.25">
      <c r="A707" s="27" t="s">
        <v>2216</v>
      </c>
      <c r="B707" s="3" t="s">
        <v>2217</v>
      </c>
      <c r="C707" s="217" t="s">
        <v>1034</v>
      </c>
      <c r="D707" s="53">
        <v>82.8</v>
      </c>
      <c r="E707" s="121">
        <f>Saisie!D707</f>
        <v>0</v>
      </c>
      <c r="F707" s="51">
        <f>E707*D707</f>
        <v>0</v>
      </c>
      <c r="G707" s="52"/>
    </row>
    <row r="708" spans="1:7" s="43" customFormat="1" ht="26.4" x14ac:dyDescent="0.25">
      <c r="A708" s="201"/>
      <c r="B708" s="122" t="s">
        <v>2218</v>
      </c>
      <c r="C708" s="217"/>
      <c r="D708" s="45"/>
      <c r="E708" s="45"/>
      <c r="F708" s="84">
        <f>SUM(F602:F707)</f>
        <v>0</v>
      </c>
      <c r="G708" s="52"/>
    </row>
    <row r="709" spans="1:7" s="8" customFormat="1" ht="13.2" x14ac:dyDescent="0.25">
      <c r="A709" s="201"/>
      <c r="B709" s="216"/>
      <c r="C709" s="217"/>
      <c r="D709" s="47"/>
      <c r="E709" s="47"/>
      <c r="F709" s="47"/>
      <c r="G709" s="45"/>
    </row>
    <row r="710" spans="1:7" s="43" customFormat="1" ht="26.4" x14ac:dyDescent="0.25">
      <c r="A710" s="29" t="s">
        <v>2219</v>
      </c>
      <c r="B710" s="32" t="s">
        <v>2220</v>
      </c>
      <c r="C710" s="224" t="s">
        <v>1883</v>
      </c>
      <c r="D710" s="224" t="s">
        <v>1883</v>
      </c>
      <c r="E710" s="224" t="s">
        <v>1883</v>
      </c>
      <c r="F710" s="224" t="s">
        <v>1883</v>
      </c>
      <c r="G710" s="52"/>
    </row>
    <row r="711" spans="1:7" s="43" customFormat="1" ht="26.4" x14ac:dyDescent="0.25">
      <c r="A711" s="27" t="s">
        <v>203</v>
      </c>
      <c r="B711" s="3" t="s">
        <v>4357</v>
      </c>
      <c r="C711" s="217" t="s">
        <v>1883</v>
      </c>
      <c r="D711" s="45"/>
      <c r="E711" s="45"/>
      <c r="F711" s="51"/>
      <c r="G711" s="76"/>
    </row>
    <row r="712" spans="1:7" s="43" customFormat="1" ht="13.2" x14ac:dyDescent="0.25">
      <c r="A712" s="202" t="s">
        <v>2221</v>
      </c>
      <c r="B712" s="216" t="s">
        <v>2222</v>
      </c>
      <c r="C712" s="217" t="s">
        <v>1034</v>
      </c>
      <c r="D712" s="53">
        <v>36.9</v>
      </c>
      <c r="E712" s="121">
        <f>Saisie!D712</f>
        <v>0</v>
      </c>
      <c r="F712" s="51">
        <f t="shared" ref="F712:F720" si="52">E712*D712</f>
        <v>0</v>
      </c>
      <c r="G712" s="52"/>
    </row>
    <row r="713" spans="1:7" s="43" customFormat="1" ht="13.2" x14ac:dyDescent="0.25">
      <c r="A713" s="202" t="s">
        <v>2223</v>
      </c>
      <c r="B713" s="216" t="s">
        <v>2224</v>
      </c>
      <c r="C713" s="217" t="s">
        <v>1034</v>
      </c>
      <c r="D713" s="53">
        <v>2.7</v>
      </c>
      <c r="E713" s="121">
        <f>Saisie!D713</f>
        <v>0</v>
      </c>
      <c r="F713" s="51">
        <f t="shared" si="52"/>
        <v>0</v>
      </c>
      <c r="G713" s="52"/>
    </row>
    <row r="714" spans="1:7" s="43" customFormat="1" ht="13.2" x14ac:dyDescent="0.25">
      <c r="A714" s="202" t="s">
        <v>2225</v>
      </c>
      <c r="B714" s="216" t="s">
        <v>2226</v>
      </c>
      <c r="C714" s="217" t="s">
        <v>1034</v>
      </c>
      <c r="D714" s="53">
        <v>0</v>
      </c>
      <c r="E714" s="121">
        <f>Saisie!D714</f>
        <v>0</v>
      </c>
      <c r="F714" s="51">
        <f t="shared" si="52"/>
        <v>0</v>
      </c>
      <c r="G714" s="52"/>
    </row>
    <row r="715" spans="1:7" s="43" customFormat="1" ht="13.2" x14ac:dyDescent="0.25">
      <c r="A715" s="202" t="s">
        <v>2227</v>
      </c>
      <c r="B715" s="216" t="s">
        <v>2228</v>
      </c>
      <c r="C715" s="217" t="s">
        <v>1034</v>
      </c>
      <c r="D715" s="53">
        <v>0</v>
      </c>
      <c r="E715" s="121">
        <f>Saisie!D715</f>
        <v>0</v>
      </c>
      <c r="F715" s="51">
        <f t="shared" si="52"/>
        <v>0</v>
      </c>
      <c r="G715" s="52"/>
    </row>
    <row r="716" spans="1:7" s="43" customFormat="1" ht="13.2" x14ac:dyDescent="0.25">
      <c r="A716" s="202" t="s">
        <v>2229</v>
      </c>
      <c r="B716" s="216" t="s">
        <v>2230</v>
      </c>
      <c r="C716" s="217" t="s">
        <v>1034</v>
      </c>
      <c r="D716" s="53">
        <v>43.2</v>
      </c>
      <c r="E716" s="121">
        <f>Saisie!D716</f>
        <v>0</v>
      </c>
      <c r="F716" s="51">
        <f t="shared" si="52"/>
        <v>0</v>
      </c>
      <c r="G716" s="52"/>
    </row>
    <row r="717" spans="1:7" s="43" customFormat="1" ht="13.2" x14ac:dyDescent="0.25">
      <c r="A717" s="202" t="s">
        <v>2231</v>
      </c>
      <c r="B717" s="216" t="s">
        <v>2232</v>
      </c>
      <c r="C717" s="217" t="s">
        <v>1034</v>
      </c>
      <c r="D717" s="53">
        <v>0</v>
      </c>
      <c r="E717" s="121">
        <f>Saisie!D717</f>
        <v>0</v>
      </c>
      <c r="F717" s="51">
        <f t="shared" si="52"/>
        <v>0</v>
      </c>
      <c r="G717" s="45"/>
    </row>
    <row r="718" spans="1:7" s="43" customFormat="1" ht="13.2" x14ac:dyDescent="0.25">
      <c r="A718" s="202" t="s">
        <v>2233</v>
      </c>
      <c r="B718" s="216" t="s">
        <v>2234</v>
      </c>
      <c r="C718" s="217" t="s">
        <v>1034</v>
      </c>
      <c r="D718" s="53">
        <v>0</v>
      </c>
      <c r="E718" s="121">
        <f>Saisie!D718</f>
        <v>0</v>
      </c>
      <c r="F718" s="51">
        <f t="shared" si="52"/>
        <v>0</v>
      </c>
      <c r="G718" s="52"/>
    </row>
    <row r="719" spans="1:7" s="43" customFormat="1" ht="13.2" x14ac:dyDescent="0.25">
      <c r="A719" s="202" t="s">
        <v>2235</v>
      </c>
      <c r="B719" s="216" t="s">
        <v>2236</v>
      </c>
      <c r="C719" s="217" t="s">
        <v>1034</v>
      </c>
      <c r="D719" s="53">
        <v>0</v>
      </c>
      <c r="E719" s="121">
        <f>Saisie!D719</f>
        <v>0</v>
      </c>
      <c r="F719" s="51">
        <f t="shared" si="52"/>
        <v>0</v>
      </c>
      <c r="G719" s="52"/>
    </row>
    <row r="720" spans="1:7" s="43" customFormat="1" ht="13.2" x14ac:dyDescent="0.25">
      <c r="A720" s="202" t="s">
        <v>2237</v>
      </c>
      <c r="B720" s="216" t="s">
        <v>2238</v>
      </c>
      <c r="C720" s="217" t="s">
        <v>1034</v>
      </c>
      <c r="D720" s="53">
        <v>0</v>
      </c>
      <c r="E720" s="121">
        <f>Saisie!D720</f>
        <v>0</v>
      </c>
      <c r="F720" s="51">
        <f t="shared" si="52"/>
        <v>0</v>
      </c>
      <c r="G720" s="52"/>
    </row>
    <row r="721" spans="1:7" s="43" customFormat="1" ht="26.4" x14ac:dyDescent="0.25">
      <c r="A721" s="27" t="s">
        <v>204</v>
      </c>
      <c r="B721" s="3" t="s">
        <v>4356</v>
      </c>
      <c r="C721" s="217" t="s">
        <v>1883</v>
      </c>
      <c r="D721" s="45"/>
      <c r="E721" s="121"/>
      <c r="F721" s="51"/>
      <c r="G721" s="52"/>
    </row>
    <row r="722" spans="1:7" s="43" customFormat="1" ht="13.2" x14ac:dyDescent="0.25">
      <c r="A722" s="202" t="s">
        <v>2239</v>
      </c>
      <c r="B722" s="216" t="s">
        <v>2240</v>
      </c>
      <c r="C722" s="217" t="s">
        <v>1034</v>
      </c>
      <c r="D722" s="53">
        <v>0</v>
      </c>
      <c r="E722" s="121">
        <f>Saisie!D722</f>
        <v>0</v>
      </c>
      <c r="F722" s="51">
        <f t="shared" ref="F722:F729" si="53">E722*D722</f>
        <v>0</v>
      </c>
      <c r="G722" s="52"/>
    </row>
    <row r="723" spans="1:7" s="43" customFormat="1" ht="13.2" x14ac:dyDescent="0.25">
      <c r="A723" s="202" t="s">
        <v>2241</v>
      </c>
      <c r="B723" s="216" t="s">
        <v>2242</v>
      </c>
      <c r="C723" s="217" t="s">
        <v>1034</v>
      </c>
      <c r="D723" s="53">
        <v>0</v>
      </c>
      <c r="E723" s="121">
        <f>Saisie!D723</f>
        <v>0</v>
      </c>
      <c r="F723" s="51">
        <f t="shared" si="53"/>
        <v>0</v>
      </c>
      <c r="G723" s="45"/>
    </row>
    <row r="724" spans="1:7" s="43" customFormat="1" ht="13.2" x14ac:dyDescent="0.25">
      <c r="A724" s="202" t="s">
        <v>2243</v>
      </c>
      <c r="B724" s="216" t="s">
        <v>2222</v>
      </c>
      <c r="C724" s="217" t="s">
        <v>1034</v>
      </c>
      <c r="D724" s="53">
        <v>0</v>
      </c>
      <c r="E724" s="121">
        <f>Saisie!D724</f>
        <v>0</v>
      </c>
      <c r="F724" s="51">
        <f t="shared" si="53"/>
        <v>0</v>
      </c>
      <c r="G724" s="76"/>
    </row>
    <row r="725" spans="1:7" s="43" customFormat="1" ht="13.2" x14ac:dyDescent="0.25">
      <c r="A725" s="202" t="s">
        <v>2244</v>
      </c>
      <c r="B725" s="216" t="s">
        <v>2224</v>
      </c>
      <c r="C725" s="217" t="s">
        <v>1034</v>
      </c>
      <c r="D725" s="53">
        <v>0</v>
      </c>
      <c r="E725" s="121">
        <f>Saisie!D725</f>
        <v>0</v>
      </c>
      <c r="F725" s="51">
        <f t="shared" si="53"/>
        <v>0</v>
      </c>
      <c r="G725" s="52"/>
    </row>
    <row r="726" spans="1:7" s="43" customFormat="1" ht="13.2" x14ac:dyDescent="0.25">
      <c r="A726" s="202" t="s">
        <v>2245</v>
      </c>
      <c r="B726" s="216" t="s">
        <v>2226</v>
      </c>
      <c r="C726" s="217" t="s">
        <v>1034</v>
      </c>
      <c r="D726" s="53">
        <v>0</v>
      </c>
      <c r="E726" s="121">
        <f>Saisie!D726</f>
        <v>0</v>
      </c>
      <c r="F726" s="51">
        <f t="shared" si="53"/>
        <v>0</v>
      </c>
      <c r="G726" s="52"/>
    </row>
    <row r="727" spans="1:7" s="8" customFormat="1" ht="13.2" x14ac:dyDescent="0.25">
      <c r="A727" s="202" t="s">
        <v>2246</v>
      </c>
      <c r="B727" s="216" t="s">
        <v>2228</v>
      </c>
      <c r="C727" s="217" t="s">
        <v>1034</v>
      </c>
      <c r="D727" s="53">
        <v>0</v>
      </c>
      <c r="E727" s="121">
        <f>Saisie!D727</f>
        <v>0</v>
      </c>
      <c r="F727" s="51">
        <f t="shared" si="53"/>
        <v>0</v>
      </c>
      <c r="G727" s="76"/>
    </row>
    <row r="728" spans="1:7" s="8" customFormat="1" ht="13.2" x14ac:dyDescent="0.25">
      <c r="A728" s="202" t="s">
        <v>2247</v>
      </c>
      <c r="B728" s="216" t="s">
        <v>2230</v>
      </c>
      <c r="C728" s="217" t="s">
        <v>1034</v>
      </c>
      <c r="D728" s="53">
        <v>0</v>
      </c>
      <c r="E728" s="121">
        <f>Saisie!D728</f>
        <v>0</v>
      </c>
      <c r="F728" s="51">
        <f t="shared" si="53"/>
        <v>0</v>
      </c>
      <c r="G728" s="45"/>
    </row>
    <row r="729" spans="1:7" s="43" customFormat="1" ht="13.2" x14ac:dyDescent="0.25">
      <c r="A729" s="202" t="s">
        <v>2248</v>
      </c>
      <c r="B729" s="216" t="s">
        <v>2232</v>
      </c>
      <c r="C729" s="217" t="s">
        <v>1034</v>
      </c>
      <c r="D729" s="53">
        <v>0</v>
      </c>
      <c r="E729" s="121">
        <f>Saisie!D729</f>
        <v>0</v>
      </c>
      <c r="F729" s="51">
        <f t="shared" si="53"/>
        <v>0</v>
      </c>
      <c r="G729" s="52"/>
    </row>
    <row r="730" spans="1:7" s="43" customFormat="1" ht="13.2" x14ac:dyDescent="0.25">
      <c r="A730" s="202" t="s">
        <v>2249</v>
      </c>
      <c r="B730" s="216" t="s">
        <v>2234</v>
      </c>
      <c r="C730" s="217" t="s">
        <v>1034</v>
      </c>
      <c r="D730" s="53">
        <v>0</v>
      </c>
      <c r="E730" s="121">
        <f>Saisie!D730</f>
        <v>0</v>
      </c>
      <c r="F730" s="51">
        <f>E730*D730</f>
        <v>0</v>
      </c>
      <c r="G730" s="52"/>
    </row>
    <row r="731" spans="1:7" s="43" customFormat="1" ht="13.2" x14ac:dyDescent="0.25">
      <c r="A731" s="202" t="s">
        <v>2250</v>
      </c>
      <c r="B731" s="216" t="s">
        <v>2236</v>
      </c>
      <c r="C731" s="217" t="s">
        <v>1034</v>
      </c>
      <c r="D731" s="53">
        <v>0</v>
      </c>
      <c r="E731" s="121">
        <f>Saisie!D731</f>
        <v>0</v>
      </c>
      <c r="F731" s="51">
        <f>E731*D731</f>
        <v>0</v>
      </c>
      <c r="G731" s="52"/>
    </row>
    <row r="732" spans="1:7" s="43" customFormat="1" ht="13.2" x14ac:dyDescent="0.25">
      <c r="A732" s="202" t="s">
        <v>2251</v>
      </c>
      <c r="B732" s="216" t="s">
        <v>2238</v>
      </c>
      <c r="C732" s="217" t="s">
        <v>1034</v>
      </c>
      <c r="D732" s="53">
        <v>0</v>
      </c>
      <c r="E732" s="121">
        <f>Saisie!D732</f>
        <v>0</v>
      </c>
      <c r="F732" s="51">
        <f>E732*D732</f>
        <v>0</v>
      </c>
      <c r="G732" s="52"/>
    </row>
    <row r="733" spans="1:7" s="8" customFormat="1" ht="26.4" x14ac:dyDescent="0.25">
      <c r="A733" s="27" t="s">
        <v>205</v>
      </c>
      <c r="B733" s="3" t="s">
        <v>2252</v>
      </c>
      <c r="C733" s="217" t="s">
        <v>1883</v>
      </c>
      <c r="D733" s="45"/>
      <c r="E733" s="121"/>
      <c r="F733" s="51"/>
      <c r="G733" s="45"/>
    </row>
    <row r="734" spans="1:7" s="43" customFormat="1" ht="13.2" x14ac:dyDescent="0.25">
      <c r="A734" s="201" t="s">
        <v>2253</v>
      </c>
      <c r="B734" s="216" t="s">
        <v>2254</v>
      </c>
      <c r="C734" s="217" t="s">
        <v>1034</v>
      </c>
      <c r="D734" s="53">
        <v>0</v>
      </c>
      <c r="E734" s="121">
        <f>Saisie!D734</f>
        <v>0</v>
      </c>
      <c r="F734" s="51">
        <f>E734*D734</f>
        <v>0</v>
      </c>
      <c r="G734" s="52"/>
    </row>
    <row r="735" spans="1:7" s="43" customFormat="1" ht="13.2" x14ac:dyDescent="0.25">
      <c r="A735" s="201" t="s">
        <v>2255</v>
      </c>
      <c r="B735" s="216" t="s">
        <v>2224</v>
      </c>
      <c r="C735" s="217" t="s">
        <v>1034</v>
      </c>
      <c r="D735" s="53">
        <v>0</v>
      </c>
      <c r="E735" s="121">
        <f>Saisie!D735</f>
        <v>0</v>
      </c>
      <c r="F735" s="51">
        <f>E735*D735</f>
        <v>0</v>
      </c>
      <c r="G735" s="52"/>
    </row>
    <row r="736" spans="1:7" s="43" customFormat="1" ht="13.2" x14ac:dyDescent="0.25">
      <c r="A736" s="201" t="s">
        <v>2256</v>
      </c>
      <c r="B736" s="216" t="s">
        <v>2226</v>
      </c>
      <c r="C736" s="217" t="s">
        <v>1034</v>
      </c>
      <c r="D736" s="53">
        <v>0</v>
      </c>
      <c r="E736" s="121">
        <f>Saisie!D736</f>
        <v>0</v>
      </c>
      <c r="F736" s="51">
        <f>E736*D736</f>
        <v>0</v>
      </c>
      <c r="G736" s="52"/>
    </row>
    <row r="737" spans="1:7" s="43" customFormat="1" ht="13.2" x14ac:dyDescent="0.25">
      <c r="A737" s="201" t="s">
        <v>2257</v>
      </c>
      <c r="B737" s="216" t="s">
        <v>2258</v>
      </c>
      <c r="C737" s="217" t="s">
        <v>1034</v>
      </c>
      <c r="D737" s="53">
        <v>0</v>
      </c>
      <c r="E737" s="121">
        <f>Saisie!D737</f>
        <v>0</v>
      </c>
      <c r="F737" s="51">
        <f t="shared" ref="F737:F748" si="54">E737*D737</f>
        <v>0</v>
      </c>
      <c r="G737" s="52"/>
    </row>
    <row r="738" spans="1:7" s="43" customFormat="1" ht="39.6" x14ac:dyDescent="0.25">
      <c r="A738" s="27" t="s">
        <v>206</v>
      </c>
      <c r="B738" s="3" t="s">
        <v>2259</v>
      </c>
      <c r="C738" s="217" t="s">
        <v>1883</v>
      </c>
      <c r="D738" s="45"/>
      <c r="E738" s="121"/>
      <c r="F738" s="51"/>
      <c r="G738" s="52"/>
    </row>
    <row r="739" spans="1:7" s="43" customFormat="1" ht="13.2" x14ac:dyDescent="0.25">
      <c r="A739" s="202" t="s">
        <v>2260</v>
      </c>
      <c r="B739" s="216" t="s">
        <v>2261</v>
      </c>
      <c r="C739" s="217" t="s">
        <v>1034</v>
      </c>
      <c r="D739" s="53">
        <v>0</v>
      </c>
      <c r="E739" s="121">
        <f>Saisie!D739</f>
        <v>0</v>
      </c>
      <c r="F739" s="51">
        <f t="shared" si="54"/>
        <v>0</v>
      </c>
      <c r="G739" s="52"/>
    </row>
    <row r="740" spans="1:7" s="2" customFormat="1" ht="13.2" x14ac:dyDescent="0.25">
      <c r="A740" s="202" t="s">
        <v>2262</v>
      </c>
      <c r="B740" s="216" t="s">
        <v>2230</v>
      </c>
      <c r="C740" s="217" t="s">
        <v>1034</v>
      </c>
      <c r="D740" s="53">
        <v>0</v>
      </c>
      <c r="E740" s="121">
        <f>Saisie!D740</f>
        <v>0</v>
      </c>
      <c r="F740" s="51">
        <f t="shared" si="54"/>
        <v>0</v>
      </c>
      <c r="G740" s="52"/>
    </row>
    <row r="741" spans="1:7" s="2" customFormat="1" ht="13.5" customHeight="1" x14ac:dyDescent="0.25">
      <c r="A741" s="202" t="s">
        <v>2263</v>
      </c>
      <c r="B741" s="216" t="s">
        <v>2264</v>
      </c>
      <c r="C741" s="217" t="s">
        <v>1034</v>
      </c>
      <c r="D741" s="53">
        <v>0</v>
      </c>
      <c r="E741" s="121">
        <f>Saisie!D741</f>
        <v>0</v>
      </c>
      <c r="F741" s="51">
        <f t="shared" si="54"/>
        <v>0</v>
      </c>
      <c r="G741" s="52"/>
    </row>
    <row r="742" spans="1:7" s="17" customFormat="1" ht="13.2" x14ac:dyDescent="0.25">
      <c r="A742" s="202" t="s">
        <v>2265</v>
      </c>
      <c r="B742" s="216" t="s">
        <v>2232</v>
      </c>
      <c r="C742" s="217" t="s">
        <v>1034</v>
      </c>
      <c r="D742" s="53">
        <v>0</v>
      </c>
      <c r="E742" s="121">
        <f>Saisie!D742</f>
        <v>0</v>
      </c>
      <c r="F742" s="51">
        <f t="shared" si="54"/>
        <v>0</v>
      </c>
    </row>
    <row r="743" spans="1:7" s="17" customFormat="1" ht="13.2" x14ac:dyDescent="0.25">
      <c r="A743" s="202" t="s">
        <v>2266</v>
      </c>
      <c r="B743" s="216" t="s">
        <v>2267</v>
      </c>
      <c r="C743" s="217" t="s">
        <v>1034</v>
      </c>
      <c r="D743" s="53">
        <v>0</v>
      </c>
      <c r="E743" s="121">
        <f>Saisie!D743</f>
        <v>0</v>
      </c>
      <c r="F743" s="51">
        <f t="shared" si="54"/>
        <v>0</v>
      </c>
    </row>
    <row r="744" spans="1:7" s="17" customFormat="1" ht="13.2" x14ac:dyDescent="0.25">
      <c r="A744" s="202" t="s">
        <v>2268</v>
      </c>
      <c r="B744" s="216" t="s">
        <v>2269</v>
      </c>
      <c r="C744" s="217" t="s">
        <v>1034</v>
      </c>
      <c r="D744" s="53">
        <v>0</v>
      </c>
      <c r="E744" s="121">
        <f>Saisie!D744</f>
        <v>0</v>
      </c>
      <c r="F744" s="51">
        <f t="shared" si="54"/>
        <v>0</v>
      </c>
    </row>
    <row r="745" spans="1:7" s="17" customFormat="1" ht="13.2" x14ac:dyDescent="0.25">
      <c r="A745" s="202" t="s">
        <v>2270</v>
      </c>
      <c r="B745" s="216" t="s">
        <v>2238</v>
      </c>
      <c r="C745" s="217" t="s">
        <v>1034</v>
      </c>
      <c r="D745" s="53">
        <v>0</v>
      </c>
      <c r="E745" s="121">
        <f>Saisie!D745</f>
        <v>0</v>
      </c>
      <c r="F745" s="51">
        <f t="shared" si="54"/>
        <v>0</v>
      </c>
    </row>
    <row r="746" spans="1:7" s="17" customFormat="1" ht="15" customHeight="1" x14ac:dyDescent="0.25">
      <c r="A746" s="202" t="s">
        <v>2271</v>
      </c>
      <c r="B746" s="216" t="s">
        <v>2272</v>
      </c>
      <c r="C746" s="217" t="s">
        <v>1034</v>
      </c>
      <c r="D746" s="53">
        <v>0</v>
      </c>
      <c r="E746" s="121">
        <f>Saisie!D746</f>
        <v>0</v>
      </c>
      <c r="F746" s="51">
        <f t="shared" si="54"/>
        <v>0</v>
      </c>
    </row>
    <row r="747" spans="1:7" s="17" customFormat="1" ht="13.2" x14ac:dyDescent="0.25">
      <c r="A747" s="202" t="s">
        <v>2273</v>
      </c>
      <c r="B747" s="216" t="s">
        <v>2274</v>
      </c>
      <c r="C747" s="217" t="s">
        <v>1034</v>
      </c>
      <c r="D747" s="53">
        <v>0</v>
      </c>
      <c r="E747" s="121">
        <f>Saisie!D747</f>
        <v>0</v>
      </c>
      <c r="F747" s="51">
        <f t="shared" si="54"/>
        <v>0</v>
      </c>
    </row>
    <row r="748" spans="1:7" s="17" customFormat="1" ht="13.2" x14ac:dyDescent="0.25">
      <c r="A748" s="202" t="s">
        <v>2275</v>
      </c>
      <c r="B748" s="216" t="s">
        <v>2276</v>
      </c>
      <c r="C748" s="217" t="s">
        <v>1034</v>
      </c>
      <c r="D748" s="53">
        <v>0</v>
      </c>
      <c r="E748" s="121">
        <f>Saisie!D748</f>
        <v>0</v>
      </c>
      <c r="F748" s="51">
        <f t="shared" si="54"/>
        <v>0</v>
      </c>
    </row>
    <row r="749" spans="1:7" s="17" customFormat="1" ht="26.4" x14ac:dyDescent="0.25">
      <c r="A749" s="28" t="s">
        <v>2277</v>
      </c>
      <c r="B749" s="6" t="s">
        <v>2278</v>
      </c>
      <c r="C749" s="217"/>
      <c r="D749" s="45"/>
      <c r="E749" s="121"/>
      <c r="F749" s="51"/>
    </row>
    <row r="750" spans="1:7" s="17" customFormat="1" ht="13.2" x14ac:dyDescent="0.25">
      <c r="A750" s="202" t="s">
        <v>207</v>
      </c>
      <c r="B750" s="216" t="s">
        <v>2254</v>
      </c>
      <c r="C750" s="217" t="s">
        <v>1034</v>
      </c>
      <c r="D750" s="53">
        <v>0</v>
      </c>
      <c r="E750" s="121">
        <f>Saisie!D750</f>
        <v>0</v>
      </c>
      <c r="F750" s="51">
        <f t="shared" ref="F750:F766" si="55">E750*D750</f>
        <v>0</v>
      </c>
    </row>
    <row r="751" spans="1:7" s="17" customFormat="1" ht="13.2" x14ac:dyDescent="0.25">
      <c r="A751" s="202" t="s">
        <v>208</v>
      </c>
      <c r="B751" s="216" t="s">
        <v>2224</v>
      </c>
      <c r="C751" s="217" t="s">
        <v>1034</v>
      </c>
      <c r="D751" s="53">
        <v>0</v>
      </c>
      <c r="E751" s="121">
        <f>Saisie!D751</f>
        <v>0</v>
      </c>
      <c r="F751" s="51">
        <f t="shared" si="55"/>
        <v>0</v>
      </c>
    </row>
    <row r="752" spans="1:7" s="17" customFormat="1" ht="13.2" x14ac:dyDescent="0.25">
      <c r="A752" s="202" t="s">
        <v>209</v>
      </c>
      <c r="B752" s="216" t="s">
        <v>2226</v>
      </c>
      <c r="C752" s="217" t="s">
        <v>1034</v>
      </c>
      <c r="D752" s="53">
        <v>0</v>
      </c>
      <c r="E752" s="121">
        <f>Saisie!D752</f>
        <v>0</v>
      </c>
      <c r="F752" s="51">
        <f t="shared" si="55"/>
        <v>0</v>
      </c>
    </row>
    <row r="753" spans="1:7" s="17" customFormat="1" ht="13.2" x14ac:dyDescent="0.25">
      <c r="A753" s="202" t="s">
        <v>2279</v>
      </c>
      <c r="B753" s="216" t="s">
        <v>2258</v>
      </c>
      <c r="C753" s="217" t="s">
        <v>1034</v>
      </c>
      <c r="D753" s="53">
        <v>0</v>
      </c>
      <c r="E753" s="121">
        <f>Saisie!D753</f>
        <v>0</v>
      </c>
      <c r="F753" s="51">
        <f t="shared" si="55"/>
        <v>0</v>
      </c>
    </row>
    <row r="754" spans="1:7" s="17" customFormat="1" ht="13.2" x14ac:dyDescent="0.25">
      <c r="A754" s="202" t="s">
        <v>2280</v>
      </c>
      <c r="B754" s="216" t="s">
        <v>2261</v>
      </c>
      <c r="C754" s="217" t="s">
        <v>1034</v>
      </c>
      <c r="D754" s="53">
        <v>0</v>
      </c>
      <c r="E754" s="121">
        <f>Saisie!D754</f>
        <v>0</v>
      </c>
      <c r="F754" s="51">
        <f t="shared" si="55"/>
        <v>0</v>
      </c>
    </row>
    <row r="755" spans="1:7" s="17" customFormat="1" ht="13.2" x14ac:dyDescent="0.25">
      <c r="A755" s="202" t="s">
        <v>2281</v>
      </c>
      <c r="B755" s="216" t="s">
        <v>2230</v>
      </c>
      <c r="C755" s="217" t="s">
        <v>1034</v>
      </c>
      <c r="D755" s="53">
        <v>0</v>
      </c>
      <c r="E755" s="121">
        <f>Saisie!D755</f>
        <v>0</v>
      </c>
      <c r="F755" s="51">
        <f t="shared" si="55"/>
        <v>0</v>
      </c>
    </row>
    <row r="756" spans="1:7" s="17" customFormat="1" ht="13.2" x14ac:dyDescent="0.25">
      <c r="A756" s="202" t="s">
        <v>2282</v>
      </c>
      <c r="B756" s="216" t="s">
        <v>2264</v>
      </c>
      <c r="C756" s="217" t="s">
        <v>1034</v>
      </c>
      <c r="D756" s="53">
        <v>0</v>
      </c>
      <c r="E756" s="121">
        <f>Saisie!D756</f>
        <v>0</v>
      </c>
      <c r="F756" s="51">
        <f t="shared" si="55"/>
        <v>0</v>
      </c>
    </row>
    <row r="757" spans="1:7" s="17" customFormat="1" ht="13.2" x14ac:dyDescent="0.25">
      <c r="A757" s="202" t="s">
        <v>2283</v>
      </c>
      <c r="B757" s="216" t="s">
        <v>2232</v>
      </c>
      <c r="C757" s="217" t="s">
        <v>1034</v>
      </c>
      <c r="D757" s="53">
        <v>0</v>
      </c>
      <c r="E757" s="121">
        <f>Saisie!D757</f>
        <v>0</v>
      </c>
      <c r="F757" s="51">
        <f t="shared" si="55"/>
        <v>0</v>
      </c>
    </row>
    <row r="758" spans="1:7" s="17" customFormat="1" ht="13.2" x14ac:dyDescent="0.25">
      <c r="A758" s="202" t="s">
        <v>2284</v>
      </c>
      <c r="B758" s="216" t="s">
        <v>2267</v>
      </c>
      <c r="C758" s="217" t="s">
        <v>1034</v>
      </c>
      <c r="D758" s="53">
        <v>0</v>
      </c>
      <c r="E758" s="121">
        <f>Saisie!D758</f>
        <v>0</v>
      </c>
      <c r="F758" s="51">
        <f t="shared" si="55"/>
        <v>0</v>
      </c>
    </row>
    <row r="759" spans="1:7" s="17" customFormat="1" ht="13.2" x14ac:dyDescent="0.25">
      <c r="A759" s="202" t="s">
        <v>2285</v>
      </c>
      <c r="B759" s="216" t="s">
        <v>2269</v>
      </c>
      <c r="C759" s="217" t="s">
        <v>1034</v>
      </c>
      <c r="D759" s="53">
        <v>0</v>
      </c>
      <c r="E759" s="121">
        <f>Saisie!D759</f>
        <v>0</v>
      </c>
      <c r="F759" s="51">
        <f t="shared" si="55"/>
        <v>0</v>
      </c>
    </row>
    <row r="760" spans="1:7" s="17" customFormat="1" ht="13.2" x14ac:dyDescent="0.25">
      <c r="A760" s="202" t="s">
        <v>2286</v>
      </c>
      <c r="B760" s="216" t="s">
        <v>2238</v>
      </c>
      <c r="C760" s="217" t="s">
        <v>1034</v>
      </c>
      <c r="D760" s="53">
        <v>0</v>
      </c>
      <c r="E760" s="121">
        <f>Saisie!D760</f>
        <v>0</v>
      </c>
      <c r="F760" s="51">
        <f t="shared" si="55"/>
        <v>0</v>
      </c>
    </row>
    <row r="761" spans="1:7" s="43" customFormat="1" ht="26.4" x14ac:dyDescent="0.25">
      <c r="A761" s="27" t="s">
        <v>2287</v>
      </c>
      <c r="B761" s="3" t="s">
        <v>2288</v>
      </c>
      <c r="C761" s="217" t="s">
        <v>1883</v>
      </c>
      <c r="D761" s="45"/>
      <c r="E761" s="121"/>
      <c r="F761" s="51"/>
    </row>
    <row r="762" spans="1:7" s="43" customFormat="1" ht="13.2" x14ac:dyDescent="0.25">
      <c r="A762" s="202" t="s">
        <v>210</v>
      </c>
      <c r="B762" s="216" t="s">
        <v>2289</v>
      </c>
      <c r="C762" s="217" t="s">
        <v>1034</v>
      </c>
      <c r="D762" s="53">
        <v>0</v>
      </c>
      <c r="E762" s="121">
        <f>Saisie!D762</f>
        <v>0</v>
      </c>
      <c r="F762" s="51">
        <f t="shared" si="55"/>
        <v>0</v>
      </c>
    </row>
    <row r="763" spans="1:7" s="43" customFormat="1" ht="13.2" x14ac:dyDescent="0.25">
      <c r="A763" s="202" t="s">
        <v>211</v>
      </c>
      <c r="B763" s="216" t="s">
        <v>2230</v>
      </c>
      <c r="C763" s="217" t="s">
        <v>1034</v>
      </c>
      <c r="D763" s="53">
        <v>0</v>
      </c>
      <c r="E763" s="121">
        <f>Saisie!D763</f>
        <v>0</v>
      </c>
      <c r="F763" s="51">
        <f t="shared" si="55"/>
        <v>0</v>
      </c>
    </row>
    <row r="764" spans="1:7" s="8" customFormat="1" ht="13.2" x14ac:dyDescent="0.25">
      <c r="A764" s="202" t="s">
        <v>212</v>
      </c>
      <c r="B764" s="216" t="s">
        <v>2232</v>
      </c>
      <c r="C764" s="217" t="s">
        <v>1034</v>
      </c>
      <c r="D764" s="53">
        <v>0</v>
      </c>
      <c r="E764" s="121">
        <f>Saisie!D764</f>
        <v>0</v>
      </c>
      <c r="F764" s="51">
        <f t="shared" si="55"/>
        <v>0</v>
      </c>
    </row>
    <row r="765" spans="1:7" s="8" customFormat="1" ht="13.2" x14ac:dyDescent="0.25">
      <c r="A765" s="202" t="s">
        <v>2290</v>
      </c>
      <c r="B765" s="216" t="s">
        <v>2267</v>
      </c>
      <c r="C765" s="217" t="s">
        <v>1034</v>
      </c>
      <c r="D765" s="53">
        <v>0</v>
      </c>
      <c r="E765" s="121">
        <f>Saisie!D765</f>
        <v>0</v>
      </c>
      <c r="F765" s="51">
        <f t="shared" si="55"/>
        <v>0</v>
      </c>
    </row>
    <row r="766" spans="1:7" s="43" customFormat="1" ht="13.2" x14ac:dyDescent="0.25">
      <c r="A766" s="202" t="s">
        <v>2291</v>
      </c>
      <c r="B766" s="216" t="s">
        <v>2269</v>
      </c>
      <c r="C766" s="217" t="s">
        <v>1034</v>
      </c>
      <c r="D766" s="53">
        <v>0</v>
      </c>
      <c r="E766" s="121">
        <f>Saisie!D766</f>
        <v>0</v>
      </c>
      <c r="F766" s="51">
        <f t="shared" si="55"/>
        <v>0</v>
      </c>
      <c r="G766" s="52"/>
    </row>
    <row r="767" spans="1:7" s="43" customFormat="1" ht="13.2" x14ac:dyDescent="0.25">
      <c r="A767" s="202" t="s">
        <v>2292</v>
      </c>
      <c r="B767" s="216" t="s">
        <v>2238</v>
      </c>
      <c r="C767" s="217" t="s">
        <v>1034</v>
      </c>
      <c r="D767" s="53">
        <v>0</v>
      </c>
      <c r="E767" s="121">
        <f>Saisie!D767</f>
        <v>0</v>
      </c>
      <c r="F767" s="51">
        <f>E767*D767</f>
        <v>0</v>
      </c>
      <c r="G767" s="52"/>
    </row>
    <row r="768" spans="1:7" s="43" customFormat="1" ht="13.2" x14ac:dyDescent="0.25">
      <c r="A768" s="202" t="s">
        <v>2293</v>
      </c>
      <c r="B768" s="216" t="s">
        <v>2272</v>
      </c>
      <c r="C768" s="217" t="s">
        <v>1034</v>
      </c>
      <c r="D768" s="53">
        <v>0</v>
      </c>
      <c r="E768" s="121">
        <f>Saisie!D768</f>
        <v>0</v>
      </c>
      <c r="F768" s="51">
        <f>E768*D768</f>
        <v>0</v>
      </c>
      <c r="G768" s="52"/>
    </row>
    <row r="769" spans="1:7" s="43" customFormat="1" ht="13.2" x14ac:dyDescent="0.25">
      <c r="A769" s="202" t="s">
        <v>2294</v>
      </c>
      <c r="B769" s="216" t="s">
        <v>2274</v>
      </c>
      <c r="C769" s="217" t="s">
        <v>1034</v>
      </c>
      <c r="D769" s="53">
        <v>0</v>
      </c>
      <c r="E769" s="121">
        <f>Saisie!D769</f>
        <v>0</v>
      </c>
      <c r="F769" s="51">
        <f>E769*D769</f>
        <v>0</v>
      </c>
      <c r="G769" s="52"/>
    </row>
    <row r="770" spans="1:7" s="43" customFormat="1" ht="13.2" x14ac:dyDescent="0.25">
      <c r="A770" s="202" t="s">
        <v>2295</v>
      </c>
      <c r="B770" s="216" t="s">
        <v>2296</v>
      </c>
      <c r="C770" s="217" t="s">
        <v>1034</v>
      </c>
      <c r="D770" s="53">
        <v>0</v>
      </c>
      <c r="E770" s="121">
        <f>Saisie!D770</f>
        <v>0</v>
      </c>
      <c r="F770" s="51">
        <f>E770*D770</f>
        <v>0</v>
      </c>
      <c r="G770" s="52"/>
    </row>
    <row r="771" spans="1:7" s="43" customFormat="1" ht="13.2" x14ac:dyDescent="0.25">
      <c r="A771" s="202" t="s">
        <v>2297</v>
      </c>
      <c r="B771" s="216" t="s">
        <v>2276</v>
      </c>
      <c r="C771" s="217" t="s">
        <v>1034</v>
      </c>
      <c r="D771" s="53">
        <v>0</v>
      </c>
      <c r="E771" s="121">
        <f>Saisie!D771</f>
        <v>0</v>
      </c>
      <c r="F771" s="51">
        <f>E771*D771</f>
        <v>0</v>
      </c>
      <c r="G771" s="52"/>
    </row>
    <row r="772" spans="1:7" s="43" customFormat="1" ht="13.2" x14ac:dyDescent="0.25">
      <c r="A772" s="202" t="s">
        <v>2298</v>
      </c>
      <c r="B772" s="216" t="s">
        <v>2299</v>
      </c>
      <c r="C772" s="217" t="s">
        <v>1034</v>
      </c>
      <c r="D772" s="53">
        <v>0</v>
      </c>
      <c r="E772" s="121">
        <f>Saisie!D772</f>
        <v>0</v>
      </c>
      <c r="F772" s="51">
        <f t="shared" ref="F772:F779" si="56">E772*D772</f>
        <v>0</v>
      </c>
      <c r="G772" s="52"/>
    </row>
    <row r="773" spans="1:7" s="43" customFormat="1" ht="13.2" x14ac:dyDescent="0.25">
      <c r="A773" s="202" t="s">
        <v>2300</v>
      </c>
      <c r="B773" s="216" t="s">
        <v>2301</v>
      </c>
      <c r="C773" s="217" t="s">
        <v>1034</v>
      </c>
      <c r="D773" s="53">
        <v>0</v>
      </c>
      <c r="E773" s="121">
        <f>Saisie!D773</f>
        <v>0</v>
      </c>
      <c r="F773" s="51">
        <f t="shared" si="56"/>
        <v>0</v>
      </c>
      <c r="G773" s="52"/>
    </row>
    <row r="774" spans="1:7" s="20" customFormat="1" ht="13.2" x14ac:dyDescent="0.25">
      <c r="A774" s="202" t="s">
        <v>2302</v>
      </c>
      <c r="B774" s="216" t="s">
        <v>2303</v>
      </c>
      <c r="C774" s="217" t="s">
        <v>1034</v>
      </c>
      <c r="D774" s="53">
        <v>0</v>
      </c>
      <c r="E774" s="121">
        <f>Saisie!D774</f>
        <v>0</v>
      </c>
      <c r="F774" s="51">
        <f t="shared" si="56"/>
        <v>0</v>
      </c>
      <c r="G774" s="218"/>
    </row>
    <row r="775" spans="1:7" s="8" customFormat="1" ht="13.2" x14ac:dyDescent="0.25">
      <c r="A775" s="202" t="s">
        <v>2304</v>
      </c>
      <c r="B775" s="216" t="s">
        <v>2305</v>
      </c>
      <c r="C775" s="217" t="s">
        <v>1034</v>
      </c>
      <c r="D775" s="53">
        <v>0</v>
      </c>
      <c r="E775" s="121">
        <f>Saisie!D775</f>
        <v>0</v>
      </c>
      <c r="F775" s="51">
        <f t="shared" si="56"/>
        <v>0</v>
      </c>
      <c r="G775" s="45"/>
    </row>
    <row r="776" spans="1:7" s="43" customFormat="1" ht="13.2" x14ac:dyDescent="0.25">
      <c r="A776" s="202" t="s">
        <v>2306</v>
      </c>
      <c r="B776" s="216" t="s">
        <v>2307</v>
      </c>
      <c r="C776" s="217" t="s">
        <v>1034</v>
      </c>
      <c r="D776" s="53">
        <v>0</v>
      </c>
      <c r="E776" s="121">
        <f>Saisie!D776</f>
        <v>0</v>
      </c>
      <c r="F776" s="51">
        <f t="shared" si="56"/>
        <v>0</v>
      </c>
      <c r="G776" s="52"/>
    </row>
    <row r="777" spans="1:7" s="43" customFormat="1" ht="13.2" x14ac:dyDescent="0.25">
      <c r="A777" s="202" t="s">
        <v>2308</v>
      </c>
      <c r="B777" s="216" t="s">
        <v>2309</v>
      </c>
      <c r="C777" s="217" t="s">
        <v>1034</v>
      </c>
      <c r="D777" s="53">
        <v>0</v>
      </c>
      <c r="E777" s="121">
        <f>Saisie!D777</f>
        <v>0</v>
      </c>
      <c r="F777" s="51">
        <f t="shared" si="56"/>
        <v>0</v>
      </c>
      <c r="G777" s="52"/>
    </row>
    <row r="778" spans="1:7" s="43" customFormat="1" ht="13.2" x14ac:dyDescent="0.25">
      <c r="A778" s="202" t="s">
        <v>2310</v>
      </c>
      <c r="B778" s="216" t="s">
        <v>2311</v>
      </c>
      <c r="C778" s="217" t="s">
        <v>1034</v>
      </c>
      <c r="D778" s="53">
        <v>0</v>
      </c>
      <c r="E778" s="121">
        <f>Saisie!D778</f>
        <v>0</v>
      </c>
      <c r="F778" s="51">
        <f t="shared" si="56"/>
        <v>0</v>
      </c>
      <c r="G778" s="52"/>
    </row>
    <row r="779" spans="1:7" s="43" customFormat="1" ht="13.2" x14ac:dyDescent="0.25">
      <c r="A779" s="202" t="s">
        <v>2312</v>
      </c>
      <c r="B779" s="216" t="s">
        <v>2313</v>
      </c>
      <c r="C779" s="217" t="s">
        <v>1034</v>
      </c>
      <c r="D779" s="53">
        <v>0</v>
      </c>
      <c r="E779" s="121">
        <f>Saisie!D779</f>
        <v>0</v>
      </c>
      <c r="F779" s="51">
        <f t="shared" si="56"/>
        <v>0</v>
      </c>
      <c r="G779" s="52"/>
    </row>
    <row r="780" spans="1:7" s="43" customFormat="1" ht="39.6" x14ac:dyDescent="0.25">
      <c r="A780" s="27" t="s">
        <v>2314</v>
      </c>
      <c r="B780" s="3" t="s">
        <v>2315</v>
      </c>
      <c r="C780" s="217" t="s">
        <v>1883</v>
      </c>
      <c r="D780" s="45"/>
      <c r="E780" s="121"/>
      <c r="F780" s="51"/>
      <c r="G780" s="52"/>
    </row>
    <row r="781" spans="1:7" s="43" customFormat="1" ht="13.2" x14ac:dyDescent="0.25">
      <c r="A781" s="202" t="s">
        <v>213</v>
      </c>
      <c r="B781" s="216" t="s">
        <v>2316</v>
      </c>
      <c r="C781" s="217" t="s">
        <v>1034</v>
      </c>
      <c r="D781" s="53">
        <v>0</v>
      </c>
      <c r="E781" s="121">
        <f>Saisie!D781</f>
        <v>0</v>
      </c>
      <c r="F781" s="51">
        <f t="shared" ref="F781:F786" si="57">E781*D781</f>
        <v>0</v>
      </c>
      <c r="G781" s="52"/>
    </row>
    <row r="782" spans="1:7" s="43" customFormat="1" ht="13.2" x14ac:dyDescent="0.25">
      <c r="A782" s="202" t="s">
        <v>214</v>
      </c>
      <c r="B782" s="216" t="s">
        <v>2317</v>
      </c>
      <c r="C782" s="217" t="s">
        <v>1034</v>
      </c>
      <c r="D782" s="53">
        <v>0</v>
      </c>
      <c r="E782" s="121">
        <f>Saisie!D782</f>
        <v>0</v>
      </c>
      <c r="F782" s="51">
        <f t="shared" si="57"/>
        <v>0</v>
      </c>
      <c r="G782" s="52"/>
    </row>
    <row r="783" spans="1:7" s="43" customFormat="1" ht="13.2" x14ac:dyDescent="0.25">
      <c r="A783" s="202" t="s">
        <v>215</v>
      </c>
      <c r="B783" s="216" t="s">
        <v>2318</v>
      </c>
      <c r="C783" s="217" t="s">
        <v>1034</v>
      </c>
      <c r="D783" s="53">
        <v>0</v>
      </c>
      <c r="E783" s="121">
        <f>Saisie!D783</f>
        <v>0</v>
      </c>
      <c r="F783" s="51">
        <f t="shared" si="57"/>
        <v>0</v>
      </c>
      <c r="G783" s="52"/>
    </row>
    <row r="784" spans="1:7" s="8" customFormat="1" ht="13.2" x14ac:dyDescent="0.25">
      <c r="A784" s="202" t="s">
        <v>2319</v>
      </c>
      <c r="B784" s="216" t="s">
        <v>2320</v>
      </c>
      <c r="C784" s="217" t="s">
        <v>1034</v>
      </c>
      <c r="D784" s="53">
        <v>0</v>
      </c>
      <c r="E784" s="121">
        <f>Saisie!D784</f>
        <v>0</v>
      </c>
      <c r="F784" s="51">
        <f t="shared" si="57"/>
        <v>0</v>
      </c>
      <c r="G784" s="45"/>
    </row>
    <row r="785" spans="1:7" s="43" customFormat="1" ht="13.2" x14ac:dyDescent="0.25">
      <c r="A785" s="202" t="s">
        <v>2321</v>
      </c>
      <c r="B785" s="216" t="s">
        <v>2322</v>
      </c>
      <c r="C785" s="217" t="s">
        <v>1034</v>
      </c>
      <c r="D785" s="53">
        <v>0</v>
      </c>
      <c r="E785" s="121">
        <f>Saisie!D785</f>
        <v>0</v>
      </c>
      <c r="F785" s="51">
        <f t="shared" si="57"/>
        <v>0</v>
      </c>
      <c r="G785" s="52"/>
    </row>
    <row r="786" spans="1:7" s="43" customFormat="1" ht="13.2" x14ac:dyDescent="0.25">
      <c r="A786" s="202" t="s">
        <v>2323</v>
      </c>
      <c r="B786" s="216" t="s">
        <v>2324</v>
      </c>
      <c r="C786" s="217" t="s">
        <v>1034</v>
      </c>
      <c r="D786" s="53">
        <v>0</v>
      </c>
      <c r="E786" s="121">
        <f>Saisie!D786</f>
        <v>0</v>
      </c>
      <c r="F786" s="51">
        <f t="shared" si="57"/>
        <v>0</v>
      </c>
      <c r="G786" s="52"/>
    </row>
    <row r="787" spans="1:7" s="43" customFormat="1" ht="39.6" x14ac:dyDescent="0.25">
      <c r="A787" s="27" t="s">
        <v>2325</v>
      </c>
      <c r="B787" s="3" t="s">
        <v>2326</v>
      </c>
      <c r="C787" s="217" t="s">
        <v>1883</v>
      </c>
      <c r="D787" s="45"/>
      <c r="E787" s="121"/>
      <c r="F787" s="51"/>
      <c r="G787" s="52"/>
    </row>
    <row r="788" spans="1:7" s="43" customFormat="1" ht="13.2" x14ac:dyDescent="0.25">
      <c r="A788" s="202" t="s">
        <v>216</v>
      </c>
      <c r="B788" s="216" t="s">
        <v>2327</v>
      </c>
      <c r="C788" s="217" t="s">
        <v>1034</v>
      </c>
      <c r="D788" s="53">
        <v>0</v>
      </c>
      <c r="E788" s="121">
        <f>Saisie!D788</f>
        <v>0</v>
      </c>
      <c r="F788" s="51">
        <f>E788*D788</f>
        <v>0</v>
      </c>
      <c r="G788" s="52"/>
    </row>
    <row r="789" spans="1:7" s="2" customFormat="1" ht="13.2" x14ac:dyDescent="0.25">
      <c r="A789" s="202" t="s">
        <v>217</v>
      </c>
      <c r="B789" s="216" t="s">
        <v>2328</v>
      </c>
      <c r="C789" s="217" t="s">
        <v>1034</v>
      </c>
      <c r="D789" s="53">
        <v>0</v>
      </c>
      <c r="E789" s="121">
        <f>Saisie!D789</f>
        <v>0</v>
      </c>
      <c r="F789" s="51">
        <f>E789*D789</f>
        <v>0</v>
      </c>
      <c r="G789" s="45"/>
    </row>
    <row r="790" spans="1:7" s="2" customFormat="1" ht="13.2" x14ac:dyDescent="0.25">
      <c r="A790" s="202" t="s">
        <v>218</v>
      </c>
      <c r="B790" s="216" t="s">
        <v>2329</v>
      </c>
      <c r="C790" s="217" t="s">
        <v>1034</v>
      </c>
      <c r="D790" s="53">
        <v>0</v>
      </c>
      <c r="E790" s="121">
        <f>Saisie!D790</f>
        <v>0</v>
      </c>
      <c r="F790" s="51">
        <f>E790*D790</f>
        <v>0</v>
      </c>
      <c r="G790" s="52"/>
    </row>
    <row r="791" spans="1:7" s="2" customFormat="1" ht="13.2" x14ac:dyDescent="0.25">
      <c r="A791" s="202" t="s">
        <v>2330</v>
      </c>
      <c r="B791" s="216" t="s">
        <v>2331</v>
      </c>
      <c r="C791" s="217" t="s">
        <v>1034</v>
      </c>
      <c r="D791" s="53">
        <v>0</v>
      </c>
      <c r="E791" s="121">
        <f>Saisie!D791</f>
        <v>0</v>
      </c>
      <c r="F791" s="51">
        <f>E791*D791</f>
        <v>0</v>
      </c>
      <c r="G791" s="52"/>
    </row>
    <row r="792" spans="1:7" s="2" customFormat="1" ht="13.2" x14ac:dyDescent="0.25">
      <c r="A792" s="202" t="s">
        <v>2332</v>
      </c>
      <c r="B792" s="216" t="s">
        <v>2333</v>
      </c>
      <c r="C792" s="217" t="s">
        <v>1034</v>
      </c>
      <c r="D792" s="53">
        <v>0</v>
      </c>
      <c r="E792" s="121">
        <f>Saisie!D792</f>
        <v>0</v>
      </c>
      <c r="F792" s="51">
        <f>E792*D792</f>
        <v>0</v>
      </c>
      <c r="G792" s="52"/>
    </row>
    <row r="793" spans="1:7" s="8" customFormat="1" ht="13.2" x14ac:dyDescent="0.25">
      <c r="A793" s="202" t="s">
        <v>2334</v>
      </c>
      <c r="B793" s="216" t="s">
        <v>2335</v>
      </c>
      <c r="C793" s="217" t="s">
        <v>1034</v>
      </c>
      <c r="D793" s="53">
        <v>0</v>
      </c>
      <c r="E793" s="121">
        <f>Saisie!D793</f>
        <v>0</v>
      </c>
      <c r="F793" s="51">
        <f t="shared" ref="F793:F798" si="58">E793*D793</f>
        <v>0</v>
      </c>
      <c r="G793" s="45"/>
    </row>
    <row r="794" spans="1:7" s="43" customFormat="1" ht="26.4" x14ac:dyDescent="0.25">
      <c r="A794" s="27" t="s">
        <v>2336</v>
      </c>
      <c r="B794" s="3" t="s">
        <v>2337</v>
      </c>
      <c r="C794" s="217" t="s">
        <v>1883</v>
      </c>
      <c r="D794" s="45"/>
      <c r="E794" s="121"/>
      <c r="F794" s="51"/>
      <c r="G794" s="52"/>
    </row>
    <row r="795" spans="1:7" s="43" customFormat="1" ht="13.2" x14ac:dyDescent="0.25">
      <c r="A795" s="202" t="s">
        <v>219</v>
      </c>
      <c r="B795" s="216" t="s">
        <v>2338</v>
      </c>
      <c r="C795" s="217" t="s">
        <v>1034</v>
      </c>
      <c r="D795" s="53">
        <v>0</v>
      </c>
      <c r="E795" s="121">
        <f>Saisie!D795</f>
        <v>0</v>
      </c>
      <c r="F795" s="51">
        <f t="shared" si="58"/>
        <v>0</v>
      </c>
      <c r="G795" s="52"/>
    </row>
    <row r="796" spans="1:7" s="43" customFormat="1" ht="13.2" x14ac:dyDescent="0.25">
      <c r="A796" s="202" t="s">
        <v>220</v>
      </c>
      <c r="B796" s="216" t="s">
        <v>2339</v>
      </c>
      <c r="C796" s="217" t="s">
        <v>1034</v>
      </c>
      <c r="D796" s="53">
        <v>0</v>
      </c>
      <c r="E796" s="121">
        <f>Saisie!D796</f>
        <v>0</v>
      </c>
      <c r="F796" s="51">
        <f t="shared" si="58"/>
        <v>0</v>
      </c>
      <c r="G796" s="52"/>
    </row>
    <row r="797" spans="1:7" s="43" customFormat="1" ht="13.2" x14ac:dyDescent="0.25">
      <c r="A797" s="202" t="s">
        <v>221</v>
      </c>
      <c r="B797" s="216" t="s">
        <v>2340</v>
      </c>
      <c r="C797" s="217" t="s">
        <v>1034</v>
      </c>
      <c r="D797" s="53">
        <v>0</v>
      </c>
      <c r="E797" s="121">
        <f>Saisie!D797</f>
        <v>0</v>
      </c>
      <c r="F797" s="51">
        <f t="shared" si="58"/>
        <v>0</v>
      </c>
      <c r="G797" s="52"/>
    </row>
    <row r="798" spans="1:7" s="43" customFormat="1" ht="13.2" x14ac:dyDescent="0.25">
      <c r="A798" s="202" t="s">
        <v>2341</v>
      </c>
      <c r="B798" s="216" t="s">
        <v>2342</v>
      </c>
      <c r="C798" s="217" t="s">
        <v>1034</v>
      </c>
      <c r="D798" s="53">
        <v>0</v>
      </c>
      <c r="E798" s="121">
        <f>Saisie!D798</f>
        <v>0</v>
      </c>
      <c r="F798" s="51">
        <f t="shared" si="58"/>
        <v>0</v>
      </c>
      <c r="G798" s="52"/>
    </row>
    <row r="799" spans="1:7" s="43" customFormat="1" ht="26.4" x14ac:dyDescent="0.25">
      <c r="A799" s="27" t="s">
        <v>2343</v>
      </c>
      <c r="B799" s="3" t="s">
        <v>2344</v>
      </c>
      <c r="C799" s="217"/>
      <c r="D799" s="45"/>
      <c r="E799" s="121">
        <f>Saisie!D799</f>
        <v>0</v>
      </c>
      <c r="F799" s="51"/>
      <c r="G799" s="52"/>
    </row>
    <row r="800" spans="1:7" s="43" customFormat="1" ht="13.2" x14ac:dyDescent="0.25">
      <c r="A800" s="202" t="s">
        <v>222</v>
      </c>
      <c r="B800" s="216" t="s">
        <v>2345</v>
      </c>
      <c r="C800" s="217" t="s">
        <v>1034</v>
      </c>
      <c r="D800" s="53">
        <v>0</v>
      </c>
      <c r="E800" s="121">
        <f>Saisie!D800</f>
        <v>0</v>
      </c>
      <c r="F800" s="51">
        <f t="shared" ref="F800:F805" si="59">E800*D800</f>
        <v>0</v>
      </c>
      <c r="G800" s="52"/>
    </row>
    <row r="801" spans="1:7" s="43" customFormat="1" ht="13.2" x14ac:dyDescent="0.25">
      <c r="A801" s="202" t="s">
        <v>223</v>
      </c>
      <c r="B801" s="216" t="s">
        <v>2346</v>
      </c>
      <c r="C801" s="217" t="s">
        <v>1034</v>
      </c>
      <c r="D801" s="53">
        <v>0</v>
      </c>
      <c r="E801" s="121">
        <f>Saisie!D801</f>
        <v>0</v>
      </c>
      <c r="F801" s="51">
        <f t="shared" si="59"/>
        <v>0</v>
      </c>
      <c r="G801" s="52"/>
    </row>
    <row r="802" spans="1:7" s="43" customFormat="1" ht="13.2" x14ac:dyDescent="0.25">
      <c r="A802" s="202" t="s">
        <v>224</v>
      </c>
      <c r="B802" s="216" t="s">
        <v>2347</v>
      </c>
      <c r="C802" s="217" t="s">
        <v>1034</v>
      </c>
      <c r="D802" s="53">
        <v>0</v>
      </c>
      <c r="E802" s="121">
        <f>Saisie!D802</f>
        <v>0</v>
      </c>
      <c r="F802" s="51">
        <f t="shared" si="59"/>
        <v>0</v>
      </c>
      <c r="G802" s="52"/>
    </row>
    <row r="803" spans="1:7" s="43" customFormat="1" ht="13.2" x14ac:dyDescent="0.25">
      <c r="A803" s="202" t="s">
        <v>2348</v>
      </c>
      <c r="B803" s="216" t="s">
        <v>2349</v>
      </c>
      <c r="C803" s="217" t="s">
        <v>1034</v>
      </c>
      <c r="D803" s="53">
        <v>0</v>
      </c>
      <c r="E803" s="121">
        <f>Saisie!D803</f>
        <v>0</v>
      </c>
      <c r="F803" s="51">
        <f t="shared" si="59"/>
        <v>0</v>
      </c>
      <c r="G803" s="52"/>
    </row>
    <row r="804" spans="1:7" s="8" customFormat="1" ht="13.2" x14ac:dyDescent="0.25">
      <c r="A804" s="202" t="s">
        <v>2350</v>
      </c>
      <c r="B804" s="216" t="s">
        <v>2351</v>
      </c>
      <c r="C804" s="217" t="s">
        <v>1034</v>
      </c>
      <c r="D804" s="53">
        <v>0</v>
      </c>
      <c r="E804" s="121">
        <f>Saisie!D804</f>
        <v>0</v>
      </c>
      <c r="F804" s="51">
        <f t="shared" si="59"/>
        <v>0</v>
      </c>
      <c r="G804" s="45"/>
    </row>
    <row r="805" spans="1:7" s="43" customFormat="1" ht="13.2" x14ac:dyDescent="0.25">
      <c r="A805" s="202" t="s">
        <v>2352</v>
      </c>
      <c r="B805" s="216" t="s">
        <v>2353</v>
      </c>
      <c r="C805" s="217" t="s">
        <v>1034</v>
      </c>
      <c r="D805" s="53">
        <v>0</v>
      </c>
      <c r="E805" s="121">
        <f>Saisie!D805</f>
        <v>0</v>
      </c>
      <c r="F805" s="51">
        <f t="shared" si="59"/>
        <v>0</v>
      </c>
      <c r="G805" s="52"/>
    </row>
    <row r="806" spans="1:7" s="43" customFormat="1" ht="13.2" x14ac:dyDescent="0.25">
      <c r="A806" s="27" t="s">
        <v>225</v>
      </c>
      <c r="B806" s="3" t="s">
        <v>2354</v>
      </c>
      <c r="C806" s="217" t="s">
        <v>1883</v>
      </c>
      <c r="D806" s="45"/>
      <c r="E806" s="121"/>
      <c r="F806" s="51"/>
      <c r="G806" s="52"/>
    </row>
    <row r="807" spans="1:7" s="43" customFormat="1" ht="13.8" x14ac:dyDescent="0.25">
      <c r="A807" s="202" t="s">
        <v>2355</v>
      </c>
      <c r="B807" s="216" t="s">
        <v>2356</v>
      </c>
      <c r="C807" s="217" t="s">
        <v>1011</v>
      </c>
      <c r="D807" s="53">
        <v>18</v>
      </c>
      <c r="E807" s="121">
        <f>Saisie!D807</f>
        <v>0</v>
      </c>
      <c r="F807" s="51">
        <f t="shared" ref="F807:F813" si="60">E807*D807</f>
        <v>0</v>
      </c>
      <c r="G807" s="52"/>
    </row>
    <row r="808" spans="1:7" s="43" customFormat="1" ht="13.2" x14ac:dyDescent="0.25">
      <c r="A808" s="202" t="s">
        <v>2357</v>
      </c>
      <c r="B808" s="216" t="s">
        <v>2358</v>
      </c>
      <c r="C808" s="217" t="s">
        <v>1011</v>
      </c>
      <c r="D808" s="53">
        <v>0</v>
      </c>
      <c r="E808" s="121">
        <f>Saisie!D808</f>
        <v>0</v>
      </c>
      <c r="F808" s="51">
        <f t="shared" si="60"/>
        <v>0</v>
      </c>
      <c r="G808" s="52"/>
    </row>
    <row r="809" spans="1:7" s="8" customFormat="1" ht="13.2" x14ac:dyDescent="0.25">
      <c r="A809" s="202" t="s">
        <v>2359</v>
      </c>
      <c r="B809" s="216" t="s">
        <v>2360</v>
      </c>
      <c r="C809" s="217" t="s">
        <v>1011</v>
      </c>
      <c r="D809" s="53">
        <v>4</v>
      </c>
      <c r="E809" s="121">
        <f>Saisie!D809</f>
        <v>0</v>
      </c>
      <c r="F809" s="51">
        <f t="shared" si="60"/>
        <v>0</v>
      </c>
      <c r="G809" s="45"/>
    </row>
    <row r="810" spans="1:7" s="8" customFormat="1" ht="13.2" x14ac:dyDescent="0.25">
      <c r="A810" s="202" t="s">
        <v>2361</v>
      </c>
      <c r="B810" s="216" t="s">
        <v>2362</v>
      </c>
      <c r="C810" s="217" t="s">
        <v>1011</v>
      </c>
      <c r="D810" s="53">
        <v>0</v>
      </c>
      <c r="E810" s="121">
        <f>Saisie!D810</f>
        <v>0</v>
      </c>
      <c r="F810" s="51">
        <f t="shared" si="60"/>
        <v>0</v>
      </c>
      <c r="G810" s="45"/>
    </row>
    <row r="811" spans="1:7" s="43" customFormat="1" ht="13.2" x14ac:dyDescent="0.25">
      <c r="A811" s="202" t="s">
        <v>2363</v>
      </c>
      <c r="B811" s="216" t="s">
        <v>2364</v>
      </c>
      <c r="C811" s="217" t="s">
        <v>1011</v>
      </c>
      <c r="D811" s="53">
        <v>0</v>
      </c>
      <c r="E811" s="121">
        <f>Saisie!D811</f>
        <v>0</v>
      </c>
      <c r="F811" s="51">
        <f t="shared" si="60"/>
        <v>0</v>
      </c>
      <c r="G811" s="52"/>
    </row>
    <row r="812" spans="1:7" s="43" customFormat="1" ht="13.2" x14ac:dyDescent="0.25">
      <c r="A812" s="202" t="s">
        <v>2365</v>
      </c>
      <c r="B812" s="216" t="s">
        <v>2366</v>
      </c>
      <c r="C812" s="217" t="s">
        <v>1011</v>
      </c>
      <c r="D812" s="53">
        <v>0</v>
      </c>
      <c r="E812" s="121">
        <f>Saisie!D812</f>
        <v>0</v>
      </c>
      <c r="F812" s="51">
        <f t="shared" si="60"/>
        <v>0</v>
      </c>
      <c r="G812" s="52"/>
    </row>
    <row r="813" spans="1:7" s="43" customFormat="1" ht="13.2" x14ac:dyDescent="0.25">
      <c r="A813" s="202" t="s">
        <v>2367</v>
      </c>
      <c r="B813" s="216" t="s">
        <v>2368</v>
      </c>
      <c r="C813" s="217" t="s">
        <v>1011</v>
      </c>
      <c r="D813" s="53">
        <v>0</v>
      </c>
      <c r="E813" s="121">
        <f>Saisie!D813</f>
        <v>0</v>
      </c>
      <c r="F813" s="51">
        <f t="shared" si="60"/>
        <v>0</v>
      </c>
      <c r="G813" s="52"/>
    </row>
    <row r="814" spans="1:7" s="43" customFormat="1" ht="13.2" x14ac:dyDescent="0.25">
      <c r="A814" s="27" t="s">
        <v>2369</v>
      </c>
      <c r="B814" s="3" t="s">
        <v>2370</v>
      </c>
      <c r="C814" s="217"/>
      <c r="D814" s="45"/>
      <c r="E814" s="121"/>
      <c r="F814" s="51"/>
      <c r="G814" s="52"/>
    </row>
    <row r="815" spans="1:7" s="43" customFormat="1" ht="13.2" x14ac:dyDescent="0.25">
      <c r="A815" s="201" t="s">
        <v>226</v>
      </c>
      <c r="B815" s="216" t="s">
        <v>2371</v>
      </c>
      <c r="C815" s="217" t="s">
        <v>1034</v>
      </c>
      <c r="D815" s="53">
        <v>0</v>
      </c>
      <c r="E815" s="121">
        <f>Saisie!D815</f>
        <v>0</v>
      </c>
      <c r="F815" s="51">
        <f>E815*D815</f>
        <v>0</v>
      </c>
      <c r="G815" s="52"/>
    </row>
    <row r="816" spans="1:7" s="43" customFormat="1" ht="13.2" x14ac:dyDescent="0.25">
      <c r="A816" s="201" t="s">
        <v>227</v>
      </c>
      <c r="B816" s="216" t="s">
        <v>2372</v>
      </c>
      <c r="C816" s="217" t="s">
        <v>1034</v>
      </c>
      <c r="D816" s="53">
        <v>0</v>
      </c>
      <c r="E816" s="121">
        <f>Saisie!D816</f>
        <v>0</v>
      </c>
      <c r="F816" s="51">
        <f>E816*D816</f>
        <v>0</v>
      </c>
      <c r="G816" s="52"/>
    </row>
    <row r="817" spans="1:7" s="43" customFormat="1" ht="13.2" x14ac:dyDescent="0.25">
      <c r="A817" s="27" t="s">
        <v>228</v>
      </c>
      <c r="B817" s="3" t="s">
        <v>2373</v>
      </c>
      <c r="C817" s="217"/>
      <c r="D817" s="45"/>
      <c r="E817" s="121"/>
      <c r="F817" s="51"/>
      <c r="G817" s="52"/>
    </row>
    <row r="818" spans="1:7" s="8" customFormat="1" ht="13.2" x14ac:dyDescent="0.25">
      <c r="A818" s="202" t="s">
        <v>2374</v>
      </c>
      <c r="B818" s="216" t="s">
        <v>2375</v>
      </c>
      <c r="C818" s="217" t="s">
        <v>1011</v>
      </c>
      <c r="D818" s="53">
        <v>11</v>
      </c>
      <c r="E818" s="121">
        <f>Saisie!D818</f>
        <v>0</v>
      </c>
      <c r="F818" s="51">
        <f>E818*D818</f>
        <v>0</v>
      </c>
      <c r="G818" s="45"/>
    </row>
    <row r="819" spans="1:7" s="43" customFormat="1" ht="13.2" x14ac:dyDescent="0.25">
      <c r="A819" s="202" t="s">
        <v>2376</v>
      </c>
      <c r="B819" s="216" t="s">
        <v>2377</v>
      </c>
      <c r="C819" s="217" t="s">
        <v>1011</v>
      </c>
      <c r="D819" s="53">
        <v>0</v>
      </c>
      <c r="E819" s="121">
        <f>Saisie!D819</f>
        <v>0</v>
      </c>
      <c r="F819" s="51">
        <f>E819*D819</f>
        <v>0</v>
      </c>
      <c r="G819" s="52"/>
    </row>
    <row r="820" spans="1:7" s="43" customFormat="1" ht="13.2" x14ac:dyDescent="0.25">
      <c r="A820" s="202" t="s">
        <v>2378</v>
      </c>
      <c r="B820" s="216" t="s">
        <v>2379</v>
      </c>
      <c r="C820" s="217" t="s">
        <v>1011</v>
      </c>
      <c r="D820" s="53">
        <v>0</v>
      </c>
      <c r="E820" s="121">
        <f>Saisie!D820</f>
        <v>0</v>
      </c>
      <c r="F820" s="51">
        <f>E820*D820</f>
        <v>0</v>
      </c>
      <c r="G820" s="52"/>
    </row>
    <row r="821" spans="1:7" s="43" customFormat="1" ht="13.2" x14ac:dyDescent="0.25">
      <c r="A821" s="202" t="s">
        <v>4352</v>
      </c>
      <c r="B821" s="216" t="s">
        <v>4353</v>
      </c>
      <c r="C821" s="217" t="s">
        <v>1011</v>
      </c>
      <c r="D821" s="53">
        <v>0</v>
      </c>
      <c r="E821" s="121">
        <f>Saisie!D822</f>
        <v>0</v>
      </c>
      <c r="F821" s="51">
        <f>E821*D821</f>
        <v>0</v>
      </c>
      <c r="G821" s="52"/>
    </row>
    <row r="822" spans="1:7" s="43" customFormat="1" ht="13.2" x14ac:dyDescent="0.25">
      <c r="A822" s="27" t="s">
        <v>229</v>
      </c>
      <c r="B822" s="3" t="s">
        <v>2380</v>
      </c>
      <c r="C822" s="217"/>
      <c r="D822" s="45"/>
      <c r="E822" s="121"/>
      <c r="F822" s="51"/>
      <c r="G822" s="52"/>
    </row>
    <row r="823" spans="1:7" s="43" customFormat="1" ht="13.2" x14ac:dyDescent="0.25">
      <c r="A823" s="202" t="s">
        <v>2381</v>
      </c>
      <c r="B823" s="216" t="s">
        <v>2375</v>
      </c>
      <c r="C823" s="217" t="s">
        <v>1011</v>
      </c>
      <c r="D823" s="53">
        <v>0</v>
      </c>
      <c r="E823" s="121">
        <f>Saisie!D823</f>
        <v>0</v>
      </c>
      <c r="F823" s="51">
        <f>E823*D823</f>
        <v>0</v>
      </c>
      <c r="G823" s="52"/>
    </row>
    <row r="824" spans="1:7" s="43" customFormat="1" ht="13.2" x14ac:dyDescent="0.25">
      <c r="A824" s="202" t="s">
        <v>2382</v>
      </c>
      <c r="B824" s="216" t="s">
        <v>2377</v>
      </c>
      <c r="C824" s="217" t="s">
        <v>1011</v>
      </c>
      <c r="D824" s="53">
        <v>0</v>
      </c>
      <c r="E824" s="121">
        <f>Saisie!D824</f>
        <v>0</v>
      </c>
      <c r="F824" s="51">
        <f>E824*D824</f>
        <v>0</v>
      </c>
      <c r="G824" s="52"/>
    </row>
    <row r="825" spans="1:7" s="43" customFormat="1" ht="13.2" x14ac:dyDescent="0.25">
      <c r="A825" s="202" t="s">
        <v>2384</v>
      </c>
      <c r="B825" s="216" t="s">
        <v>4395</v>
      </c>
      <c r="C825" s="217" t="s">
        <v>1011</v>
      </c>
      <c r="D825" s="53">
        <v>0</v>
      </c>
      <c r="E825" s="121">
        <f>Saisie!D825</f>
        <v>0</v>
      </c>
      <c r="F825" s="51">
        <f>E825*D825</f>
        <v>0</v>
      </c>
      <c r="G825" s="52"/>
    </row>
    <row r="826" spans="1:7" s="43" customFormat="1" ht="26.4" x14ac:dyDescent="0.25">
      <c r="A826" s="27" t="s">
        <v>230</v>
      </c>
      <c r="B826" s="3" t="s">
        <v>2385</v>
      </c>
      <c r="C826" s="217"/>
      <c r="D826" s="45"/>
      <c r="E826" s="121"/>
      <c r="F826" s="51"/>
      <c r="G826" s="52"/>
    </row>
    <row r="827" spans="1:7" s="43" customFormat="1" ht="13.2" x14ac:dyDescent="0.25">
      <c r="A827" s="202" t="s">
        <v>2386</v>
      </c>
      <c r="B827" s="216" t="s">
        <v>2387</v>
      </c>
      <c r="C827" s="217" t="s">
        <v>1034</v>
      </c>
      <c r="D827" s="53">
        <v>0</v>
      </c>
      <c r="E827" s="121">
        <f>Saisie!D827</f>
        <v>0</v>
      </c>
      <c r="F827" s="51">
        <f>E827*D827</f>
        <v>0</v>
      </c>
      <c r="G827" s="52"/>
    </row>
    <row r="828" spans="1:7" s="43" customFormat="1" ht="13.2" x14ac:dyDescent="0.25">
      <c r="A828" s="202" t="s">
        <v>2388</v>
      </c>
      <c r="B828" s="216" t="s">
        <v>2389</v>
      </c>
      <c r="C828" s="217" t="s">
        <v>1034</v>
      </c>
      <c r="D828" s="53">
        <v>0</v>
      </c>
      <c r="E828" s="121">
        <f>Saisie!D828</f>
        <v>0</v>
      </c>
      <c r="F828" s="51">
        <f>E828*D828</f>
        <v>0</v>
      </c>
      <c r="G828" s="52"/>
    </row>
    <row r="829" spans="1:7" s="43" customFormat="1" ht="13.2" x14ac:dyDescent="0.25">
      <c r="A829" s="202" t="s">
        <v>2390</v>
      </c>
      <c r="B829" s="216" t="s">
        <v>2391</v>
      </c>
      <c r="C829" s="217" t="s">
        <v>1034</v>
      </c>
      <c r="D829" s="53">
        <v>0</v>
      </c>
      <c r="E829" s="121">
        <f>Saisie!D829</f>
        <v>0</v>
      </c>
      <c r="F829" s="51">
        <f>E829*D829</f>
        <v>0</v>
      </c>
      <c r="G829" s="52"/>
    </row>
    <row r="830" spans="1:7" s="8" customFormat="1" ht="13.2" x14ac:dyDescent="0.25">
      <c r="A830" s="202" t="s">
        <v>2392</v>
      </c>
      <c r="B830" s="216" t="s">
        <v>2393</v>
      </c>
      <c r="C830" s="217" t="s">
        <v>1034</v>
      </c>
      <c r="D830" s="53">
        <v>0</v>
      </c>
      <c r="E830" s="121">
        <f>Saisie!D830</f>
        <v>0</v>
      </c>
      <c r="F830" s="51">
        <f>E830*D830</f>
        <v>0</v>
      </c>
      <c r="G830" s="45"/>
    </row>
    <row r="831" spans="1:7" s="43" customFormat="1" ht="26.4" x14ac:dyDescent="0.25">
      <c r="A831" s="27" t="s">
        <v>231</v>
      </c>
      <c r="B831" s="3" t="s">
        <v>2394</v>
      </c>
      <c r="C831" s="217" t="s">
        <v>1883</v>
      </c>
      <c r="D831" s="45"/>
      <c r="E831" s="121"/>
      <c r="F831" s="51"/>
      <c r="G831" s="52"/>
    </row>
    <row r="832" spans="1:7" s="43" customFormat="1" ht="13.2" x14ac:dyDescent="0.25">
      <c r="A832" s="202" t="s">
        <v>2395</v>
      </c>
      <c r="B832" s="216" t="s">
        <v>2396</v>
      </c>
      <c r="C832" s="217" t="s">
        <v>1034</v>
      </c>
      <c r="D832" s="53">
        <v>0</v>
      </c>
      <c r="E832" s="121">
        <f>Saisie!D832</f>
        <v>0</v>
      </c>
      <c r="F832" s="51">
        <f t="shared" ref="F832:F837" si="61">E832*D832</f>
        <v>0</v>
      </c>
      <c r="G832" s="52"/>
    </row>
    <row r="833" spans="1:7" s="43" customFormat="1" ht="13.2" x14ac:dyDescent="0.25">
      <c r="A833" s="202" t="s">
        <v>2397</v>
      </c>
      <c r="B833" s="216" t="s">
        <v>2398</v>
      </c>
      <c r="C833" s="217" t="s">
        <v>1034</v>
      </c>
      <c r="D833" s="53">
        <v>0</v>
      </c>
      <c r="E833" s="121">
        <f>Saisie!D833</f>
        <v>0</v>
      </c>
      <c r="F833" s="51">
        <f t="shared" si="61"/>
        <v>0</v>
      </c>
      <c r="G833" s="52"/>
    </row>
    <row r="834" spans="1:7" s="8" customFormat="1" ht="13.2" x14ac:dyDescent="0.25">
      <c r="A834" s="202" t="s">
        <v>2399</v>
      </c>
      <c r="B834" s="216" t="s">
        <v>2391</v>
      </c>
      <c r="C834" s="217" t="s">
        <v>1034</v>
      </c>
      <c r="D834" s="53">
        <v>0</v>
      </c>
      <c r="E834" s="121">
        <f>Saisie!D834</f>
        <v>0</v>
      </c>
      <c r="F834" s="51">
        <f t="shared" si="61"/>
        <v>0</v>
      </c>
      <c r="G834" s="45"/>
    </row>
    <row r="835" spans="1:7" s="43" customFormat="1" ht="13.2" x14ac:dyDescent="0.25">
      <c r="A835" s="202" t="s">
        <v>2400</v>
      </c>
      <c r="B835" s="216" t="s">
        <v>2393</v>
      </c>
      <c r="C835" s="217" t="s">
        <v>1034</v>
      </c>
      <c r="D835" s="53">
        <v>0</v>
      </c>
      <c r="E835" s="121">
        <f>Saisie!D835</f>
        <v>0</v>
      </c>
      <c r="F835" s="51">
        <f t="shared" si="61"/>
        <v>0</v>
      </c>
      <c r="G835" s="52"/>
    </row>
    <row r="836" spans="1:7" s="43" customFormat="1" ht="13.2" x14ac:dyDescent="0.25">
      <c r="A836" s="202" t="s">
        <v>2401</v>
      </c>
      <c r="B836" s="216" t="s">
        <v>2402</v>
      </c>
      <c r="C836" s="217" t="s">
        <v>1034</v>
      </c>
      <c r="D836" s="53">
        <v>0</v>
      </c>
      <c r="E836" s="121">
        <f>Saisie!D836</f>
        <v>0</v>
      </c>
      <c r="F836" s="51">
        <f t="shared" si="61"/>
        <v>0</v>
      </c>
      <c r="G836" s="52"/>
    </row>
    <row r="837" spans="1:7" s="43" customFormat="1" ht="13.2" x14ac:dyDescent="0.25">
      <c r="A837" s="202" t="s">
        <v>2403</v>
      </c>
      <c r="B837" s="216" t="s">
        <v>2404</v>
      </c>
      <c r="C837" s="217" t="s">
        <v>1034</v>
      </c>
      <c r="D837" s="53">
        <v>0</v>
      </c>
      <c r="E837" s="121">
        <f>Saisie!D837</f>
        <v>0</v>
      </c>
      <c r="F837" s="51">
        <f t="shared" si="61"/>
        <v>0</v>
      </c>
      <c r="G837" s="52"/>
    </row>
    <row r="838" spans="1:7" s="43" customFormat="1" ht="13.2" x14ac:dyDescent="0.25">
      <c r="A838" s="202"/>
      <c r="B838" s="216"/>
      <c r="C838" s="217"/>
      <c r="D838" s="45"/>
      <c r="E838" s="45"/>
      <c r="F838" s="51"/>
      <c r="G838" s="52"/>
    </row>
    <row r="839" spans="1:7" s="2" customFormat="1" ht="26.4" x14ac:dyDescent="0.25">
      <c r="A839" s="202"/>
      <c r="B839" s="122" t="s">
        <v>2405</v>
      </c>
      <c r="C839" s="217"/>
      <c r="D839" s="45"/>
      <c r="E839" s="45"/>
      <c r="F839" s="51">
        <f>SUM(F712:F837)</f>
        <v>0</v>
      </c>
      <c r="G839" s="52"/>
    </row>
    <row r="840" spans="1:7" s="2" customFormat="1" ht="13.2" x14ac:dyDescent="0.25">
      <c r="A840" s="202"/>
      <c r="B840" s="216"/>
      <c r="C840" s="217"/>
      <c r="D840" s="45"/>
      <c r="E840" s="45"/>
      <c r="F840" s="51"/>
      <c r="G840" s="52"/>
    </row>
    <row r="841" spans="1:7" s="2" customFormat="1" ht="13.2" x14ac:dyDescent="0.25">
      <c r="A841" s="29" t="s">
        <v>2406</v>
      </c>
      <c r="B841" s="32" t="s">
        <v>2407</v>
      </c>
      <c r="C841" s="224" t="s">
        <v>1883</v>
      </c>
      <c r="D841" s="224" t="s">
        <v>1883</v>
      </c>
      <c r="E841" s="224" t="s">
        <v>1883</v>
      </c>
      <c r="F841" s="224" t="s">
        <v>1883</v>
      </c>
      <c r="G841" s="52"/>
    </row>
    <row r="842" spans="1:7" s="2" customFormat="1" ht="13.2" x14ac:dyDescent="0.25">
      <c r="A842" s="27" t="s">
        <v>2408</v>
      </c>
      <c r="B842" s="3" t="s">
        <v>2409</v>
      </c>
      <c r="C842" s="217" t="s">
        <v>1883</v>
      </c>
      <c r="D842" s="45"/>
      <c r="E842" s="45"/>
      <c r="F842" s="51"/>
      <c r="G842" s="52"/>
    </row>
    <row r="843" spans="1:7" s="2" customFormat="1" ht="13.2" x14ac:dyDescent="0.25">
      <c r="A843" s="202" t="s">
        <v>237</v>
      </c>
      <c r="B843" s="216" t="s">
        <v>2410</v>
      </c>
      <c r="C843" s="217" t="s">
        <v>1034</v>
      </c>
      <c r="D843" s="53">
        <v>0</v>
      </c>
      <c r="E843" s="121">
        <f>Saisie!D843</f>
        <v>0</v>
      </c>
      <c r="F843" s="51">
        <f>E843*D843</f>
        <v>0</v>
      </c>
      <c r="G843" s="52"/>
    </row>
    <row r="844" spans="1:7" s="17" customFormat="1" ht="13.2" x14ac:dyDescent="0.25">
      <c r="A844" s="202" t="s">
        <v>238</v>
      </c>
      <c r="B844" s="216" t="s">
        <v>2411</v>
      </c>
      <c r="C844" s="217" t="s">
        <v>1034</v>
      </c>
      <c r="D844" s="53">
        <v>0</v>
      </c>
      <c r="E844" s="121">
        <f>Saisie!D844</f>
        <v>0</v>
      </c>
      <c r="F844" s="51">
        <f>E844*D844</f>
        <v>0</v>
      </c>
    </row>
    <row r="845" spans="1:7" s="17" customFormat="1" ht="26.4" x14ac:dyDescent="0.25">
      <c r="A845" s="27" t="s">
        <v>2412</v>
      </c>
      <c r="B845" s="3" t="s">
        <v>2413</v>
      </c>
      <c r="C845" s="217" t="s">
        <v>1883</v>
      </c>
      <c r="D845" s="45"/>
      <c r="E845" s="121"/>
      <c r="F845" s="51"/>
    </row>
    <row r="846" spans="1:7" s="17" customFormat="1" ht="13.2" x14ac:dyDescent="0.25">
      <c r="A846" s="202" t="s">
        <v>244</v>
      </c>
      <c r="B846" s="216" t="s">
        <v>2414</v>
      </c>
      <c r="C846" s="217" t="s">
        <v>1034</v>
      </c>
      <c r="D846" s="53">
        <v>0</v>
      </c>
      <c r="E846" s="121">
        <f>Saisie!D846</f>
        <v>0</v>
      </c>
      <c r="F846" s="51">
        <f t="shared" ref="F846:F851" si="62">E846*D846</f>
        <v>0</v>
      </c>
    </row>
    <row r="847" spans="1:7" s="17" customFormat="1" ht="13.2" x14ac:dyDescent="0.25">
      <c r="A847" s="202" t="s">
        <v>245</v>
      </c>
      <c r="B847" s="216" t="s">
        <v>2415</v>
      </c>
      <c r="C847" s="217" t="s">
        <v>1034</v>
      </c>
      <c r="D847" s="53">
        <v>0</v>
      </c>
      <c r="E847" s="121">
        <f>Saisie!D847</f>
        <v>0</v>
      </c>
      <c r="F847" s="51">
        <f t="shared" si="62"/>
        <v>0</v>
      </c>
    </row>
    <row r="848" spans="1:7" s="17" customFormat="1" ht="13.2" x14ac:dyDescent="0.25">
      <c r="A848" s="202" t="s">
        <v>246</v>
      </c>
      <c r="B848" s="216" t="s">
        <v>2416</v>
      </c>
      <c r="C848" s="217" t="s">
        <v>1034</v>
      </c>
      <c r="D848" s="53">
        <v>0</v>
      </c>
      <c r="E848" s="121">
        <f>Saisie!D848</f>
        <v>0</v>
      </c>
      <c r="F848" s="51">
        <f t="shared" si="62"/>
        <v>0</v>
      </c>
    </row>
    <row r="849" spans="1:7" s="17" customFormat="1" ht="13.2" x14ac:dyDescent="0.25">
      <c r="A849" s="202" t="s">
        <v>2417</v>
      </c>
      <c r="B849" s="216" t="s">
        <v>2418</v>
      </c>
      <c r="C849" s="217" t="s">
        <v>1034</v>
      </c>
      <c r="D849" s="53">
        <v>0</v>
      </c>
      <c r="E849" s="121">
        <f>Saisie!D849</f>
        <v>0</v>
      </c>
      <c r="F849" s="51">
        <f t="shared" si="62"/>
        <v>0</v>
      </c>
    </row>
    <row r="850" spans="1:7" s="17" customFormat="1" ht="13.2" x14ac:dyDescent="0.25">
      <c r="A850" s="202" t="s">
        <v>2419</v>
      </c>
      <c r="B850" s="216" t="s">
        <v>2420</v>
      </c>
      <c r="C850" s="217" t="s">
        <v>1034</v>
      </c>
      <c r="D850" s="53">
        <v>0</v>
      </c>
      <c r="E850" s="121">
        <f>Saisie!D850</f>
        <v>0</v>
      </c>
      <c r="F850" s="51">
        <f t="shared" si="62"/>
        <v>0</v>
      </c>
    </row>
    <row r="851" spans="1:7" s="17" customFormat="1" ht="13.2" x14ac:dyDescent="0.25">
      <c r="A851" s="202" t="s">
        <v>2421</v>
      </c>
      <c r="B851" s="216" t="s">
        <v>2422</v>
      </c>
      <c r="C851" s="217" t="s">
        <v>1034</v>
      </c>
      <c r="D851" s="53">
        <v>0</v>
      </c>
      <c r="E851" s="121">
        <f>Saisie!D851</f>
        <v>0</v>
      </c>
      <c r="F851" s="51">
        <f t="shared" si="62"/>
        <v>0</v>
      </c>
    </row>
    <row r="852" spans="1:7" s="20" customFormat="1" ht="26.4" x14ac:dyDescent="0.25">
      <c r="A852" s="27" t="s">
        <v>2423</v>
      </c>
      <c r="B852" s="3" t="s">
        <v>2424</v>
      </c>
      <c r="C852" s="217" t="s">
        <v>1883</v>
      </c>
      <c r="D852" s="45"/>
      <c r="E852" s="121"/>
      <c r="F852" s="51"/>
      <c r="G852" s="218"/>
    </row>
    <row r="853" spans="1:7" s="20" customFormat="1" ht="13.2" x14ac:dyDescent="0.25">
      <c r="A853" s="202" t="s">
        <v>2425</v>
      </c>
      <c r="B853" s="216" t="s">
        <v>2426</v>
      </c>
      <c r="C853" s="217" t="s">
        <v>1034</v>
      </c>
      <c r="D853" s="53">
        <v>0</v>
      </c>
      <c r="E853" s="121">
        <f>Saisie!D853</f>
        <v>0</v>
      </c>
      <c r="F853" s="51">
        <f t="shared" ref="F853:F858" si="63">E853*D853</f>
        <v>0</v>
      </c>
      <c r="G853" s="218"/>
    </row>
    <row r="854" spans="1:7" s="43" customFormat="1" ht="13.2" x14ac:dyDescent="0.25">
      <c r="A854" s="202" t="s">
        <v>2427</v>
      </c>
      <c r="B854" s="216" t="s">
        <v>2428</v>
      </c>
      <c r="C854" s="217" t="s">
        <v>1034</v>
      </c>
      <c r="D854" s="53">
        <v>0</v>
      </c>
      <c r="E854" s="121">
        <f>Saisie!D854</f>
        <v>0</v>
      </c>
      <c r="F854" s="51">
        <f t="shared" si="63"/>
        <v>0</v>
      </c>
    </row>
    <row r="855" spans="1:7" s="43" customFormat="1" ht="13.2" x14ac:dyDescent="0.25">
      <c r="A855" s="202" t="s">
        <v>2429</v>
      </c>
      <c r="B855" s="216" t="s">
        <v>2430</v>
      </c>
      <c r="C855" s="217" t="s">
        <v>1034</v>
      </c>
      <c r="D855" s="53">
        <v>0</v>
      </c>
      <c r="E855" s="121">
        <f>Saisie!D855</f>
        <v>0</v>
      </c>
      <c r="F855" s="51">
        <f t="shared" si="63"/>
        <v>0</v>
      </c>
    </row>
    <row r="856" spans="1:7" s="43" customFormat="1" ht="13.2" x14ac:dyDescent="0.25">
      <c r="A856" s="202" t="s">
        <v>2431</v>
      </c>
      <c r="B856" s="216" t="s">
        <v>2432</v>
      </c>
      <c r="C856" s="217" t="s">
        <v>1034</v>
      </c>
      <c r="D856" s="53">
        <v>0</v>
      </c>
      <c r="E856" s="121">
        <f>Saisie!D856</f>
        <v>0</v>
      </c>
      <c r="F856" s="51">
        <f t="shared" si="63"/>
        <v>0</v>
      </c>
    </row>
    <row r="857" spans="1:7" s="8" customFormat="1" ht="13.2" x14ac:dyDescent="0.25">
      <c r="A857" s="202" t="s">
        <v>2433</v>
      </c>
      <c r="B857" s="216" t="s">
        <v>2434</v>
      </c>
      <c r="C857" s="217" t="s">
        <v>1034</v>
      </c>
      <c r="D857" s="53">
        <v>0</v>
      </c>
      <c r="E857" s="121">
        <f>Saisie!D857</f>
        <v>0</v>
      </c>
      <c r="F857" s="51">
        <f t="shared" si="63"/>
        <v>0</v>
      </c>
    </row>
    <row r="858" spans="1:7" s="43" customFormat="1" ht="26.4" x14ac:dyDescent="0.25">
      <c r="A858" s="27" t="s">
        <v>2435</v>
      </c>
      <c r="B858" s="3" t="s">
        <v>2436</v>
      </c>
      <c r="C858" s="217" t="s">
        <v>1034</v>
      </c>
      <c r="D858" s="53">
        <v>0</v>
      </c>
      <c r="E858" s="121">
        <f>Saisie!D858</f>
        <v>0</v>
      </c>
      <c r="F858" s="51">
        <f t="shared" si="63"/>
        <v>0</v>
      </c>
      <c r="G858" s="56"/>
    </row>
    <row r="859" spans="1:7" s="43" customFormat="1" ht="13.2" x14ac:dyDescent="0.25">
      <c r="A859" s="27"/>
      <c r="B859" s="3"/>
      <c r="C859" s="217"/>
      <c r="D859" s="45"/>
      <c r="E859" s="45"/>
      <c r="F859" s="51"/>
      <c r="G859" s="76"/>
    </row>
    <row r="860" spans="1:7" s="8" customFormat="1" ht="26.4" x14ac:dyDescent="0.25">
      <c r="A860" s="202"/>
      <c r="B860" s="122" t="s">
        <v>2437</v>
      </c>
      <c r="C860" s="217"/>
      <c r="D860" s="45"/>
      <c r="E860" s="45"/>
      <c r="F860" s="51">
        <f>SUM(F842:F859)</f>
        <v>0</v>
      </c>
      <c r="G860" s="52"/>
    </row>
    <row r="861" spans="1:7" s="43" customFormat="1" ht="13.2" x14ac:dyDescent="0.25">
      <c r="A861" s="202"/>
      <c r="B861" s="216"/>
      <c r="C861" s="217"/>
      <c r="D861" s="45"/>
      <c r="E861" s="45"/>
      <c r="F861" s="51"/>
      <c r="G861" s="45"/>
    </row>
    <row r="862" spans="1:7" s="43" customFormat="1" ht="13.2" x14ac:dyDescent="0.25">
      <c r="A862" s="129" t="s">
        <v>2438</v>
      </c>
      <c r="B862" s="32" t="s">
        <v>2439</v>
      </c>
      <c r="C862" s="224" t="s">
        <v>1883</v>
      </c>
      <c r="D862" s="224" t="s">
        <v>1883</v>
      </c>
      <c r="E862" s="224" t="s">
        <v>1883</v>
      </c>
      <c r="F862" s="241" t="s">
        <v>1883</v>
      </c>
      <c r="G862" s="52"/>
    </row>
    <row r="863" spans="1:7" s="8" customFormat="1" ht="13.2" x14ac:dyDescent="0.25">
      <c r="A863" s="130" t="s">
        <v>247</v>
      </c>
      <c r="B863" s="6" t="s">
        <v>2440</v>
      </c>
      <c r="C863" s="217"/>
      <c r="D863" s="46"/>
      <c r="E863" s="45"/>
      <c r="F863" s="131"/>
      <c r="G863" s="52"/>
    </row>
    <row r="864" spans="1:7" s="43" customFormat="1" ht="26.4" x14ac:dyDescent="0.25">
      <c r="A864" s="230" t="s">
        <v>2441</v>
      </c>
      <c r="B864" s="223" t="s">
        <v>2442</v>
      </c>
      <c r="C864" s="215"/>
      <c r="D864" s="132"/>
      <c r="E864" s="88"/>
      <c r="F864" s="131"/>
      <c r="G864" s="45"/>
    </row>
    <row r="865" spans="1:7" s="43" customFormat="1" ht="13.2" x14ac:dyDescent="0.25">
      <c r="A865" s="230" t="s">
        <v>2443</v>
      </c>
      <c r="B865" s="223" t="s">
        <v>1077</v>
      </c>
      <c r="C865" s="215" t="s">
        <v>984</v>
      </c>
      <c r="D865" s="52">
        <v>0</v>
      </c>
      <c r="E865" s="121">
        <f>Saisie!D865</f>
        <v>0</v>
      </c>
      <c r="F865" s="131">
        <f>D865*E865</f>
        <v>0</v>
      </c>
      <c r="G865" s="52"/>
    </row>
    <row r="866" spans="1:7" s="43" customFormat="1" ht="13.2" x14ac:dyDescent="0.25">
      <c r="A866" s="230" t="s">
        <v>2444</v>
      </c>
      <c r="B866" s="223" t="s">
        <v>2445</v>
      </c>
      <c r="C866" s="215" t="s">
        <v>984</v>
      </c>
      <c r="D866" s="52">
        <v>0</v>
      </c>
      <c r="E866" s="121">
        <f>Saisie!D866</f>
        <v>0</v>
      </c>
      <c r="F866" s="131">
        <f t="shared" ref="F866:F878" si="64">D866*E866</f>
        <v>0</v>
      </c>
      <c r="G866" s="52"/>
    </row>
    <row r="867" spans="1:7" s="8" customFormat="1" ht="13.2" x14ac:dyDescent="0.25">
      <c r="A867" s="230" t="s">
        <v>2446</v>
      </c>
      <c r="B867" s="223" t="s">
        <v>2447</v>
      </c>
      <c r="C867" s="215" t="s">
        <v>984</v>
      </c>
      <c r="D867" s="52">
        <v>0</v>
      </c>
      <c r="E867" s="121">
        <f>Saisie!D867</f>
        <v>0</v>
      </c>
      <c r="F867" s="131">
        <f t="shared" si="64"/>
        <v>0</v>
      </c>
      <c r="G867" s="52"/>
    </row>
    <row r="868" spans="1:7" s="43" customFormat="1" ht="13.2" x14ac:dyDescent="0.25">
      <c r="A868" s="230" t="s">
        <v>2448</v>
      </c>
      <c r="B868" s="223" t="s">
        <v>2449</v>
      </c>
      <c r="C868" s="215"/>
      <c r="D868" s="132"/>
      <c r="E868" s="121"/>
      <c r="F868" s="131"/>
      <c r="G868" s="45"/>
    </row>
    <row r="869" spans="1:7" s="43" customFormat="1" ht="13.2" x14ac:dyDescent="0.25">
      <c r="A869" s="230" t="s">
        <v>2450</v>
      </c>
      <c r="B869" s="223" t="s">
        <v>1077</v>
      </c>
      <c r="C869" s="215" t="s">
        <v>984</v>
      </c>
      <c r="D869" s="52">
        <v>0</v>
      </c>
      <c r="E869" s="121">
        <f>Saisie!D869</f>
        <v>0</v>
      </c>
      <c r="F869" s="131">
        <f t="shared" si="64"/>
        <v>0</v>
      </c>
      <c r="G869" s="52"/>
    </row>
    <row r="870" spans="1:7" s="43" customFormat="1" ht="13.2" x14ac:dyDescent="0.25">
      <c r="A870" s="230" t="s">
        <v>2451</v>
      </c>
      <c r="B870" s="223" t="s">
        <v>2445</v>
      </c>
      <c r="C870" s="215" t="s">
        <v>984</v>
      </c>
      <c r="D870" s="52">
        <v>0</v>
      </c>
      <c r="E870" s="121">
        <f>Saisie!D870</f>
        <v>0</v>
      </c>
      <c r="F870" s="131">
        <f t="shared" si="64"/>
        <v>0</v>
      </c>
      <c r="G870" s="52"/>
    </row>
    <row r="871" spans="1:7" s="43" customFormat="1" ht="13.2" x14ac:dyDescent="0.25">
      <c r="A871" s="230" t="s">
        <v>2452</v>
      </c>
      <c r="B871" s="223" t="s">
        <v>2447</v>
      </c>
      <c r="C871" s="215" t="s">
        <v>984</v>
      </c>
      <c r="D871" s="52">
        <v>0</v>
      </c>
      <c r="E871" s="121">
        <f>Saisie!D871</f>
        <v>0</v>
      </c>
      <c r="F871" s="131">
        <f t="shared" si="64"/>
        <v>0</v>
      </c>
      <c r="G871" s="52"/>
    </row>
    <row r="872" spans="1:7" s="43" customFormat="1" ht="13.2" x14ac:dyDescent="0.25">
      <c r="A872" s="230" t="s">
        <v>2453</v>
      </c>
      <c r="B872" s="223" t="s">
        <v>2454</v>
      </c>
      <c r="C872" s="215" t="s">
        <v>984</v>
      </c>
      <c r="D872" s="52">
        <v>0</v>
      </c>
      <c r="E872" s="121">
        <f>Saisie!D872</f>
        <v>0</v>
      </c>
      <c r="F872" s="131">
        <f t="shared" si="64"/>
        <v>0</v>
      </c>
      <c r="G872" s="76"/>
    </row>
    <row r="873" spans="1:7" s="43" customFormat="1" ht="26.4" x14ac:dyDescent="0.25">
      <c r="A873" s="133" t="s">
        <v>2455</v>
      </c>
      <c r="B873" s="6" t="s">
        <v>2456</v>
      </c>
      <c r="C873" s="215"/>
      <c r="D873" s="132"/>
      <c r="E873" s="121"/>
      <c r="F873" s="131"/>
      <c r="G873" s="52"/>
    </row>
    <row r="874" spans="1:7" s="43" customFormat="1" ht="13.2" x14ac:dyDescent="0.25">
      <c r="A874" s="230" t="s">
        <v>248</v>
      </c>
      <c r="B874" s="223" t="s">
        <v>2457</v>
      </c>
      <c r="C874" s="215" t="s">
        <v>1011</v>
      </c>
      <c r="D874" s="52">
        <v>0</v>
      </c>
      <c r="E874" s="121">
        <f>Saisie!D874</f>
        <v>0</v>
      </c>
      <c r="F874" s="131">
        <f t="shared" si="64"/>
        <v>0</v>
      </c>
      <c r="G874" s="52"/>
    </row>
    <row r="875" spans="1:7" s="43" customFormat="1" ht="26.4" x14ac:dyDescent="0.25">
      <c r="A875" s="230" t="s">
        <v>249</v>
      </c>
      <c r="B875" s="223" t="s">
        <v>2458</v>
      </c>
      <c r="C875" s="215" t="s">
        <v>1011</v>
      </c>
      <c r="D875" s="52">
        <v>0</v>
      </c>
      <c r="E875" s="121">
        <f>Saisie!D875</f>
        <v>0</v>
      </c>
      <c r="F875" s="131">
        <f t="shared" si="64"/>
        <v>0</v>
      </c>
    </row>
    <row r="876" spans="1:7" s="43" customFormat="1" ht="13.2" x14ac:dyDescent="0.25">
      <c r="A876" s="230" t="s">
        <v>250</v>
      </c>
      <c r="B876" s="223" t="s">
        <v>2459</v>
      </c>
      <c r="C876" s="215" t="s">
        <v>1011</v>
      </c>
      <c r="D876" s="52">
        <v>0</v>
      </c>
      <c r="E876" s="121">
        <f>Saisie!D876</f>
        <v>0</v>
      </c>
      <c r="F876" s="131">
        <f t="shared" si="64"/>
        <v>0</v>
      </c>
    </row>
    <row r="877" spans="1:7" s="8" customFormat="1" ht="13.2" x14ac:dyDescent="0.25">
      <c r="A877" s="230" t="s">
        <v>251</v>
      </c>
      <c r="B877" s="216" t="s">
        <v>2460</v>
      </c>
      <c r="C877" s="217" t="s">
        <v>1034</v>
      </c>
      <c r="D877" s="52">
        <v>0</v>
      </c>
      <c r="E877" s="121">
        <f>Saisie!D877</f>
        <v>0</v>
      </c>
      <c r="F877" s="131">
        <f t="shared" si="64"/>
        <v>0</v>
      </c>
    </row>
    <row r="878" spans="1:7" s="8" customFormat="1" ht="13.2" x14ac:dyDescent="0.25">
      <c r="A878" s="230" t="s">
        <v>252</v>
      </c>
      <c r="B878" s="223" t="s">
        <v>2461</v>
      </c>
      <c r="C878" s="215" t="s">
        <v>1011</v>
      </c>
      <c r="D878" s="52">
        <v>0</v>
      </c>
      <c r="E878" s="121">
        <f>Saisie!D878</f>
        <v>0</v>
      </c>
      <c r="F878" s="131">
        <f t="shared" si="64"/>
        <v>0</v>
      </c>
    </row>
    <row r="879" spans="1:7" s="43" customFormat="1" ht="13.2" x14ac:dyDescent="0.25">
      <c r="A879" s="133" t="s">
        <v>2462</v>
      </c>
      <c r="B879" s="6" t="s">
        <v>2463</v>
      </c>
      <c r="C879" s="215"/>
      <c r="D879" s="215"/>
      <c r="E879" s="121"/>
      <c r="F879" s="134"/>
    </row>
    <row r="880" spans="1:7" s="43" customFormat="1" ht="13.2" x14ac:dyDescent="0.25">
      <c r="A880" s="230" t="s">
        <v>255</v>
      </c>
      <c r="B880" s="223" t="s">
        <v>2464</v>
      </c>
      <c r="C880" s="215" t="s">
        <v>1034</v>
      </c>
      <c r="D880" s="52">
        <v>0</v>
      </c>
      <c r="E880" s="121">
        <f>Saisie!D880</f>
        <v>0</v>
      </c>
      <c r="F880" s="131">
        <f t="shared" ref="F880:F885" si="65">D880*E880</f>
        <v>0</v>
      </c>
    </row>
    <row r="881" spans="1:6" s="43" customFormat="1" ht="13.2" x14ac:dyDescent="0.25">
      <c r="A881" s="230" t="s">
        <v>256</v>
      </c>
      <c r="B881" s="223" t="s">
        <v>2465</v>
      </c>
      <c r="C881" s="215" t="s">
        <v>1034</v>
      </c>
      <c r="D881" s="52">
        <v>0</v>
      </c>
      <c r="E881" s="121">
        <f>Saisie!D881</f>
        <v>0</v>
      </c>
      <c r="F881" s="131">
        <f t="shared" si="65"/>
        <v>0</v>
      </c>
    </row>
    <row r="882" spans="1:6" s="43" customFormat="1" ht="13.2" x14ac:dyDescent="0.25">
      <c r="A882" s="230" t="s">
        <v>257</v>
      </c>
      <c r="B882" s="223" t="s">
        <v>2466</v>
      </c>
      <c r="C882" s="215" t="s">
        <v>1034</v>
      </c>
      <c r="D882" s="52">
        <v>0</v>
      </c>
      <c r="E882" s="121">
        <f>Saisie!D882</f>
        <v>0</v>
      </c>
      <c r="F882" s="131">
        <f t="shared" si="65"/>
        <v>0</v>
      </c>
    </row>
    <row r="883" spans="1:6" s="43" customFormat="1" ht="13.2" x14ac:dyDescent="0.25">
      <c r="A883" s="230" t="s">
        <v>258</v>
      </c>
      <c r="B883" s="216" t="s">
        <v>2467</v>
      </c>
      <c r="C883" s="217" t="s">
        <v>1034</v>
      </c>
      <c r="D883" s="52">
        <v>0</v>
      </c>
      <c r="E883" s="121">
        <f>Saisie!D883</f>
        <v>0</v>
      </c>
      <c r="F883" s="131">
        <f t="shared" si="65"/>
        <v>0</v>
      </c>
    </row>
    <row r="884" spans="1:6" s="43" customFormat="1" ht="13.2" x14ac:dyDescent="0.25">
      <c r="A884" s="230" t="s">
        <v>259</v>
      </c>
      <c r="B884" s="223" t="s">
        <v>2468</v>
      </c>
      <c r="C884" s="215" t="s">
        <v>1034</v>
      </c>
      <c r="D884" s="52">
        <v>0</v>
      </c>
      <c r="E884" s="121">
        <f>Saisie!D884</f>
        <v>0</v>
      </c>
      <c r="F884" s="131">
        <f t="shared" si="65"/>
        <v>0</v>
      </c>
    </row>
    <row r="885" spans="1:6" s="43" customFormat="1" ht="13.2" x14ac:dyDescent="0.25">
      <c r="A885" s="230" t="s">
        <v>260</v>
      </c>
      <c r="B885" s="223" t="s">
        <v>2469</v>
      </c>
      <c r="C885" s="215" t="s">
        <v>1034</v>
      </c>
      <c r="D885" s="52">
        <v>0</v>
      </c>
      <c r="E885" s="121">
        <f>Saisie!D885</f>
        <v>0</v>
      </c>
      <c r="F885" s="131">
        <f t="shared" si="65"/>
        <v>0</v>
      </c>
    </row>
    <row r="886" spans="1:6" s="43" customFormat="1" ht="13.2" x14ac:dyDescent="0.25">
      <c r="A886" s="133" t="s">
        <v>2470</v>
      </c>
      <c r="B886" s="6" t="s">
        <v>2471</v>
      </c>
      <c r="C886" s="215"/>
      <c r="D886" s="215"/>
      <c r="E886" s="121"/>
      <c r="F886" s="131"/>
    </row>
    <row r="887" spans="1:6" s="43" customFormat="1" ht="13.2" x14ac:dyDescent="0.25">
      <c r="A887" s="230" t="s">
        <v>266</v>
      </c>
      <c r="B887" s="223" t="s">
        <v>2472</v>
      </c>
      <c r="C887" s="215" t="s">
        <v>1011</v>
      </c>
      <c r="D887" s="52">
        <v>0</v>
      </c>
      <c r="E887" s="121">
        <f>Saisie!D887</f>
        <v>0</v>
      </c>
      <c r="F887" s="131">
        <f>D887*E887</f>
        <v>0</v>
      </c>
    </row>
    <row r="888" spans="1:6" s="43" customFormat="1" ht="13.2" x14ac:dyDescent="0.25">
      <c r="A888" s="230" t="s">
        <v>267</v>
      </c>
      <c r="B888" s="223" t="s">
        <v>2473</v>
      </c>
      <c r="C888" s="215"/>
      <c r="D888" s="215"/>
      <c r="E888" s="121"/>
      <c r="F888" s="131"/>
    </row>
    <row r="889" spans="1:6" s="43" customFormat="1" ht="13.2" x14ac:dyDescent="0.25">
      <c r="A889" s="230" t="s">
        <v>2474</v>
      </c>
      <c r="B889" s="223" t="s">
        <v>2475</v>
      </c>
      <c r="C889" s="215"/>
      <c r="D889" s="215"/>
      <c r="E889" s="121"/>
      <c r="F889" s="131"/>
    </row>
    <row r="890" spans="1:6" s="2" customFormat="1" ht="13.2" x14ac:dyDescent="0.25">
      <c r="A890" s="230" t="s">
        <v>2476</v>
      </c>
      <c r="B890" s="216" t="s">
        <v>2477</v>
      </c>
      <c r="C890" s="217" t="s">
        <v>1011</v>
      </c>
      <c r="D890" s="52">
        <v>0</v>
      </c>
      <c r="E890" s="121">
        <f>Saisie!D890</f>
        <v>0</v>
      </c>
      <c r="F890" s="131">
        <f>D890*E890</f>
        <v>0</v>
      </c>
    </row>
    <row r="891" spans="1:6" s="8" customFormat="1" ht="13.2" x14ac:dyDescent="0.25">
      <c r="A891" s="230" t="s">
        <v>2478</v>
      </c>
      <c r="B891" s="223" t="s">
        <v>2479</v>
      </c>
      <c r="C891" s="215" t="s">
        <v>1011</v>
      </c>
      <c r="D891" s="52">
        <v>0</v>
      </c>
      <c r="E891" s="121">
        <f>Saisie!D891</f>
        <v>0</v>
      </c>
      <c r="F891" s="131">
        <f>D891*E891</f>
        <v>0</v>
      </c>
    </row>
    <row r="892" spans="1:6" s="2" customFormat="1" ht="26.4" x14ac:dyDescent="0.25">
      <c r="A892" s="230" t="s">
        <v>2480</v>
      </c>
      <c r="B892" s="223" t="s">
        <v>2481</v>
      </c>
      <c r="C892" s="217" t="s">
        <v>1011</v>
      </c>
      <c r="D892" s="52">
        <v>0</v>
      </c>
      <c r="E892" s="121">
        <f>Saisie!D892</f>
        <v>0</v>
      </c>
      <c r="F892" s="131">
        <f>D892*E892</f>
        <v>0</v>
      </c>
    </row>
    <row r="893" spans="1:6" s="2" customFormat="1" ht="13.2" x14ac:dyDescent="0.25">
      <c r="A893" s="230" t="s">
        <v>2482</v>
      </c>
      <c r="B893" s="223" t="s">
        <v>2483</v>
      </c>
      <c r="C893" s="217" t="s">
        <v>1011</v>
      </c>
      <c r="D893" s="52">
        <v>0</v>
      </c>
      <c r="E893" s="121">
        <f>Saisie!D893</f>
        <v>0</v>
      </c>
      <c r="F893" s="131">
        <f>D893*E893</f>
        <v>0</v>
      </c>
    </row>
    <row r="894" spans="1:6" s="2" customFormat="1" ht="13.2" x14ac:dyDescent="0.25">
      <c r="A894" s="230" t="s">
        <v>2484</v>
      </c>
      <c r="B894" s="223" t="s">
        <v>2485</v>
      </c>
      <c r="C894" s="215"/>
      <c r="D894" s="215"/>
      <c r="E894" s="121"/>
      <c r="F894" s="131"/>
    </row>
    <row r="895" spans="1:6" s="2" customFormat="1" ht="26.4" x14ac:dyDescent="0.25">
      <c r="A895" s="230" t="s">
        <v>2486</v>
      </c>
      <c r="B895" s="223" t="s">
        <v>2487</v>
      </c>
      <c r="C895" s="215" t="s">
        <v>1011</v>
      </c>
      <c r="D895" s="52">
        <v>0</v>
      </c>
      <c r="E895" s="121">
        <f>Saisie!D895</f>
        <v>0</v>
      </c>
      <c r="F895" s="131">
        <f t="shared" ref="F895:F905" si="66">D895*E895</f>
        <v>0</v>
      </c>
    </row>
    <row r="896" spans="1:6" s="2" customFormat="1" ht="26.4" x14ac:dyDescent="0.25">
      <c r="A896" s="230" t="s">
        <v>2488</v>
      </c>
      <c r="B896" s="223" t="s">
        <v>2489</v>
      </c>
      <c r="C896" s="215" t="s">
        <v>1011</v>
      </c>
      <c r="D896" s="52">
        <v>0</v>
      </c>
      <c r="E896" s="121">
        <f>Saisie!D896</f>
        <v>0</v>
      </c>
      <c r="F896" s="131">
        <f t="shared" si="66"/>
        <v>0</v>
      </c>
    </row>
    <row r="897" spans="1:6" s="2" customFormat="1" ht="26.4" x14ac:dyDescent="0.25">
      <c r="A897" s="230" t="s">
        <v>2490</v>
      </c>
      <c r="B897" s="223" t="s">
        <v>2491</v>
      </c>
      <c r="C897" s="215" t="s">
        <v>1011</v>
      </c>
      <c r="D897" s="52">
        <v>0</v>
      </c>
      <c r="E897" s="121">
        <f>Saisie!D897</f>
        <v>0</v>
      </c>
      <c r="F897" s="131">
        <f t="shared" si="66"/>
        <v>0</v>
      </c>
    </row>
    <row r="898" spans="1:6" s="2" customFormat="1" ht="26.4" x14ac:dyDescent="0.25">
      <c r="A898" s="230" t="s">
        <v>2492</v>
      </c>
      <c r="B898" s="223" t="s">
        <v>2493</v>
      </c>
      <c r="C898" s="217" t="s">
        <v>1011</v>
      </c>
      <c r="D898" s="52">
        <v>0</v>
      </c>
      <c r="E898" s="121">
        <f>Saisie!D898</f>
        <v>0</v>
      </c>
      <c r="F898" s="131">
        <f t="shared" si="66"/>
        <v>0</v>
      </c>
    </row>
    <row r="899" spans="1:6" s="2" customFormat="1" ht="13.2" x14ac:dyDescent="0.25">
      <c r="A899" s="230" t="s">
        <v>2494</v>
      </c>
      <c r="B899" s="223" t="s">
        <v>2495</v>
      </c>
      <c r="C899" s="215" t="s">
        <v>1034</v>
      </c>
      <c r="D899" s="52">
        <v>0</v>
      </c>
      <c r="E899" s="121">
        <f>Saisie!D899</f>
        <v>0</v>
      </c>
      <c r="F899" s="131">
        <f t="shared" si="66"/>
        <v>0</v>
      </c>
    </row>
    <row r="900" spans="1:6" s="2" customFormat="1" ht="13.2" x14ac:dyDescent="0.25">
      <c r="A900" s="230" t="s">
        <v>2496</v>
      </c>
      <c r="B900" s="223" t="s">
        <v>2497</v>
      </c>
      <c r="C900" s="215" t="s">
        <v>1034</v>
      </c>
      <c r="D900" s="52">
        <v>0</v>
      </c>
      <c r="E900" s="121">
        <f>Saisie!D900</f>
        <v>0</v>
      </c>
      <c r="F900" s="131">
        <f t="shared" si="66"/>
        <v>0</v>
      </c>
    </row>
    <row r="901" spans="1:6" s="2" customFormat="1" ht="13.2" x14ac:dyDescent="0.25">
      <c r="A901" s="230" t="s">
        <v>268</v>
      </c>
      <c r="B901" s="223" t="s">
        <v>2498</v>
      </c>
      <c r="C901" s="215" t="s">
        <v>2499</v>
      </c>
      <c r="D901" s="52">
        <v>0</v>
      </c>
      <c r="E901" s="121">
        <f>Saisie!D901</f>
        <v>0</v>
      </c>
      <c r="F901" s="131">
        <f t="shared" si="66"/>
        <v>0</v>
      </c>
    </row>
    <row r="902" spans="1:6" s="8" customFormat="1" ht="26.4" x14ac:dyDescent="0.25">
      <c r="A902" s="230" t="s">
        <v>269</v>
      </c>
      <c r="B902" s="223" t="s">
        <v>2500</v>
      </c>
      <c r="C902" s="215" t="s">
        <v>1034</v>
      </c>
      <c r="D902" s="52">
        <v>0</v>
      </c>
      <c r="E902" s="121">
        <f>Saisie!D902</f>
        <v>0</v>
      </c>
      <c r="F902" s="131">
        <f t="shared" si="66"/>
        <v>0</v>
      </c>
    </row>
    <row r="903" spans="1:6" s="2" customFormat="1" ht="13.2" x14ac:dyDescent="0.25">
      <c r="A903" s="230" t="s">
        <v>270</v>
      </c>
      <c r="B903" s="223" t="s">
        <v>2501</v>
      </c>
      <c r="C903" s="215" t="s">
        <v>1011</v>
      </c>
      <c r="D903" s="52">
        <v>0</v>
      </c>
      <c r="E903" s="121">
        <f>Saisie!D903</f>
        <v>0</v>
      </c>
      <c r="F903" s="131">
        <f t="shared" si="66"/>
        <v>0</v>
      </c>
    </row>
    <row r="904" spans="1:6" s="2" customFormat="1" ht="13.2" x14ac:dyDescent="0.25">
      <c r="A904" s="230" t="s">
        <v>271</v>
      </c>
      <c r="B904" s="223" t="s">
        <v>2502</v>
      </c>
      <c r="C904" s="215" t="s">
        <v>1011</v>
      </c>
      <c r="D904" s="52">
        <v>0</v>
      </c>
      <c r="E904" s="121">
        <f>Saisie!D904</f>
        <v>0</v>
      </c>
      <c r="F904" s="131">
        <f t="shared" si="66"/>
        <v>0</v>
      </c>
    </row>
    <row r="905" spans="1:6" s="2" customFormat="1" ht="13.2" x14ac:dyDescent="0.25">
      <c r="A905" s="230" t="s">
        <v>272</v>
      </c>
      <c r="B905" s="223" t="s">
        <v>2503</v>
      </c>
      <c r="C905" s="215" t="s">
        <v>1011</v>
      </c>
      <c r="D905" s="52">
        <v>0</v>
      </c>
      <c r="E905" s="121">
        <f>Saisie!D905</f>
        <v>0</v>
      </c>
      <c r="F905" s="131">
        <f t="shared" si="66"/>
        <v>0</v>
      </c>
    </row>
    <row r="906" spans="1:6" s="2" customFormat="1" ht="26.4" x14ac:dyDescent="0.25">
      <c r="A906" s="230" t="s">
        <v>273</v>
      </c>
      <c r="B906" s="223" t="s">
        <v>2504</v>
      </c>
      <c r="C906" s="215"/>
      <c r="D906" s="215"/>
      <c r="E906" s="121"/>
      <c r="F906" s="131"/>
    </row>
    <row r="907" spans="1:6" s="2" customFormat="1" ht="13.2" x14ac:dyDescent="0.25">
      <c r="A907" s="230" t="s">
        <v>2505</v>
      </c>
      <c r="B907" s="223" t="s">
        <v>2506</v>
      </c>
      <c r="C907" s="215" t="s">
        <v>1011</v>
      </c>
      <c r="D907" s="52">
        <v>0</v>
      </c>
      <c r="E907" s="121">
        <f>Saisie!D907</f>
        <v>0</v>
      </c>
      <c r="F907" s="131">
        <f>D907*E907</f>
        <v>0</v>
      </c>
    </row>
    <row r="908" spans="1:6" s="2" customFormat="1" ht="13.2" x14ac:dyDescent="0.25">
      <c r="A908" s="230" t="s">
        <v>2507</v>
      </c>
      <c r="B908" s="223" t="s">
        <v>2508</v>
      </c>
      <c r="C908" s="215" t="s">
        <v>1011</v>
      </c>
      <c r="D908" s="52">
        <v>0</v>
      </c>
      <c r="E908" s="121">
        <f>Saisie!D908</f>
        <v>0</v>
      </c>
      <c r="F908" s="131">
        <f>D908*E908</f>
        <v>0</v>
      </c>
    </row>
    <row r="909" spans="1:6" s="2" customFormat="1" ht="26.4" x14ac:dyDescent="0.25">
      <c r="A909" s="230" t="s">
        <v>274</v>
      </c>
      <c r="B909" s="223" t="s">
        <v>2509</v>
      </c>
      <c r="C909" s="215"/>
      <c r="D909" s="215"/>
      <c r="E909" s="121"/>
      <c r="F909" s="131"/>
    </row>
    <row r="910" spans="1:6" s="2" customFormat="1" ht="13.2" x14ac:dyDescent="0.25">
      <c r="A910" s="230" t="s">
        <v>2510</v>
      </c>
      <c r="B910" s="223" t="s">
        <v>2506</v>
      </c>
      <c r="C910" s="217" t="s">
        <v>1011</v>
      </c>
      <c r="D910" s="52">
        <v>0</v>
      </c>
      <c r="E910" s="121">
        <f>Saisie!D910</f>
        <v>0</v>
      </c>
      <c r="F910" s="131">
        <f>D910*E910</f>
        <v>0</v>
      </c>
    </row>
    <row r="911" spans="1:6" s="2" customFormat="1" ht="13.2" x14ac:dyDescent="0.25">
      <c r="A911" s="230" t="s">
        <v>2511</v>
      </c>
      <c r="B911" s="223" t="s">
        <v>2508</v>
      </c>
      <c r="C911" s="215" t="s">
        <v>1011</v>
      </c>
      <c r="D911" s="52">
        <v>0</v>
      </c>
      <c r="E911" s="121">
        <f>Saisie!D911</f>
        <v>0</v>
      </c>
      <c r="F911" s="131">
        <f>D911*E911</f>
        <v>0</v>
      </c>
    </row>
    <row r="912" spans="1:6" s="2" customFormat="1" ht="13.2" x14ac:dyDescent="0.25">
      <c r="A912" s="230" t="s">
        <v>275</v>
      </c>
      <c r="B912" s="223" t="s">
        <v>2512</v>
      </c>
      <c r="C912" s="215"/>
      <c r="D912" s="215"/>
      <c r="E912" s="121"/>
      <c r="F912" s="131"/>
    </row>
    <row r="913" spans="1:6" s="2" customFormat="1" ht="13.2" x14ac:dyDescent="0.25">
      <c r="A913" s="230" t="s">
        <v>2513</v>
      </c>
      <c r="B913" s="223" t="s">
        <v>2506</v>
      </c>
      <c r="C913" s="217" t="s">
        <v>1011</v>
      </c>
      <c r="D913" s="52">
        <v>0</v>
      </c>
      <c r="E913" s="121">
        <f>Saisie!D913</f>
        <v>0</v>
      </c>
      <c r="F913" s="131">
        <f>D913*E913</f>
        <v>0</v>
      </c>
    </row>
    <row r="914" spans="1:6" s="2" customFormat="1" ht="13.2" x14ac:dyDescent="0.25">
      <c r="A914" s="230" t="s">
        <v>2514</v>
      </c>
      <c r="B914" s="223" t="s">
        <v>2508</v>
      </c>
      <c r="C914" s="215" t="s">
        <v>1011</v>
      </c>
      <c r="D914" s="52">
        <v>0</v>
      </c>
      <c r="E914" s="121">
        <f>Saisie!D914</f>
        <v>0</v>
      </c>
      <c r="F914" s="131">
        <f>D914*E914</f>
        <v>0</v>
      </c>
    </row>
    <row r="915" spans="1:6" s="2" customFormat="1" ht="13.2" x14ac:dyDescent="0.25">
      <c r="A915" s="230" t="s">
        <v>276</v>
      </c>
      <c r="B915" s="223" t="s">
        <v>2515</v>
      </c>
      <c r="C915" s="215" t="s">
        <v>1011</v>
      </c>
      <c r="D915" s="52">
        <v>0</v>
      </c>
      <c r="E915" s="121">
        <f>Saisie!D915</f>
        <v>0</v>
      </c>
      <c r="F915" s="131">
        <f>D915*E915</f>
        <v>0</v>
      </c>
    </row>
    <row r="916" spans="1:6" s="2" customFormat="1" ht="13.2" x14ac:dyDescent="0.25">
      <c r="A916" s="230" t="s">
        <v>2516</v>
      </c>
      <c r="B916" s="223" t="s">
        <v>2517</v>
      </c>
      <c r="C916" s="217"/>
      <c r="D916" s="132"/>
      <c r="E916" s="121">
        <f>Saisie!D916</f>
        <v>0</v>
      </c>
      <c r="F916" s="131"/>
    </row>
    <row r="917" spans="1:6" s="2" customFormat="1" ht="26.4" x14ac:dyDescent="0.25">
      <c r="A917" s="230" t="s">
        <v>2518</v>
      </c>
      <c r="B917" s="223" t="s">
        <v>2519</v>
      </c>
      <c r="C917" s="215" t="s">
        <v>1011</v>
      </c>
      <c r="D917" s="52">
        <v>0</v>
      </c>
      <c r="E917" s="121">
        <f>Saisie!D917</f>
        <v>0</v>
      </c>
      <c r="F917" s="131">
        <f t="shared" ref="F917:F922" si="67">D917*E917</f>
        <v>0</v>
      </c>
    </row>
    <row r="918" spans="1:6" s="43" customFormat="1" ht="13.2" x14ac:dyDescent="0.25">
      <c r="A918" s="230" t="s">
        <v>2520</v>
      </c>
      <c r="B918" s="223" t="s">
        <v>2521</v>
      </c>
      <c r="C918" s="215" t="s">
        <v>1011</v>
      </c>
      <c r="D918" s="52">
        <v>0</v>
      </c>
      <c r="E918" s="121">
        <f>Saisie!D918</f>
        <v>0</v>
      </c>
      <c r="F918" s="131">
        <f t="shared" si="67"/>
        <v>0</v>
      </c>
    </row>
    <row r="919" spans="1:6" s="43" customFormat="1" ht="26.4" x14ac:dyDescent="0.25">
      <c r="A919" s="230" t="s">
        <v>2522</v>
      </c>
      <c r="B919" s="223" t="s">
        <v>2523</v>
      </c>
      <c r="C919" s="215" t="s">
        <v>1011</v>
      </c>
      <c r="D919" s="52">
        <v>0</v>
      </c>
      <c r="E919" s="121">
        <f>Saisie!D919</f>
        <v>0</v>
      </c>
      <c r="F919" s="131">
        <f t="shared" si="67"/>
        <v>0</v>
      </c>
    </row>
    <row r="920" spans="1:6" s="43" customFormat="1" ht="13.2" x14ac:dyDescent="0.25">
      <c r="A920" s="230" t="s">
        <v>2524</v>
      </c>
      <c r="B920" s="223" t="s">
        <v>2525</v>
      </c>
      <c r="C920" s="215" t="s">
        <v>1011</v>
      </c>
      <c r="D920" s="52">
        <v>0</v>
      </c>
      <c r="E920" s="121">
        <f>Saisie!D920</f>
        <v>0</v>
      </c>
      <c r="F920" s="131">
        <f t="shared" si="67"/>
        <v>0</v>
      </c>
    </row>
    <row r="921" spans="1:6" s="43" customFormat="1" ht="13.2" x14ac:dyDescent="0.25">
      <c r="A921" s="230" t="s">
        <v>2526</v>
      </c>
      <c r="B921" s="223" t="s">
        <v>2527</v>
      </c>
      <c r="C921" s="215" t="s">
        <v>1011</v>
      </c>
      <c r="D921" s="52">
        <v>0</v>
      </c>
      <c r="E921" s="121">
        <f>Saisie!D921</f>
        <v>0</v>
      </c>
      <c r="F921" s="131">
        <f t="shared" si="67"/>
        <v>0</v>
      </c>
    </row>
    <row r="922" spans="1:6" s="43" customFormat="1" ht="13.2" x14ac:dyDescent="0.25">
      <c r="A922" s="230" t="s">
        <v>2528</v>
      </c>
      <c r="B922" s="223" t="s">
        <v>2529</v>
      </c>
      <c r="C922" s="215" t="s">
        <v>1011</v>
      </c>
      <c r="D922" s="52">
        <v>0</v>
      </c>
      <c r="E922" s="121">
        <f>Saisie!D922</f>
        <v>0</v>
      </c>
      <c r="F922" s="131">
        <f t="shared" si="67"/>
        <v>0</v>
      </c>
    </row>
    <row r="923" spans="1:6" s="43" customFormat="1" ht="13.2" x14ac:dyDescent="0.25">
      <c r="A923" s="230" t="s">
        <v>2530</v>
      </c>
      <c r="B923" s="223" t="s">
        <v>2531</v>
      </c>
      <c r="C923" s="215"/>
      <c r="D923" s="215"/>
      <c r="E923" s="121"/>
      <c r="F923" s="131"/>
    </row>
    <row r="924" spans="1:6" s="8" customFormat="1" ht="13.2" x14ac:dyDescent="0.25">
      <c r="A924" s="230" t="s">
        <v>2532</v>
      </c>
      <c r="B924" s="223" t="s">
        <v>2533</v>
      </c>
      <c r="C924" s="215" t="s">
        <v>1011</v>
      </c>
      <c r="D924" s="52">
        <v>0</v>
      </c>
      <c r="E924" s="121">
        <f>Saisie!D924</f>
        <v>0</v>
      </c>
      <c r="F924" s="131">
        <f>D924*E924</f>
        <v>0</v>
      </c>
    </row>
    <row r="925" spans="1:6" s="8" customFormat="1" ht="13.2" x14ac:dyDescent="0.25">
      <c r="A925" s="230" t="s">
        <v>2534</v>
      </c>
      <c r="B925" s="223" t="s">
        <v>2535</v>
      </c>
      <c r="C925" s="215" t="s">
        <v>1011</v>
      </c>
      <c r="D925" s="52">
        <v>0</v>
      </c>
      <c r="E925" s="121">
        <f>Saisie!D925</f>
        <v>0</v>
      </c>
      <c r="F925" s="131">
        <f t="shared" ref="F925:F932" si="68">D925*E925</f>
        <v>0</v>
      </c>
    </row>
    <row r="926" spans="1:6" s="8" customFormat="1" ht="13.2" x14ac:dyDescent="0.25">
      <c r="A926" s="230" t="s">
        <v>2536</v>
      </c>
      <c r="B926" s="216" t="s">
        <v>2537</v>
      </c>
      <c r="C926" s="215" t="s">
        <v>1011</v>
      </c>
      <c r="D926" s="52">
        <v>0</v>
      </c>
      <c r="E926" s="121">
        <f>Saisie!D926</f>
        <v>0</v>
      </c>
      <c r="F926" s="131">
        <f t="shared" si="68"/>
        <v>0</v>
      </c>
    </row>
    <row r="927" spans="1:6" s="43" customFormat="1" ht="13.2" x14ac:dyDescent="0.25">
      <c r="A927" s="230" t="s">
        <v>2538</v>
      </c>
      <c r="B927" s="216" t="s">
        <v>2539</v>
      </c>
      <c r="C927" s="217" t="s">
        <v>1011</v>
      </c>
      <c r="D927" s="52">
        <v>0</v>
      </c>
      <c r="E927" s="121">
        <f>Saisie!D927</f>
        <v>0</v>
      </c>
      <c r="F927" s="131">
        <f t="shared" si="68"/>
        <v>0</v>
      </c>
    </row>
    <row r="928" spans="1:6" s="43" customFormat="1" ht="13.2" x14ac:dyDescent="0.25">
      <c r="A928" s="230" t="s">
        <v>2540</v>
      </c>
      <c r="B928" s="216" t="s">
        <v>2541</v>
      </c>
      <c r="C928" s="215" t="s">
        <v>1011</v>
      </c>
      <c r="D928" s="52">
        <v>0</v>
      </c>
      <c r="E928" s="121">
        <f>Saisie!D928</f>
        <v>0</v>
      </c>
      <c r="F928" s="131">
        <f t="shared" si="68"/>
        <v>0</v>
      </c>
    </row>
    <row r="929" spans="1:6" s="43" customFormat="1" ht="13.2" x14ac:dyDescent="0.25">
      <c r="A929" s="230" t="s">
        <v>2542</v>
      </c>
      <c r="B929" s="216" t="s">
        <v>2543</v>
      </c>
      <c r="C929" s="215" t="s">
        <v>1011</v>
      </c>
      <c r="D929" s="52">
        <v>0</v>
      </c>
      <c r="E929" s="121">
        <f>Saisie!D929</f>
        <v>0</v>
      </c>
      <c r="F929" s="131">
        <f t="shared" si="68"/>
        <v>0</v>
      </c>
    </row>
    <row r="930" spans="1:6" s="43" customFormat="1" ht="13.2" x14ac:dyDescent="0.25">
      <c r="A930" s="230" t="s">
        <v>2544</v>
      </c>
      <c r="B930" s="216" t="s">
        <v>2545</v>
      </c>
      <c r="C930" s="215" t="s">
        <v>1011</v>
      </c>
      <c r="D930" s="52">
        <v>0</v>
      </c>
      <c r="E930" s="121">
        <f>Saisie!D930</f>
        <v>0</v>
      </c>
      <c r="F930" s="131">
        <f t="shared" si="68"/>
        <v>0</v>
      </c>
    </row>
    <row r="931" spans="1:6" s="8" customFormat="1" ht="13.2" x14ac:dyDescent="0.25">
      <c r="A931" s="230" t="s">
        <v>2546</v>
      </c>
      <c r="B931" s="216" t="s">
        <v>2547</v>
      </c>
      <c r="C931" s="215" t="s">
        <v>1011</v>
      </c>
      <c r="D931" s="52">
        <v>0</v>
      </c>
      <c r="E931" s="121">
        <f>Saisie!D931</f>
        <v>0</v>
      </c>
      <c r="F931" s="131">
        <f t="shared" si="68"/>
        <v>0</v>
      </c>
    </row>
    <row r="932" spans="1:6" s="43" customFormat="1" ht="26.4" x14ac:dyDescent="0.25">
      <c r="A932" s="230" t="s">
        <v>2548</v>
      </c>
      <c r="B932" s="216" t="s">
        <v>2549</v>
      </c>
      <c r="C932" s="215" t="s">
        <v>1011</v>
      </c>
      <c r="D932" s="52">
        <v>0</v>
      </c>
      <c r="E932" s="121">
        <f>Saisie!D932</f>
        <v>0</v>
      </c>
      <c r="F932" s="131">
        <f t="shared" si="68"/>
        <v>0</v>
      </c>
    </row>
    <row r="933" spans="1:6" s="43" customFormat="1" ht="13.2" x14ac:dyDescent="0.25">
      <c r="A933" s="230" t="s">
        <v>2550</v>
      </c>
      <c r="B933" s="216" t="s">
        <v>2551</v>
      </c>
      <c r="C933" s="215"/>
      <c r="D933" s="215"/>
      <c r="E933" s="121"/>
      <c r="F933" s="131"/>
    </row>
    <row r="934" spans="1:6" s="43" customFormat="1" ht="13.2" x14ac:dyDescent="0.25">
      <c r="A934" s="230" t="s">
        <v>2552</v>
      </c>
      <c r="B934" s="216" t="s">
        <v>2553</v>
      </c>
      <c r="C934" s="215" t="s">
        <v>1034</v>
      </c>
      <c r="D934" s="52">
        <v>0</v>
      </c>
      <c r="E934" s="121">
        <f>Saisie!D934</f>
        <v>0</v>
      </c>
      <c r="F934" s="131">
        <f t="shared" ref="F934:F990" si="69">D934*E934</f>
        <v>0</v>
      </c>
    </row>
    <row r="935" spans="1:6" s="43" customFormat="1" ht="13.2" x14ac:dyDescent="0.25">
      <c r="A935" s="230" t="s">
        <v>2554</v>
      </c>
      <c r="B935" s="216" t="s">
        <v>2555</v>
      </c>
      <c r="C935" s="215" t="s">
        <v>1034</v>
      </c>
      <c r="D935" s="52">
        <v>0</v>
      </c>
      <c r="E935" s="121">
        <f>Saisie!D935</f>
        <v>0</v>
      </c>
      <c r="F935" s="131">
        <f t="shared" si="69"/>
        <v>0</v>
      </c>
    </row>
    <row r="936" spans="1:6" s="8" customFormat="1" ht="13.2" x14ac:dyDescent="0.25">
      <c r="A936" s="230" t="s">
        <v>2556</v>
      </c>
      <c r="B936" s="216" t="s">
        <v>2557</v>
      </c>
      <c r="C936" s="215" t="s">
        <v>1034</v>
      </c>
      <c r="D936" s="52">
        <v>0</v>
      </c>
      <c r="E936" s="121">
        <f>Saisie!D936</f>
        <v>0</v>
      </c>
      <c r="F936" s="131">
        <f t="shared" si="69"/>
        <v>0</v>
      </c>
    </row>
    <row r="937" spans="1:6" s="43" customFormat="1" ht="13.2" x14ac:dyDescent="0.25">
      <c r="A937" s="230" t="s">
        <v>2558</v>
      </c>
      <c r="B937" s="216" t="s">
        <v>2559</v>
      </c>
      <c r="C937" s="217" t="s">
        <v>1034</v>
      </c>
      <c r="D937" s="52">
        <v>0</v>
      </c>
      <c r="E937" s="121">
        <f>Saisie!D937</f>
        <v>0</v>
      </c>
      <c r="F937" s="131">
        <f t="shared" si="69"/>
        <v>0</v>
      </c>
    </row>
    <row r="938" spans="1:6" s="43" customFormat="1" ht="13.2" x14ac:dyDescent="0.25">
      <c r="A938" s="133" t="s">
        <v>2560</v>
      </c>
      <c r="B938" s="4" t="s">
        <v>2561</v>
      </c>
      <c r="C938" s="215"/>
      <c r="D938" s="215"/>
      <c r="E938" s="121"/>
      <c r="F938" s="131"/>
    </row>
    <row r="939" spans="1:6" s="43" customFormat="1" ht="13.2" x14ac:dyDescent="0.25">
      <c r="A939" s="230" t="s">
        <v>277</v>
      </c>
      <c r="B939" s="216" t="s">
        <v>2562</v>
      </c>
      <c r="C939" s="215" t="s">
        <v>1034</v>
      </c>
      <c r="D939" s="52">
        <v>0</v>
      </c>
      <c r="E939" s="121">
        <f>Saisie!D939</f>
        <v>0</v>
      </c>
      <c r="F939" s="131">
        <f t="shared" si="69"/>
        <v>0</v>
      </c>
    </row>
    <row r="940" spans="1:6" s="43" customFormat="1" ht="13.2" x14ac:dyDescent="0.25">
      <c r="A940" s="230" t="s">
        <v>278</v>
      </c>
      <c r="B940" s="216" t="s">
        <v>2563</v>
      </c>
      <c r="C940" s="215" t="s">
        <v>1034</v>
      </c>
      <c r="D940" s="52">
        <v>0</v>
      </c>
      <c r="E940" s="121">
        <f>Saisie!D940</f>
        <v>0</v>
      </c>
      <c r="F940" s="131">
        <f t="shared" si="69"/>
        <v>0</v>
      </c>
    </row>
    <row r="941" spans="1:6" s="8" customFormat="1" ht="13.2" x14ac:dyDescent="0.25">
      <c r="A941" s="230" t="s">
        <v>279</v>
      </c>
      <c r="B941" s="216" t="s">
        <v>2564</v>
      </c>
      <c r="C941" s="215" t="s">
        <v>1011</v>
      </c>
      <c r="D941" s="52">
        <v>0</v>
      </c>
      <c r="E941" s="121">
        <f>Saisie!D941</f>
        <v>0</v>
      </c>
      <c r="F941" s="131">
        <f t="shared" si="69"/>
        <v>0</v>
      </c>
    </row>
    <row r="942" spans="1:6" s="43" customFormat="1" ht="13.2" x14ac:dyDescent="0.25">
      <c r="A942" s="230" t="s">
        <v>280</v>
      </c>
      <c r="B942" s="216" t="s">
        <v>2565</v>
      </c>
      <c r="C942" s="217" t="s">
        <v>1011</v>
      </c>
      <c r="D942" s="52">
        <v>0</v>
      </c>
      <c r="E942" s="121">
        <f>Saisie!D942</f>
        <v>0</v>
      </c>
      <c r="F942" s="131">
        <f t="shared" si="69"/>
        <v>0</v>
      </c>
    </row>
    <row r="943" spans="1:6" s="43" customFormat="1" ht="13.2" x14ac:dyDescent="0.25">
      <c r="A943" s="230" t="s">
        <v>281</v>
      </c>
      <c r="B943" s="223" t="s">
        <v>2566</v>
      </c>
      <c r="C943" s="215" t="s">
        <v>1011</v>
      </c>
      <c r="D943" s="52">
        <v>0</v>
      </c>
      <c r="E943" s="121">
        <f>Saisie!D943</f>
        <v>0</v>
      </c>
      <c r="F943" s="131">
        <f t="shared" si="69"/>
        <v>0</v>
      </c>
    </row>
    <row r="944" spans="1:6" s="43" customFormat="1" ht="26.4" x14ac:dyDescent="0.25">
      <c r="A944" s="230" t="s">
        <v>282</v>
      </c>
      <c r="B944" s="223" t="s">
        <v>2567</v>
      </c>
      <c r="C944" s="215" t="s">
        <v>1011</v>
      </c>
      <c r="D944" s="52">
        <v>0</v>
      </c>
      <c r="E944" s="121">
        <f>Saisie!D944</f>
        <v>0</v>
      </c>
      <c r="F944" s="131">
        <f t="shared" si="69"/>
        <v>0</v>
      </c>
    </row>
    <row r="945" spans="1:6" s="43" customFormat="1" ht="13.2" x14ac:dyDescent="0.25">
      <c r="A945" s="133" t="s">
        <v>2568</v>
      </c>
      <c r="B945" s="6" t="s">
        <v>2569</v>
      </c>
      <c r="C945" s="215"/>
      <c r="D945" s="215"/>
      <c r="E945" s="121"/>
      <c r="F945" s="131"/>
    </row>
    <row r="946" spans="1:6" s="43" customFormat="1" ht="13.2" x14ac:dyDescent="0.25">
      <c r="A946" s="230" t="s">
        <v>288</v>
      </c>
      <c r="B946" s="223" t="s">
        <v>2570</v>
      </c>
      <c r="C946" s="215"/>
      <c r="D946" s="215"/>
      <c r="E946" s="121"/>
      <c r="F946" s="131"/>
    </row>
    <row r="947" spans="1:6" s="8" customFormat="1" ht="13.2" x14ac:dyDescent="0.25">
      <c r="A947" s="230" t="s">
        <v>2571</v>
      </c>
      <c r="B947" s="223" t="s">
        <v>2572</v>
      </c>
      <c r="C947" s="215" t="s">
        <v>1011</v>
      </c>
      <c r="D947" s="52">
        <v>0</v>
      </c>
      <c r="E947" s="121">
        <f>Saisie!D947</f>
        <v>0</v>
      </c>
      <c r="F947" s="131">
        <f t="shared" si="69"/>
        <v>0</v>
      </c>
    </row>
    <row r="948" spans="1:6" s="43" customFormat="1" ht="13.2" x14ac:dyDescent="0.25">
      <c r="A948" s="230" t="s">
        <v>2573</v>
      </c>
      <c r="B948" s="223" t="s">
        <v>2574</v>
      </c>
      <c r="C948" s="215" t="s">
        <v>1011</v>
      </c>
      <c r="D948" s="52">
        <v>0</v>
      </c>
      <c r="E948" s="121">
        <f>Saisie!D948</f>
        <v>0</v>
      </c>
      <c r="F948" s="131">
        <f t="shared" si="69"/>
        <v>0</v>
      </c>
    </row>
    <row r="949" spans="1:6" s="43" customFormat="1" ht="13.2" x14ac:dyDescent="0.25">
      <c r="A949" s="230" t="s">
        <v>289</v>
      </c>
      <c r="B949" s="216" t="s">
        <v>2575</v>
      </c>
      <c r="C949" s="217"/>
      <c r="D949" s="132"/>
      <c r="E949" s="121"/>
      <c r="F949" s="131"/>
    </row>
    <row r="950" spans="1:6" s="43" customFormat="1" ht="13.2" x14ac:dyDescent="0.25">
      <c r="A950" s="230" t="s">
        <v>2576</v>
      </c>
      <c r="B950" s="216" t="s">
        <v>2577</v>
      </c>
      <c r="C950" s="217"/>
      <c r="D950" s="132"/>
      <c r="E950" s="121"/>
      <c r="F950" s="131"/>
    </row>
    <row r="951" spans="1:6" s="43" customFormat="1" ht="13.2" x14ac:dyDescent="0.25">
      <c r="A951" s="230" t="s">
        <v>2578</v>
      </c>
      <c r="B951" s="216" t="s">
        <v>2579</v>
      </c>
      <c r="C951" s="215" t="s">
        <v>1011</v>
      </c>
      <c r="D951" s="52">
        <v>0</v>
      </c>
      <c r="E951" s="121">
        <f>Saisie!D951</f>
        <v>0</v>
      </c>
      <c r="F951" s="131">
        <f t="shared" si="69"/>
        <v>0</v>
      </c>
    </row>
    <row r="952" spans="1:6" s="43" customFormat="1" ht="13.2" x14ac:dyDescent="0.25">
      <c r="A952" s="230" t="s">
        <v>2580</v>
      </c>
      <c r="B952" s="216" t="s">
        <v>2581</v>
      </c>
      <c r="C952" s="215" t="s">
        <v>1011</v>
      </c>
      <c r="D952" s="52">
        <v>0</v>
      </c>
      <c r="E952" s="121">
        <f>Saisie!D952</f>
        <v>0</v>
      </c>
      <c r="F952" s="131">
        <f t="shared" si="69"/>
        <v>0</v>
      </c>
    </row>
    <row r="953" spans="1:6" s="2" customFormat="1" ht="13.2" x14ac:dyDescent="0.25">
      <c r="A953" s="230" t="s">
        <v>2582</v>
      </c>
      <c r="B953" s="216" t="s">
        <v>2583</v>
      </c>
      <c r="C953" s="217" t="s">
        <v>1011</v>
      </c>
      <c r="D953" s="52">
        <v>0</v>
      </c>
      <c r="E953" s="121">
        <f>Saisie!D953</f>
        <v>0</v>
      </c>
      <c r="F953" s="131">
        <f t="shared" si="69"/>
        <v>0</v>
      </c>
    </row>
    <row r="954" spans="1:6" s="8" customFormat="1" ht="13.2" x14ac:dyDescent="0.25">
      <c r="A954" s="230" t="s">
        <v>2584</v>
      </c>
      <c r="B954" s="216" t="s">
        <v>2585</v>
      </c>
      <c r="C954" s="217" t="s">
        <v>1011</v>
      </c>
      <c r="D954" s="52">
        <v>0</v>
      </c>
      <c r="E954" s="121">
        <f>Saisie!D954</f>
        <v>0</v>
      </c>
      <c r="F954" s="131">
        <f t="shared" si="69"/>
        <v>0</v>
      </c>
    </row>
    <row r="955" spans="1:6" s="8" customFormat="1" ht="13.2" x14ac:dyDescent="0.25">
      <c r="A955" s="230" t="s">
        <v>2586</v>
      </c>
      <c r="B955" s="216" t="s">
        <v>2587</v>
      </c>
      <c r="C955" s="215" t="s">
        <v>1011</v>
      </c>
      <c r="D955" s="52">
        <v>0</v>
      </c>
      <c r="E955" s="121">
        <f>Saisie!D955</f>
        <v>0</v>
      </c>
      <c r="F955" s="131">
        <f t="shared" si="69"/>
        <v>0</v>
      </c>
    </row>
    <row r="956" spans="1:6" s="8" customFormat="1" ht="13.2" x14ac:dyDescent="0.25">
      <c r="A956" s="230" t="s">
        <v>2588</v>
      </c>
      <c r="B956" s="216" t="s">
        <v>2589</v>
      </c>
      <c r="C956" s="215" t="s">
        <v>1011</v>
      </c>
      <c r="D956" s="52">
        <v>0</v>
      </c>
      <c r="E956" s="121">
        <f>Saisie!D956</f>
        <v>0</v>
      </c>
      <c r="F956" s="131">
        <f t="shared" si="69"/>
        <v>0</v>
      </c>
    </row>
    <row r="957" spans="1:6" s="8" customFormat="1" ht="13.2" x14ac:dyDescent="0.25">
      <c r="A957" s="230" t="s">
        <v>2590</v>
      </c>
      <c r="B957" s="216" t="s">
        <v>2591</v>
      </c>
      <c r="C957" s="215" t="s">
        <v>1011</v>
      </c>
      <c r="D957" s="52">
        <v>0</v>
      </c>
      <c r="E957" s="121">
        <f>Saisie!D957</f>
        <v>0</v>
      </c>
      <c r="F957" s="131">
        <f t="shared" si="69"/>
        <v>0</v>
      </c>
    </row>
    <row r="958" spans="1:6" s="43" customFormat="1" ht="13.2" x14ac:dyDescent="0.25">
      <c r="A958" s="230" t="s">
        <v>2592</v>
      </c>
      <c r="B958" s="216" t="s">
        <v>2593</v>
      </c>
      <c r="C958" s="215" t="s">
        <v>1011</v>
      </c>
      <c r="D958" s="52">
        <v>0</v>
      </c>
      <c r="E958" s="121">
        <f>Saisie!D958</f>
        <v>0</v>
      </c>
      <c r="F958" s="131">
        <f t="shared" si="69"/>
        <v>0</v>
      </c>
    </row>
    <row r="959" spans="1:6" s="43" customFormat="1" ht="13.2" x14ac:dyDescent="0.25">
      <c r="A959" s="230" t="s">
        <v>2594</v>
      </c>
      <c r="B959" s="216" t="s">
        <v>2595</v>
      </c>
      <c r="C959" s="215" t="s">
        <v>1011</v>
      </c>
      <c r="D959" s="52">
        <v>0</v>
      </c>
      <c r="E959" s="121">
        <f>Saisie!D959</f>
        <v>0</v>
      </c>
      <c r="F959" s="131">
        <f t="shared" si="69"/>
        <v>0</v>
      </c>
    </row>
    <row r="960" spans="1:6" s="43" customFormat="1" ht="13.2" x14ac:dyDescent="0.25">
      <c r="A960" s="230" t="s">
        <v>2596</v>
      </c>
      <c r="B960" s="216" t="s">
        <v>2597</v>
      </c>
      <c r="C960" s="215"/>
      <c r="D960" s="215"/>
      <c r="E960" s="121"/>
      <c r="F960" s="131"/>
    </row>
    <row r="961" spans="1:6" s="43" customFormat="1" ht="13.2" x14ac:dyDescent="0.25">
      <c r="A961" s="230" t="s">
        <v>2598</v>
      </c>
      <c r="B961" s="216" t="s">
        <v>2599</v>
      </c>
      <c r="C961" s="215" t="s">
        <v>1011</v>
      </c>
      <c r="D961" s="52">
        <v>0</v>
      </c>
      <c r="E961" s="121">
        <f>Saisie!D961</f>
        <v>0</v>
      </c>
      <c r="F961" s="131">
        <f t="shared" si="69"/>
        <v>0</v>
      </c>
    </row>
    <row r="962" spans="1:6" s="43" customFormat="1" ht="13.2" x14ac:dyDescent="0.25">
      <c r="A962" s="230" t="s">
        <v>2600</v>
      </c>
      <c r="B962" s="216" t="s">
        <v>2601</v>
      </c>
      <c r="C962" s="215" t="s">
        <v>1011</v>
      </c>
      <c r="D962" s="52">
        <v>0</v>
      </c>
      <c r="E962" s="121">
        <f>Saisie!D962</f>
        <v>0</v>
      </c>
      <c r="F962" s="131">
        <f t="shared" si="69"/>
        <v>0</v>
      </c>
    </row>
    <row r="963" spans="1:6" s="43" customFormat="1" ht="13.2" x14ac:dyDescent="0.25">
      <c r="A963" s="230" t="s">
        <v>2602</v>
      </c>
      <c r="B963" s="216" t="s">
        <v>2603</v>
      </c>
      <c r="C963" s="215" t="s">
        <v>1011</v>
      </c>
      <c r="D963" s="52">
        <v>0</v>
      </c>
      <c r="E963" s="121">
        <f>Saisie!D963</f>
        <v>0</v>
      </c>
      <c r="F963" s="131">
        <f t="shared" si="69"/>
        <v>0</v>
      </c>
    </row>
    <row r="964" spans="1:6" s="43" customFormat="1" ht="13.2" x14ac:dyDescent="0.25">
      <c r="A964" s="230" t="s">
        <v>2604</v>
      </c>
      <c r="B964" s="216" t="s">
        <v>2605</v>
      </c>
      <c r="C964" s="217"/>
      <c r="D964" s="132"/>
      <c r="E964" s="121"/>
      <c r="F964" s="131"/>
    </row>
    <row r="965" spans="1:6" s="43" customFormat="1" ht="13.2" x14ac:dyDescent="0.25">
      <c r="A965" s="230" t="s">
        <v>2606</v>
      </c>
      <c r="B965" s="216" t="s">
        <v>2607</v>
      </c>
      <c r="C965" s="215" t="s">
        <v>1011</v>
      </c>
      <c r="D965" s="52">
        <v>0</v>
      </c>
      <c r="E965" s="121">
        <f>Saisie!D965</f>
        <v>0</v>
      </c>
      <c r="F965" s="131">
        <f t="shared" si="69"/>
        <v>0</v>
      </c>
    </row>
    <row r="966" spans="1:6" s="43" customFormat="1" ht="13.2" x14ac:dyDescent="0.25">
      <c r="A966" s="230" t="s">
        <v>2608</v>
      </c>
      <c r="B966" s="216" t="s">
        <v>2609</v>
      </c>
      <c r="C966" s="215" t="s">
        <v>1011</v>
      </c>
      <c r="D966" s="52">
        <v>0</v>
      </c>
      <c r="E966" s="121">
        <f>Saisie!D966</f>
        <v>0</v>
      </c>
      <c r="F966" s="131">
        <f t="shared" si="69"/>
        <v>0</v>
      </c>
    </row>
    <row r="967" spans="1:6" s="43" customFormat="1" ht="13.2" x14ac:dyDescent="0.25">
      <c r="A967" s="230" t="s">
        <v>290</v>
      </c>
      <c r="B967" s="216" t="s">
        <v>2610</v>
      </c>
      <c r="C967" s="215"/>
      <c r="D967" s="215"/>
      <c r="E967" s="121"/>
      <c r="F967" s="131"/>
    </row>
    <row r="968" spans="1:6" s="43" customFormat="1" ht="13.2" x14ac:dyDescent="0.25">
      <c r="A968" s="230" t="s">
        <v>2611</v>
      </c>
      <c r="B968" s="216" t="s">
        <v>2612</v>
      </c>
      <c r="C968" s="217"/>
      <c r="D968" s="132"/>
      <c r="E968" s="121"/>
      <c r="F968" s="131"/>
    </row>
    <row r="969" spans="1:6" s="43" customFormat="1" ht="13.2" x14ac:dyDescent="0.25">
      <c r="A969" s="230" t="s">
        <v>2606</v>
      </c>
      <c r="B969" s="216" t="s">
        <v>2506</v>
      </c>
      <c r="C969" s="215" t="s">
        <v>1011</v>
      </c>
      <c r="D969" s="52">
        <v>0</v>
      </c>
      <c r="E969" s="121">
        <f>Saisie!D969</f>
        <v>0</v>
      </c>
      <c r="F969" s="131">
        <f t="shared" si="69"/>
        <v>0</v>
      </c>
    </row>
    <row r="970" spans="1:6" s="43" customFormat="1" ht="13.2" x14ac:dyDescent="0.25">
      <c r="A970" s="230" t="s">
        <v>2608</v>
      </c>
      <c r="B970" s="216" t="s">
        <v>2508</v>
      </c>
      <c r="C970" s="215" t="s">
        <v>1011</v>
      </c>
      <c r="D970" s="52">
        <v>0</v>
      </c>
      <c r="E970" s="121">
        <f>Saisie!D970</f>
        <v>0</v>
      </c>
      <c r="F970" s="131">
        <f t="shared" si="69"/>
        <v>0</v>
      </c>
    </row>
    <row r="971" spans="1:6" s="43" customFormat="1" ht="13.2" x14ac:dyDescent="0.25">
      <c r="A971" s="230" t="s">
        <v>2613</v>
      </c>
      <c r="B971" s="216" t="s">
        <v>2614</v>
      </c>
      <c r="C971" s="217" t="s">
        <v>1011</v>
      </c>
      <c r="D971" s="52">
        <v>0</v>
      </c>
      <c r="E971" s="121">
        <f>Saisie!D971</f>
        <v>0</v>
      </c>
      <c r="F971" s="131">
        <f t="shared" si="69"/>
        <v>0</v>
      </c>
    </row>
    <row r="972" spans="1:6" s="43" customFormat="1" ht="13.2" x14ac:dyDescent="0.25">
      <c r="A972" s="230" t="s">
        <v>2615</v>
      </c>
      <c r="B972" s="216" t="s">
        <v>2616</v>
      </c>
      <c r="C972" s="217" t="s">
        <v>1011</v>
      </c>
      <c r="D972" s="52">
        <v>0</v>
      </c>
      <c r="E972" s="121">
        <f>Saisie!D972</f>
        <v>0</v>
      </c>
      <c r="F972" s="131">
        <f t="shared" si="69"/>
        <v>0</v>
      </c>
    </row>
    <row r="973" spans="1:6" s="43" customFormat="1" ht="26.4" x14ac:dyDescent="0.25">
      <c r="A973" s="230" t="s">
        <v>2617</v>
      </c>
      <c r="B973" s="216" t="s">
        <v>2618</v>
      </c>
      <c r="C973" s="215" t="s">
        <v>1011</v>
      </c>
      <c r="D973" s="52">
        <v>0</v>
      </c>
      <c r="E973" s="121">
        <f>Saisie!D973</f>
        <v>0</v>
      </c>
      <c r="F973" s="131">
        <f t="shared" si="69"/>
        <v>0</v>
      </c>
    </row>
    <row r="974" spans="1:6" s="43" customFormat="1" ht="26.4" x14ac:dyDescent="0.25">
      <c r="A974" s="230" t="s">
        <v>2619</v>
      </c>
      <c r="B974" s="216" t="s">
        <v>2620</v>
      </c>
      <c r="C974" s="215" t="s">
        <v>1011</v>
      </c>
      <c r="D974" s="52">
        <v>0</v>
      </c>
      <c r="E974" s="121">
        <f>Saisie!D974</f>
        <v>0</v>
      </c>
      <c r="F974" s="131">
        <f t="shared" si="69"/>
        <v>0</v>
      </c>
    </row>
    <row r="975" spans="1:6" s="43" customFormat="1" ht="26.4" x14ac:dyDescent="0.25">
      <c r="A975" s="230" t="s">
        <v>2621</v>
      </c>
      <c r="B975" s="216" t="s">
        <v>2622</v>
      </c>
      <c r="C975" s="215" t="s">
        <v>1011</v>
      </c>
      <c r="D975" s="52">
        <v>0</v>
      </c>
      <c r="E975" s="121">
        <f>Saisie!D975</f>
        <v>0</v>
      </c>
      <c r="F975" s="131">
        <f t="shared" si="69"/>
        <v>0</v>
      </c>
    </row>
    <row r="976" spans="1:6" s="8" customFormat="1" ht="13.2" x14ac:dyDescent="0.25">
      <c r="A976" s="230" t="s">
        <v>291</v>
      </c>
      <c r="B976" s="216" t="s">
        <v>2623</v>
      </c>
      <c r="C976" s="215"/>
      <c r="D976" s="215"/>
      <c r="E976" s="121"/>
      <c r="F976" s="131"/>
    </row>
    <row r="977" spans="1:6" s="8" customFormat="1" ht="13.2" x14ac:dyDescent="0.25">
      <c r="A977" s="230" t="s">
        <v>2624</v>
      </c>
      <c r="B977" s="216" t="s">
        <v>2625</v>
      </c>
      <c r="C977" s="215" t="s">
        <v>1011</v>
      </c>
      <c r="D977" s="52">
        <v>0</v>
      </c>
      <c r="E977" s="121">
        <f>Saisie!D977</f>
        <v>0</v>
      </c>
      <c r="F977" s="131">
        <f t="shared" si="69"/>
        <v>0</v>
      </c>
    </row>
    <row r="978" spans="1:6" s="8" customFormat="1" ht="13.2" x14ac:dyDescent="0.25">
      <c r="A978" s="230" t="s">
        <v>2626</v>
      </c>
      <c r="B978" s="216" t="s">
        <v>2627</v>
      </c>
      <c r="C978" s="215" t="s">
        <v>1011</v>
      </c>
      <c r="D978" s="52">
        <v>0</v>
      </c>
      <c r="E978" s="121">
        <f>Saisie!D978</f>
        <v>0</v>
      </c>
      <c r="F978" s="131">
        <f t="shared" si="69"/>
        <v>0</v>
      </c>
    </row>
    <row r="979" spans="1:6" s="8" customFormat="1" ht="26.4" x14ac:dyDescent="0.25">
      <c r="A979" s="230" t="s">
        <v>2628</v>
      </c>
      <c r="B979" s="216" t="s">
        <v>2629</v>
      </c>
      <c r="C979" s="215" t="s">
        <v>1011</v>
      </c>
      <c r="D979" s="52">
        <v>0</v>
      </c>
      <c r="E979" s="121">
        <f>Saisie!D979</f>
        <v>0</v>
      </c>
      <c r="F979" s="131">
        <f t="shared" si="69"/>
        <v>0</v>
      </c>
    </row>
    <row r="980" spans="1:6" s="43" customFormat="1" ht="13.2" x14ac:dyDescent="0.25">
      <c r="A980" s="230" t="s">
        <v>2630</v>
      </c>
      <c r="B980" s="216" t="s">
        <v>2631</v>
      </c>
      <c r="C980" s="217" t="s">
        <v>1011</v>
      </c>
      <c r="D980" s="52">
        <v>0</v>
      </c>
      <c r="E980" s="121">
        <f>Saisie!D980</f>
        <v>0</v>
      </c>
      <c r="F980" s="131">
        <f t="shared" si="69"/>
        <v>0</v>
      </c>
    </row>
    <row r="981" spans="1:6" s="43" customFormat="1" ht="13.2" x14ac:dyDescent="0.25">
      <c r="A981" s="230" t="s">
        <v>2632</v>
      </c>
      <c r="B981" s="216" t="s">
        <v>2633</v>
      </c>
      <c r="C981" s="215" t="s">
        <v>1011</v>
      </c>
      <c r="D981" s="52">
        <v>0</v>
      </c>
      <c r="E981" s="121">
        <f>Saisie!D981</f>
        <v>0</v>
      </c>
      <c r="F981" s="131">
        <f t="shared" si="69"/>
        <v>0</v>
      </c>
    </row>
    <row r="982" spans="1:6" s="43" customFormat="1" ht="13.2" x14ac:dyDescent="0.25">
      <c r="A982" s="133" t="s">
        <v>2634</v>
      </c>
      <c r="B982" s="4" t="s">
        <v>2635</v>
      </c>
      <c r="C982" s="215"/>
      <c r="D982" s="215"/>
      <c r="E982" s="121"/>
      <c r="F982" s="131"/>
    </row>
    <row r="983" spans="1:6" s="43" customFormat="1" ht="13.2" x14ac:dyDescent="0.25">
      <c r="A983" s="230" t="s">
        <v>2636</v>
      </c>
      <c r="B983" s="216" t="s">
        <v>2637</v>
      </c>
      <c r="C983" s="215"/>
      <c r="D983" s="215"/>
      <c r="E983" s="121"/>
      <c r="F983" s="131"/>
    </row>
    <row r="984" spans="1:6" s="43" customFormat="1" ht="26.4" x14ac:dyDescent="0.25">
      <c r="A984" s="230" t="s">
        <v>2638</v>
      </c>
      <c r="B984" s="216" t="s">
        <v>2639</v>
      </c>
      <c r="C984" s="215" t="s">
        <v>1011</v>
      </c>
      <c r="D984" s="52">
        <v>0</v>
      </c>
      <c r="E984" s="121">
        <f>Saisie!D984</f>
        <v>0</v>
      </c>
      <c r="F984" s="131">
        <f t="shared" si="69"/>
        <v>0</v>
      </c>
    </row>
    <row r="985" spans="1:6" s="43" customFormat="1" ht="13.2" x14ac:dyDescent="0.25">
      <c r="A985" s="230" t="s">
        <v>2640</v>
      </c>
      <c r="B985" s="216" t="s">
        <v>2641</v>
      </c>
      <c r="C985" s="215" t="s">
        <v>1011</v>
      </c>
      <c r="D985" s="52">
        <v>0</v>
      </c>
      <c r="E985" s="121">
        <f>Saisie!D985</f>
        <v>0</v>
      </c>
      <c r="F985" s="131">
        <f t="shared" si="69"/>
        <v>0</v>
      </c>
    </row>
    <row r="986" spans="1:6" s="43" customFormat="1" ht="13.2" x14ac:dyDescent="0.25">
      <c r="A986" s="230" t="s">
        <v>2642</v>
      </c>
      <c r="B986" s="216" t="s">
        <v>2643</v>
      </c>
      <c r="C986" s="217" t="s">
        <v>1034</v>
      </c>
      <c r="D986" s="52">
        <v>0</v>
      </c>
      <c r="E986" s="121">
        <f>Saisie!D986</f>
        <v>0</v>
      </c>
      <c r="F986" s="131">
        <f t="shared" si="69"/>
        <v>0</v>
      </c>
    </row>
    <row r="987" spans="1:6" s="43" customFormat="1" ht="13.2" x14ac:dyDescent="0.25">
      <c r="A987" s="230" t="s">
        <v>2644</v>
      </c>
      <c r="B987" s="216" t="s">
        <v>2645</v>
      </c>
      <c r="C987" s="217" t="s">
        <v>1011</v>
      </c>
      <c r="D987" s="52">
        <v>0</v>
      </c>
      <c r="E987" s="121">
        <f>Saisie!D987</f>
        <v>0</v>
      </c>
      <c r="F987" s="131">
        <f t="shared" si="69"/>
        <v>0</v>
      </c>
    </row>
    <row r="988" spans="1:6" s="43" customFormat="1" ht="13.2" x14ac:dyDescent="0.25">
      <c r="A988" s="230" t="s">
        <v>299</v>
      </c>
      <c r="B988" s="216" t="s">
        <v>2646</v>
      </c>
      <c r="C988" s="215"/>
      <c r="D988" s="215"/>
      <c r="E988" s="121"/>
      <c r="F988" s="131"/>
    </row>
    <row r="989" spans="1:6" s="43" customFormat="1" ht="13.2" x14ac:dyDescent="0.25">
      <c r="A989" s="230" t="s">
        <v>2647</v>
      </c>
      <c r="B989" s="216" t="s">
        <v>2648</v>
      </c>
      <c r="C989" s="215" t="s">
        <v>1011</v>
      </c>
      <c r="D989" s="52">
        <v>0</v>
      </c>
      <c r="E989" s="121">
        <f>Saisie!D989</f>
        <v>0</v>
      </c>
      <c r="F989" s="131">
        <f t="shared" si="69"/>
        <v>0</v>
      </c>
    </row>
    <row r="990" spans="1:6" s="43" customFormat="1" ht="13.2" x14ac:dyDescent="0.25">
      <c r="A990" s="230" t="s">
        <v>2649</v>
      </c>
      <c r="B990" s="216" t="s">
        <v>2650</v>
      </c>
      <c r="C990" s="215" t="s">
        <v>1011</v>
      </c>
      <c r="D990" s="52">
        <v>0</v>
      </c>
      <c r="E990" s="121">
        <f>Saisie!D990</f>
        <v>0</v>
      </c>
      <c r="F990" s="131">
        <f t="shared" si="69"/>
        <v>0</v>
      </c>
    </row>
    <row r="991" spans="1:6" s="43" customFormat="1" ht="13.2" x14ac:dyDescent="0.25">
      <c r="A991" s="230" t="s">
        <v>2651</v>
      </c>
      <c r="B991" s="216" t="s">
        <v>2652</v>
      </c>
      <c r="C991" s="215"/>
      <c r="D991" s="215"/>
      <c r="E991" s="121"/>
      <c r="F991" s="131"/>
    </row>
    <row r="992" spans="1:6" s="8" customFormat="1" ht="13.2" x14ac:dyDescent="0.25">
      <c r="A992" s="230" t="s">
        <v>2653</v>
      </c>
      <c r="B992" s="216" t="s">
        <v>2654</v>
      </c>
      <c r="C992" s="217" t="s">
        <v>1011</v>
      </c>
      <c r="D992" s="52">
        <v>0</v>
      </c>
      <c r="E992" s="121">
        <f>Saisie!D992</f>
        <v>0</v>
      </c>
      <c r="F992" s="131">
        <f t="shared" ref="F992:F1057" si="70">D992*E992</f>
        <v>0</v>
      </c>
    </row>
    <row r="993" spans="1:6" s="43" customFormat="1" ht="13.2" x14ac:dyDescent="0.25">
      <c r="A993" s="230" t="s">
        <v>2655</v>
      </c>
      <c r="B993" s="216" t="s">
        <v>2656</v>
      </c>
      <c r="C993" s="215" t="s">
        <v>1011</v>
      </c>
      <c r="D993" s="52">
        <v>0</v>
      </c>
      <c r="E993" s="121">
        <f>Saisie!D993</f>
        <v>0</v>
      </c>
      <c r="F993" s="131">
        <f t="shared" si="70"/>
        <v>0</v>
      </c>
    </row>
    <row r="994" spans="1:6" s="43" customFormat="1" ht="13.2" x14ac:dyDescent="0.25">
      <c r="A994" s="230" t="s">
        <v>2657</v>
      </c>
      <c r="B994" s="216" t="s">
        <v>2658</v>
      </c>
      <c r="C994" s="215" t="s">
        <v>1011</v>
      </c>
      <c r="D994" s="52">
        <v>0</v>
      </c>
      <c r="E994" s="121">
        <f>Saisie!D994</f>
        <v>0</v>
      </c>
      <c r="F994" s="131">
        <f t="shared" si="70"/>
        <v>0</v>
      </c>
    </row>
    <row r="995" spans="1:6" s="43" customFormat="1" ht="13.2" x14ac:dyDescent="0.25">
      <c r="A995" s="230" t="s">
        <v>2659</v>
      </c>
      <c r="B995" s="216" t="s">
        <v>2660</v>
      </c>
      <c r="C995" s="217" t="s">
        <v>1011</v>
      </c>
      <c r="D995" s="52">
        <v>0</v>
      </c>
      <c r="E995" s="121">
        <f>Saisie!D995</f>
        <v>0</v>
      </c>
      <c r="F995" s="131">
        <f t="shared" si="70"/>
        <v>0</v>
      </c>
    </row>
    <row r="996" spans="1:6" s="43" customFormat="1" ht="13.2" x14ac:dyDescent="0.25">
      <c r="A996" s="230" t="s">
        <v>2661</v>
      </c>
      <c r="B996" s="216" t="s">
        <v>2662</v>
      </c>
      <c r="C996" s="215" t="s">
        <v>1011</v>
      </c>
      <c r="D996" s="52">
        <v>0</v>
      </c>
      <c r="E996" s="121">
        <f>Saisie!D996</f>
        <v>0</v>
      </c>
      <c r="F996" s="131">
        <f t="shared" si="70"/>
        <v>0</v>
      </c>
    </row>
    <row r="997" spans="1:6" s="43" customFormat="1" ht="13.2" x14ac:dyDescent="0.25">
      <c r="A997" s="230" t="s">
        <v>2663</v>
      </c>
      <c r="B997" s="216" t="s">
        <v>2664</v>
      </c>
      <c r="C997" s="215" t="s">
        <v>1011</v>
      </c>
      <c r="D997" s="52">
        <v>0</v>
      </c>
      <c r="E997" s="121">
        <f>Saisie!D997</f>
        <v>0</v>
      </c>
      <c r="F997" s="131">
        <f t="shared" si="70"/>
        <v>0</v>
      </c>
    </row>
    <row r="998" spans="1:6" s="43" customFormat="1" ht="13.2" x14ac:dyDescent="0.25">
      <c r="A998" s="230" t="s">
        <v>2665</v>
      </c>
      <c r="B998" s="216" t="s">
        <v>2666</v>
      </c>
      <c r="C998" s="215" t="s">
        <v>1011</v>
      </c>
      <c r="D998" s="52">
        <v>0</v>
      </c>
      <c r="E998" s="121">
        <f>Saisie!D998</f>
        <v>0</v>
      </c>
      <c r="F998" s="131">
        <f t="shared" si="70"/>
        <v>0</v>
      </c>
    </row>
    <row r="999" spans="1:6" s="43" customFormat="1" ht="13.2" x14ac:dyDescent="0.25">
      <c r="A999" s="230" t="s">
        <v>2667</v>
      </c>
      <c r="B999" s="216" t="s">
        <v>2668</v>
      </c>
      <c r="C999" s="215" t="s">
        <v>1011</v>
      </c>
      <c r="D999" s="52">
        <v>0</v>
      </c>
      <c r="E999" s="121">
        <f>Saisie!D999</f>
        <v>0</v>
      </c>
      <c r="F999" s="131">
        <f t="shared" si="70"/>
        <v>0</v>
      </c>
    </row>
    <row r="1000" spans="1:6" s="43" customFormat="1" ht="13.2" x14ac:dyDescent="0.25">
      <c r="A1000" s="230" t="s">
        <v>2669</v>
      </c>
      <c r="B1000" s="216" t="s">
        <v>2670</v>
      </c>
      <c r="C1000" s="215" t="s">
        <v>1011</v>
      </c>
      <c r="D1000" s="52">
        <v>0</v>
      </c>
      <c r="E1000" s="121">
        <f>Saisie!D1000</f>
        <v>0</v>
      </c>
      <c r="F1000" s="131">
        <f t="shared" si="70"/>
        <v>0</v>
      </c>
    </row>
    <row r="1001" spans="1:6" s="43" customFormat="1" ht="13.2" x14ac:dyDescent="0.25">
      <c r="A1001" s="230" t="s">
        <v>2671</v>
      </c>
      <c r="B1001" s="216" t="s">
        <v>2672</v>
      </c>
      <c r="C1001" s="215" t="s">
        <v>1011</v>
      </c>
      <c r="D1001" s="52">
        <v>0</v>
      </c>
      <c r="E1001" s="121">
        <f>Saisie!D1001</f>
        <v>0</v>
      </c>
      <c r="F1001" s="131">
        <f t="shared" si="70"/>
        <v>0</v>
      </c>
    </row>
    <row r="1002" spans="1:6" s="43" customFormat="1" ht="13.2" x14ac:dyDescent="0.25">
      <c r="A1002" s="230" t="s">
        <v>2673</v>
      </c>
      <c r="B1002" s="216" t="s">
        <v>2674</v>
      </c>
      <c r="C1002" s="215" t="s">
        <v>1011</v>
      </c>
      <c r="D1002" s="52">
        <v>0</v>
      </c>
      <c r="E1002" s="121">
        <f>Saisie!D1002</f>
        <v>0</v>
      </c>
      <c r="F1002" s="131">
        <f t="shared" si="70"/>
        <v>0</v>
      </c>
    </row>
    <row r="1003" spans="1:6" s="43" customFormat="1" ht="13.2" x14ac:dyDescent="0.25">
      <c r="A1003" s="230" t="s">
        <v>2675</v>
      </c>
      <c r="B1003" s="216" t="s">
        <v>2676</v>
      </c>
      <c r="C1003" s="215" t="s">
        <v>1011</v>
      </c>
      <c r="D1003" s="52">
        <v>0</v>
      </c>
      <c r="E1003" s="121">
        <f>Saisie!D1003</f>
        <v>0</v>
      </c>
      <c r="F1003" s="131">
        <f t="shared" si="70"/>
        <v>0</v>
      </c>
    </row>
    <row r="1004" spans="1:6" s="43" customFormat="1" ht="13.2" x14ac:dyDescent="0.25">
      <c r="A1004" s="230" t="s">
        <v>2677</v>
      </c>
      <c r="B1004" s="216" t="s">
        <v>2678</v>
      </c>
      <c r="C1004" s="215" t="s">
        <v>1011</v>
      </c>
      <c r="D1004" s="52">
        <v>0</v>
      </c>
      <c r="E1004" s="121">
        <f>Saisie!D1004</f>
        <v>0</v>
      </c>
      <c r="F1004" s="131">
        <f t="shared" si="70"/>
        <v>0</v>
      </c>
    </row>
    <row r="1005" spans="1:6" s="8" customFormat="1" ht="13.2" x14ac:dyDescent="0.25">
      <c r="A1005" s="230" t="s">
        <v>2679</v>
      </c>
      <c r="B1005" s="216" t="s">
        <v>2680</v>
      </c>
      <c r="C1005" s="215"/>
      <c r="D1005" s="215"/>
      <c r="E1005" s="121"/>
      <c r="F1005" s="131"/>
    </row>
    <row r="1006" spans="1:6" s="43" customFormat="1" ht="26.4" x14ac:dyDescent="0.25">
      <c r="A1006" s="230" t="s">
        <v>2681</v>
      </c>
      <c r="B1006" s="216" t="s">
        <v>2682</v>
      </c>
      <c r="C1006" s="215" t="s">
        <v>1011</v>
      </c>
      <c r="D1006" s="52">
        <v>0</v>
      </c>
      <c r="E1006" s="121">
        <f>Saisie!D1006</f>
        <v>0</v>
      </c>
      <c r="F1006" s="131">
        <f t="shared" si="70"/>
        <v>0</v>
      </c>
    </row>
    <row r="1007" spans="1:6" s="43" customFormat="1" ht="26.4" x14ac:dyDescent="0.25">
      <c r="A1007" s="230" t="s">
        <v>2683</v>
      </c>
      <c r="B1007" s="216" t="s">
        <v>2684</v>
      </c>
      <c r="C1007" s="215" t="s">
        <v>1011</v>
      </c>
      <c r="D1007" s="52">
        <v>0</v>
      </c>
      <c r="E1007" s="121">
        <f>Saisie!D1007</f>
        <v>0</v>
      </c>
      <c r="F1007" s="131">
        <f t="shared" si="70"/>
        <v>0</v>
      </c>
    </row>
    <row r="1008" spans="1:6" s="43" customFormat="1" ht="13.2" x14ac:dyDescent="0.25">
      <c r="A1008" s="230" t="s">
        <v>2685</v>
      </c>
      <c r="B1008" s="216" t="s">
        <v>2686</v>
      </c>
      <c r="C1008" s="215"/>
      <c r="D1008" s="215"/>
      <c r="E1008" s="121"/>
      <c r="F1008" s="131"/>
    </row>
    <row r="1009" spans="1:7" s="8" customFormat="1" ht="13.2" x14ac:dyDescent="0.25">
      <c r="A1009" s="230" t="s">
        <v>2687</v>
      </c>
      <c r="B1009" s="216" t="s">
        <v>2688</v>
      </c>
      <c r="C1009" s="217" t="s">
        <v>1011</v>
      </c>
      <c r="D1009" s="52">
        <v>0</v>
      </c>
      <c r="E1009" s="121">
        <f>Saisie!D1009</f>
        <v>0</v>
      </c>
      <c r="F1009" s="131">
        <f t="shared" si="70"/>
        <v>0</v>
      </c>
    </row>
    <row r="1010" spans="1:7" s="8" customFormat="1" ht="13.2" x14ac:dyDescent="0.25">
      <c r="A1010" s="230" t="s">
        <v>2689</v>
      </c>
      <c r="B1010" s="216" t="s">
        <v>2690</v>
      </c>
      <c r="C1010" s="215" t="s">
        <v>1011</v>
      </c>
      <c r="D1010" s="52">
        <v>0</v>
      </c>
      <c r="E1010" s="121">
        <f>Saisie!D1010</f>
        <v>0</v>
      </c>
      <c r="F1010" s="131">
        <f t="shared" si="70"/>
        <v>0</v>
      </c>
    </row>
    <row r="1011" spans="1:7" s="43" customFormat="1" ht="13.2" x14ac:dyDescent="0.25">
      <c r="A1011" s="230" t="s">
        <v>2691</v>
      </c>
      <c r="B1011" s="216" t="s">
        <v>2692</v>
      </c>
      <c r="C1011" s="215" t="s">
        <v>1011</v>
      </c>
      <c r="D1011" s="52">
        <v>0</v>
      </c>
      <c r="E1011" s="121">
        <f>Saisie!D1011</f>
        <v>0</v>
      </c>
      <c r="F1011" s="131">
        <f t="shared" si="70"/>
        <v>0</v>
      </c>
    </row>
    <row r="1012" spans="1:7" s="43" customFormat="1" ht="13.2" x14ac:dyDescent="0.25">
      <c r="A1012" s="230" t="s">
        <v>2693</v>
      </c>
      <c r="B1012" s="216" t="s">
        <v>2694</v>
      </c>
      <c r="C1012" s="217" t="s">
        <v>1011</v>
      </c>
      <c r="D1012" s="52">
        <v>0</v>
      </c>
      <c r="E1012" s="121">
        <f>Saisie!D1012</f>
        <v>0</v>
      </c>
      <c r="F1012" s="131">
        <f t="shared" si="70"/>
        <v>0</v>
      </c>
    </row>
    <row r="1013" spans="1:7" s="43" customFormat="1" ht="13.2" x14ac:dyDescent="0.25">
      <c r="A1013" s="230" t="s">
        <v>2695</v>
      </c>
      <c r="B1013" s="216" t="s">
        <v>2696</v>
      </c>
      <c r="C1013" s="215" t="s">
        <v>1011</v>
      </c>
      <c r="D1013" s="52">
        <v>0</v>
      </c>
      <c r="E1013" s="121">
        <f>Saisie!D1013</f>
        <v>0</v>
      </c>
      <c r="F1013" s="131">
        <f t="shared" si="70"/>
        <v>0</v>
      </c>
    </row>
    <row r="1014" spans="1:7" s="43" customFormat="1" ht="13.2" x14ac:dyDescent="0.25">
      <c r="A1014" s="230" t="s">
        <v>2697</v>
      </c>
      <c r="B1014" s="216" t="s">
        <v>2698</v>
      </c>
      <c r="C1014" s="215" t="s">
        <v>1011</v>
      </c>
      <c r="D1014" s="52">
        <v>0</v>
      </c>
      <c r="E1014" s="121">
        <f>Saisie!D1014</f>
        <v>0</v>
      </c>
      <c r="F1014" s="131">
        <f t="shared" si="70"/>
        <v>0</v>
      </c>
    </row>
    <row r="1015" spans="1:7" s="43" customFormat="1" ht="13.2" x14ac:dyDescent="0.25">
      <c r="A1015" s="230" t="s">
        <v>2699</v>
      </c>
      <c r="B1015" s="216" t="s">
        <v>2700</v>
      </c>
      <c r="C1015" s="215" t="s">
        <v>1011</v>
      </c>
      <c r="D1015" s="52">
        <v>0</v>
      </c>
      <c r="E1015" s="121">
        <f>Saisie!D1015</f>
        <v>0</v>
      </c>
      <c r="F1015" s="131">
        <f t="shared" si="70"/>
        <v>0</v>
      </c>
    </row>
    <row r="1016" spans="1:7" s="43" customFormat="1" ht="13.2" x14ac:dyDescent="0.25">
      <c r="A1016" s="230" t="s">
        <v>2701</v>
      </c>
      <c r="B1016" s="216" t="s">
        <v>2702</v>
      </c>
      <c r="C1016" s="215" t="s">
        <v>1011</v>
      </c>
      <c r="D1016" s="52">
        <v>0</v>
      </c>
      <c r="E1016" s="121">
        <f>Saisie!D1016</f>
        <v>0</v>
      </c>
      <c r="F1016" s="131">
        <f t="shared" si="70"/>
        <v>0</v>
      </c>
    </row>
    <row r="1017" spans="1:7" s="43" customFormat="1" ht="13.2" x14ac:dyDescent="0.25">
      <c r="A1017" s="230" t="s">
        <v>2703</v>
      </c>
      <c r="B1017" s="216" t="s">
        <v>2704</v>
      </c>
      <c r="C1017" s="215" t="s">
        <v>1011</v>
      </c>
      <c r="D1017" s="52">
        <v>0</v>
      </c>
      <c r="E1017" s="121">
        <f>Saisie!D1017</f>
        <v>0</v>
      </c>
      <c r="F1017" s="131">
        <f t="shared" si="70"/>
        <v>0</v>
      </c>
    </row>
    <row r="1018" spans="1:7" s="8" customFormat="1" ht="13.2" x14ac:dyDescent="0.25">
      <c r="A1018" s="230" t="s">
        <v>2705</v>
      </c>
      <c r="B1018" s="216" t="s">
        <v>2706</v>
      </c>
      <c r="C1018" s="215" t="s">
        <v>1011</v>
      </c>
      <c r="D1018" s="52">
        <v>0</v>
      </c>
      <c r="E1018" s="121">
        <f>Saisie!D1018</f>
        <v>0</v>
      </c>
      <c r="F1018" s="131">
        <f t="shared" si="70"/>
        <v>0</v>
      </c>
    </row>
    <row r="1019" spans="1:7" s="8" customFormat="1" ht="13.2" x14ac:dyDescent="0.25">
      <c r="A1019" s="230" t="s">
        <v>2707</v>
      </c>
      <c r="B1019" s="216" t="s">
        <v>2708</v>
      </c>
      <c r="C1019" s="215" t="s">
        <v>1011</v>
      </c>
      <c r="D1019" s="52">
        <v>0</v>
      </c>
      <c r="E1019" s="121">
        <f>Saisie!D1019</f>
        <v>0</v>
      </c>
      <c r="F1019" s="131">
        <f t="shared" si="70"/>
        <v>0</v>
      </c>
    </row>
    <row r="1020" spans="1:7" s="8" customFormat="1" ht="13.2" x14ac:dyDescent="0.25">
      <c r="A1020" s="230" t="s">
        <v>2709</v>
      </c>
      <c r="B1020" s="216" t="s">
        <v>2710</v>
      </c>
      <c r="C1020" s="215" t="s">
        <v>1011</v>
      </c>
      <c r="D1020" s="52">
        <v>0</v>
      </c>
      <c r="E1020" s="121">
        <f>Saisie!D1020</f>
        <v>0</v>
      </c>
      <c r="F1020" s="131">
        <f t="shared" si="70"/>
        <v>0</v>
      </c>
    </row>
    <row r="1021" spans="1:7" s="43" customFormat="1" ht="13.2" x14ac:dyDescent="0.25">
      <c r="A1021" s="230" t="s">
        <v>2711</v>
      </c>
      <c r="B1021" s="216" t="s">
        <v>2712</v>
      </c>
      <c r="C1021" s="215" t="s">
        <v>1011</v>
      </c>
      <c r="D1021" s="52">
        <v>0</v>
      </c>
      <c r="E1021" s="121">
        <f>Saisie!D1021</f>
        <v>0</v>
      </c>
      <c r="F1021" s="131">
        <f t="shared" si="70"/>
        <v>0</v>
      </c>
      <c r="G1021" s="52"/>
    </row>
    <row r="1022" spans="1:7" s="43" customFormat="1" ht="24.75" customHeight="1" x14ac:dyDescent="0.25">
      <c r="A1022" s="230" t="s">
        <v>2713</v>
      </c>
      <c r="B1022" s="216" t="s">
        <v>2714</v>
      </c>
      <c r="C1022" s="215" t="s">
        <v>1011</v>
      </c>
      <c r="D1022" s="52">
        <v>0</v>
      </c>
      <c r="E1022" s="121">
        <f>Saisie!D1022</f>
        <v>0</v>
      </c>
      <c r="F1022" s="131">
        <f t="shared" ref="F1022" si="71">D1022*E1022</f>
        <v>0</v>
      </c>
      <c r="G1022" s="52"/>
    </row>
    <row r="1023" spans="1:7" s="43" customFormat="1" ht="26.4" x14ac:dyDescent="0.25">
      <c r="A1023" s="230" t="s">
        <v>2715</v>
      </c>
      <c r="B1023" s="216" t="s">
        <v>2716</v>
      </c>
      <c r="C1023" s="215"/>
      <c r="D1023" s="215"/>
      <c r="E1023" s="121"/>
      <c r="F1023" s="131"/>
      <c r="G1023" s="52"/>
    </row>
    <row r="1024" spans="1:7" s="43" customFormat="1" ht="13.2" x14ac:dyDescent="0.25">
      <c r="A1024" s="230" t="s">
        <v>2717</v>
      </c>
      <c r="B1024" s="216" t="s">
        <v>2718</v>
      </c>
      <c r="C1024" s="215" t="s">
        <v>1034</v>
      </c>
      <c r="D1024" s="52">
        <v>0</v>
      </c>
      <c r="E1024" s="121">
        <f>Saisie!D1024</f>
        <v>0</v>
      </c>
      <c r="F1024" s="131">
        <f t="shared" si="70"/>
        <v>0</v>
      </c>
      <c r="G1024" s="52"/>
    </row>
    <row r="1025" spans="1:7" s="43" customFormat="1" ht="13.2" x14ac:dyDescent="0.25">
      <c r="A1025" s="230" t="s">
        <v>2719</v>
      </c>
      <c r="B1025" s="216" t="s">
        <v>2720</v>
      </c>
      <c r="C1025" s="215" t="s">
        <v>1034</v>
      </c>
      <c r="D1025" s="52">
        <v>0</v>
      </c>
      <c r="E1025" s="121">
        <f>Saisie!D1025</f>
        <v>0</v>
      </c>
      <c r="F1025" s="131">
        <f t="shared" si="70"/>
        <v>0</v>
      </c>
      <c r="G1025" s="52"/>
    </row>
    <row r="1026" spans="1:7" s="43" customFormat="1" ht="13.2" x14ac:dyDescent="0.25">
      <c r="A1026" s="230" t="s">
        <v>2721</v>
      </c>
      <c r="B1026" s="216" t="s">
        <v>2722</v>
      </c>
      <c r="C1026" s="215" t="s">
        <v>1034</v>
      </c>
      <c r="D1026" s="52">
        <v>0</v>
      </c>
      <c r="E1026" s="121">
        <f>Saisie!D1026</f>
        <v>0</v>
      </c>
      <c r="F1026" s="131">
        <f t="shared" si="70"/>
        <v>0</v>
      </c>
      <c r="G1026" s="52"/>
    </row>
    <row r="1027" spans="1:7" s="43" customFormat="1" ht="13.2" x14ac:dyDescent="0.25">
      <c r="A1027" s="230" t="s">
        <v>2723</v>
      </c>
      <c r="B1027" s="216" t="s">
        <v>2724</v>
      </c>
      <c r="C1027" s="215" t="s">
        <v>1034</v>
      </c>
      <c r="D1027" s="52">
        <v>0</v>
      </c>
      <c r="E1027" s="121">
        <f>Saisie!D1027</f>
        <v>0</v>
      </c>
      <c r="F1027" s="131">
        <f t="shared" si="70"/>
        <v>0</v>
      </c>
      <c r="G1027" s="52"/>
    </row>
    <row r="1028" spans="1:7" s="43" customFormat="1" ht="13.2" x14ac:dyDescent="0.25">
      <c r="A1028" s="230" t="s">
        <v>2725</v>
      </c>
      <c r="B1028" s="216" t="s">
        <v>2726</v>
      </c>
      <c r="C1028" s="215" t="s">
        <v>1034</v>
      </c>
      <c r="D1028" s="52">
        <v>0</v>
      </c>
      <c r="E1028" s="121">
        <f>Saisie!D1028</f>
        <v>0</v>
      </c>
      <c r="F1028" s="131">
        <f t="shared" si="70"/>
        <v>0</v>
      </c>
      <c r="G1028" s="52"/>
    </row>
    <row r="1029" spans="1:7" s="43" customFormat="1" ht="13.2" x14ac:dyDescent="0.25">
      <c r="A1029" s="230" t="s">
        <v>2727</v>
      </c>
      <c r="B1029" s="216" t="s">
        <v>2728</v>
      </c>
      <c r="C1029" s="215" t="s">
        <v>1034</v>
      </c>
      <c r="D1029" s="52">
        <v>0</v>
      </c>
      <c r="E1029" s="121">
        <f>Saisie!D1029</f>
        <v>0</v>
      </c>
      <c r="F1029" s="131">
        <f t="shared" si="70"/>
        <v>0</v>
      </c>
      <c r="G1029" s="52"/>
    </row>
    <row r="1030" spans="1:7" s="43" customFormat="1" ht="13.2" x14ac:dyDescent="0.25">
      <c r="A1030" s="230" t="s">
        <v>2729</v>
      </c>
      <c r="B1030" s="216" t="s">
        <v>2730</v>
      </c>
      <c r="C1030" s="217" t="s">
        <v>1034</v>
      </c>
      <c r="D1030" s="52">
        <v>0</v>
      </c>
      <c r="E1030" s="121">
        <f>Saisie!D1030</f>
        <v>0</v>
      </c>
      <c r="F1030" s="131">
        <f t="shared" si="70"/>
        <v>0</v>
      </c>
      <c r="G1030" s="52"/>
    </row>
    <row r="1031" spans="1:7" s="2" customFormat="1" ht="13.2" x14ac:dyDescent="0.25">
      <c r="A1031" s="230" t="s">
        <v>2731</v>
      </c>
      <c r="B1031" s="216" t="s">
        <v>2732</v>
      </c>
      <c r="C1031" s="215" t="s">
        <v>1034</v>
      </c>
      <c r="D1031" s="52">
        <v>0</v>
      </c>
      <c r="E1031" s="121">
        <f>Saisie!D1031</f>
        <v>0</v>
      </c>
      <c r="F1031" s="131">
        <f t="shared" si="70"/>
        <v>0</v>
      </c>
      <c r="G1031" s="52"/>
    </row>
    <row r="1032" spans="1:7" s="8" customFormat="1" ht="13.2" x14ac:dyDescent="0.25">
      <c r="A1032" s="230" t="s">
        <v>2733</v>
      </c>
      <c r="B1032" s="216" t="s">
        <v>2734</v>
      </c>
      <c r="C1032" s="215" t="s">
        <v>1034</v>
      </c>
      <c r="D1032" s="52">
        <v>0</v>
      </c>
      <c r="E1032" s="121">
        <f>Saisie!D1032</f>
        <v>0</v>
      </c>
      <c r="F1032" s="131">
        <f t="shared" si="70"/>
        <v>0</v>
      </c>
      <c r="G1032" s="45"/>
    </row>
    <row r="1033" spans="1:7" s="2" customFormat="1" ht="26.4" x14ac:dyDescent="0.25">
      <c r="A1033" s="230" t="s">
        <v>2735</v>
      </c>
      <c r="B1033" s="216" t="s">
        <v>2736</v>
      </c>
      <c r="C1033" s="215"/>
      <c r="D1033" s="215"/>
      <c r="E1033" s="121"/>
      <c r="F1033" s="131"/>
      <c r="G1033" s="52"/>
    </row>
    <row r="1034" spans="1:7" s="2" customFormat="1" ht="13.2" x14ac:dyDescent="0.25">
      <c r="A1034" s="230" t="s">
        <v>2737</v>
      </c>
      <c r="B1034" s="192" t="s">
        <v>2738</v>
      </c>
      <c r="C1034" s="215" t="s">
        <v>984</v>
      </c>
      <c r="D1034" s="52">
        <v>0</v>
      </c>
      <c r="E1034" s="121">
        <f>Saisie!D1034</f>
        <v>0</v>
      </c>
      <c r="F1034" s="131">
        <f t="shared" si="70"/>
        <v>0</v>
      </c>
      <c r="G1034" s="52"/>
    </row>
    <row r="1035" spans="1:7" s="2" customFormat="1" ht="13.2" x14ac:dyDescent="0.25">
      <c r="A1035" s="230" t="s">
        <v>2739</v>
      </c>
      <c r="B1035" s="216" t="s">
        <v>2740</v>
      </c>
      <c r="C1035" s="215" t="s">
        <v>984</v>
      </c>
      <c r="D1035" s="52">
        <v>0</v>
      </c>
      <c r="E1035" s="121">
        <f>Saisie!D1035</f>
        <v>0</v>
      </c>
      <c r="F1035" s="131">
        <f t="shared" si="70"/>
        <v>0</v>
      </c>
      <c r="G1035" s="52"/>
    </row>
    <row r="1036" spans="1:7" s="2" customFormat="1" ht="13.2" x14ac:dyDescent="0.25">
      <c r="A1036" s="230" t="s">
        <v>2741</v>
      </c>
      <c r="B1036" s="216" t="s">
        <v>2742</v>
      </c>
      <c r="C1036" s="217" t="s">
        <v>984</v>
      </c>
      <c r="D1036" s="52">
        <v>0</v>
      </c>
      <c r="E1036" s="121">
        <f>Saisie!D1036</f>
        <v>0</v>
      </c>
      <c r="F1036" s="131">
        <f t="shared" si="70"/>
        <v>0</v>
      </c>
      <c r="G1036" s="52"/>
    </row>
    <row r="1037" spans="1:7" s="8" customFormat="1" ht="13.2" x14ac:dyDescent="0.25">
      <c r="A1037" s="230" t="s">
        <v>2743</v>
      </c>
      <c r="B1037" s="223" t="s">
        <v>2744</v>
      </c>
      <c r="C1037" s="215" t="s">
        <v>984</v>
      </c>
      <c r="D1037" s="52">
        <v>0</v>
      </c>
      <c r="E1037" s="121">
        <f>Saisie!D1037</f>
        <v>0</v>
      </c>
      <c r="F1037" s="131">
        <f t="shared" si="70"/>
        <v>0</v>
      </c>
      <c r="G1037" s="45"/>
    </row>
    <row r="1038" spans="1:7" s="43" customFormat="1" ht="13.2" x14ac:dyDescent="0.25">
      <c r="A1038" s="230" t="s">
        <v>2745</v>
      </c>
      <c r="B1038" s="223" t="s">
        <v>2746</v>
      </c>
      <c r="C1038" s="215" t="s">
        <v>984</v>
      </c>
      <c r="D1038" s="52">
        <v>0</v>
      </c>
      <c r="E1038" s="121">
        <f>Saisie!D1038</f>
        <v>0</v>
      </c>
      <c r="F1038" s="131">
        <f t="shared" si="70"/>
        <v>0</v>
      </c>
      <c r="G1038" s="45"/>
    </row>
    <row r="1039" spans="1:7" s="43" customFormat="1" ht="13.2" x14ac:dyDescent="0.25">
      <c r="A1039" s="230" t="s">
        <v>2747</v>
      </c>
      <c r="B1039" s="223" t="s">
        <v>2748</v>
      </c>
      <c r="C1039" s="215" t="s">
        <v>1011</v>
      </c>
      <c r="D1039" s="52">
        <v>0</v>
      </c>
      <c r="E1039" s="121">
        <f>Saisie!D1039</f>
        <v>0</v>
      </c>
      <c r="F1039" s="131">
        <f t="shared" si="70"/>
        <v>0</v>
      </c>
      <c r="G1039" s="52"/>
    </row>
    <row r="1040" spans="1:7" s="43" customFormat="1" ht="26.4" x14ac:dyDescent="0.25">
      <c r="A1040" s="230" t="s">
        <v>2749</v>
      </c>
      <c r="B1040" s="216" t="s">
        <v>2750</v>
      </c>
      <c r="C1040" s="231"/>
      <c r="D1040" s="132"/>
      <c r="E1040" s="121"/>
      <c r="F1040" s="131"/>
      <c r="G1040" s="76"/>
    </row>
    <row r="1041" spans="1:7" s="43" customFormat="1" ht="12.75" customHeight="1" x14ac:dyDescent="0.25">
      <c r="A1041" s="230" t="s">
        <v>2751</v>
      </c>
      <c r="B1041" s="223" t="s">
        <v>2718</v>
      </c>
      <c r="C1041" s="215" t="s">
        <v>1034</v>
      </c>
      <c r="D1041" s="52">
        <v>0</v>
      </c>
      <c r="E1041" s="121">
        <f>Saisie!D1041</f>
        <v>0</v>
      </c>
      <c r="F1041" s="131">
        <f t="shared" si="70"/>
        <v>0</v>
      </c>
      <c r="G1041" s="52"/>
    </row>
    <row r="1042" spans="1:7" s="43" customFormat="1" ht="13.2" x14ac:dyDescent="0.25">
      <c r="A1042" s="230" t="s">
        <v>2752</v>
      </c>
      <c r="B1042" s="223" t="s">
        <v>2720</v>
      </c>
      <c r="C1042" s="215" t="s">
        <v>1034</v>
      </c>
      <c r="D1042" s="52">
        <v>0</v>
      </c>
      <c r="E1042" s="121">
        <f>Saisie!D1042</f>
        <v>0</v>
      </c>
      <c r="F1042" s="131">
        <f t="shared" si="70"/>
        <v>0</v>
      </c>
      <c r="G1042" s="52"/>
    </row>
    <row r="1043" spans="1:7" s="43" customFormat="1" ht="13.2" x14ac:dyDescent="0.25">
      <c r="A1043" s="230" t="s">
        <v>2753</v>
      </c>
      <c r="B1043" s="223" t="s">
        <v>2722</v>
      </c>
      <c r="C1043" s="215" t="s">
        <v>1034</v>
      </c>
      <c r="D1043" s="52">
        <v>0</v>
      </c>
      <c r="E1043" s="121">
        <f>Saisie!D1043</f>
        <v>0</v>
      </c>
      <c r="F1043" s="131">
        <f t="shared" si="70"/>
        <v>0</v>
      </c>
      <c r="G1043" s="45"/>
    </row>
    <row r="1044" spans="1:7" s="43" customFormat="1" ht="13.2" x14ac:dyDescent="0.25">
      <c r="A1044" s="230" t="s">
        <v>2754</v>
      </c>
      <c r="B1044" s="216" t="s">
        <v>2724</v>
      </c>
      <c r="C1044" s="215" t="s">
        <v>1034</v>
      </c>
      <c r="D1044" s="52">
        <v>0</v>
      </c>
      <c r="E1044" s="121">
        <f>Saisie!D1044</f>
        <v>0</v>
      </c>
      <c r="F1044" s="131">
        <f t="shared" si="70"/>
        <v>0</v>
      </c>
      <c r="G1044" s="52"/>
    </row>
    <row r="1045" spans="1:7" s="43" customFormat="1" ht="13.2" x14ac:dyDescent="0.25">
      <c r="A1045" s="230" t="s">
        <v>2755</v>
      </c>
      <c r="B1045" s="216" t="s">
        <v>2756</v>
      </c>
      <c r="C1045" s="215" t="s">
        <v>1034</v>
      </c>
      <c r="D1045" s="52">
        <v>0</v>
      </c>
      <c r="E1045" s="121">
        <f>Saisie!D1045</f>
        <v>0</v>
      </c>
      <c r="F1045" s="131">
        <f t="shared" si="70"/>
        <v>0</v>
      </c>
      <c r="G1045" s="76"/>
    </row>
    <row r="1046" spans="1:7" s="43" customFormat="1" ht="13.2" x14ac:dyDescent="0.25">
      <c r="A1046" s="230" t="s">
        <v>2757</v>
      </c>
      <c r="B1046" s="223" t="s">
        <v>2758</v>
      </c>
      <c r="C1046" s="215" t="s">
        <v>1034</v>
      </c>
      <c r="D1046" s="52">
        <v>0</v>
      </c>
      <c r="E1046" s="121">
        <f>Saisie!D1046</f>
        <v>0</v>
      </c>
      <c r="F1046" s="131">
        <f t="shared" si="70"/>
        <v>0</v>
      </c>
      <c r="G1046" s="52"/>
    </row>
    <row r="1047" spans="1:7" s="43" customFormat="1" ht="13.2" x14ac:dyDescent="0.25">
      <c r="A1047" s="230" t="s">
        <v>2759</v>
      </c>
      <c r="B1047" s="223" t="s">
        <v>2760</v>
      </c>
      <c r="C1047" s="215" t="s">
        <v>1034</v>
      </c>
      <c r="D1047" s="52">
        <v>0</v>
      </c>
      <c r="E1047" s="121">
        <f>Saisie!D1047</f>
        <v>0</v>
      </c>
      <c r="F1047" s="131">
        <f t="shared" si="70"/>
        <v>0</v>
      </c>
      <c r="G1047" s="52"/>
    </row>
    <row r="1048" spans="1:7" s="43" customFormat="1" ht="13.2" x14ac:dyDescent="0.25">
      <c r="A1048" s="230" t="s">
        <v>2761</v>
      </c>
      <c r="B1048" s="223" t="s">
        <v>2762</v>
      </c>
      <c r="C1048" s="215" t="s">
        <v>1034</v>
      </c>
      <c r="D1048" s="52">
        <v>0</v>
      </c>
      <c r="E1048" s="121">
        <f>Saisie!D1048</f>
        <v>0</v>
      </c>
      <c r="F1048" s="131">
        <f t="shared" si="70"/>
        <v>0</v>
      </c>
      <c r="G1048" s="45"/>
    </row>
    <row r="1049" spans="1:7" s="43" customFormat="1" ht="26.4" x14ac:dyDescent="0.25">
      <c r="A1049" s="230" t="s">
        <v>2763</v>
      </c>
      <c r="B1049" s="216" t="s">
        <v>2764</v>
      </c>
      <c r="C1049" s="215"/>
      <c r="D1049" s="215"/>
      <c r="E1049" s="121"/>
      <c r="F1049" s="131"/>
      <c r="G1049" s="52"/>
    </row>
    <row r="1050" spans="1:7" s="43" customFormat="1" ht="13.2" x14ac:dyDescent="0.25">
      <c r="A1050" s="230" t="s">
        <v>2765</v>
      </c>
      <c r="B1050" s="223" t="s">
        <v>2738</v>
      </c>
      <c r="C1050" s="215" t="s">
        <v>984</v>
      </c>
      <c r="D1050" s="52">
        <v>0</v>
      </c>
      <c r="E1050" s="121">
        <f>Saisie!D1050</f>
        <v>0</v>
      </c>
      <c r="F1050" s="131">
        <f t="shared" si="70"/>
        <v>0</v>
      </c>
      <c r="G1050" s="52"/>
    </row>
    <row r="1051" spans="1:7" s="43" customFormat="1" ht="13.2" x14ac:dyDescent="0.25">
      <c r="A1051" s="230" t="s">
        <v>2766</v>
      </c>
      <c r="B1051" s="223" t="s">
        <v>2740</v>
      </c>
      <c r="C1051" s="215" t="s">
        <v>984</v>
      </c>
      <c r="D1051" s="52">
        <v>0</v>
      </c>
      <c r="E1051" s="121">
        <f>Saisie!D1051</f>
        <v>0</v>
      </c>
      <c r="F1051" s="131">
        <f t="shared" si="70"/>
        <v>0</v>
      </c>
      <c r="G1051" s="52"/>
    </row>
    <row r="1052" spans="1:7" s="43" customFormat="1" ht="13.2" x14ac:dyDescent="0.25">
      <c r="A1052" s="230" t="s">
        <v>2767</v>
      </c>
      <c r="B1052" s="223" t="s">
        <v>2742</v>
      </c>
      <c r="C1052" s="215" t="s">
        <v>984</v>
      </c>
      <c r="D1052" s="52">
        <v>0</v>
      </c>
      <c r="E1052" s="121">
        <f>Saisie!D1052</f>
        <v>0</v>
      </c>
      <c r="F1052" s="131">
        <f t="shared" si="70"/>
        <v>0</v>
      </c>
      <c r="G1052" s="52"/>
    </row>
    <row r="1053" spans="1:7" s="8" customFormat="1" ht="13.2" x14ac:dyDescent="0.25">
      <c r="A1053" s="230" t="s">
        <v>2768</v>
      </c>
      <c r="B1053" s="216" t="s">
        <v>2744</v>
      </c>
      <c r="C1053" s="217" t="s">
        <v>984</v>
      </c>
      <c r="D1053" s="52">
        <v>0</v>
      </c>
      <c r="E1053" s="121">
        <f>Saisie!D1053</f>
        <v>0</v>
      </c>
      <c r="F1053" s="131">
        <f t="shared" si="70"/>
        <v>0</v>
      </c>
      <c r="G1053" s="45"/>
    </row>
    <row r="1054" spans="1:7" s="43" customFormat="1" ht="13.2" x14ac:dyDescent="0.25">
      <c r="A1054" s="230" t="s">
        <v>2769</v>
      </c>
      <c r="B1054" s="216" t="s">
        <v>2746</v>
      </c>
      <c r="C1054" s="217" t="s">
        <v>984</v>
      </c>
      <c r="D1054" s="52">
        <v>0</v>
      </c>
      <c r="E1054" s="121">
        <f>Saisie!D1054</f>
        <v>0</v>
      </c>
      <c r="F1054" s="131">
        <f t="shared" si="70"/>
        <v>0</v>
      </c>
      <c r="G1054" s="52"/>
    </row>
    <row r="1055" spans="1:7" s="43" customFormat="1" ht="26.4" x14ac:dyDescent="0.25">
      <c r="A1055" s="232" t="s">
        <v>2770</v>
      </c>
      <c r="B1055" s="135" t="s">
        <v>2771</v>
      </c>
      <c r="C1055" s="217"/>
      <c r="D1055" s="45"/>
      <c r="E1055" s="121"/>
      <c r="F1055" s="131"/>
      <c r="G1055" s="52"/>
    </row>
    <row r="1056" spans="1:7" s="43" customFormat="1" ht="13.2" x14ac:dyDescent="0.25">
      <c r="A1056" s="232" t="s">
        <v>2772</v>
      </c>
      <c r="B1056" s="135" t="s">
        <v>2738</v>
      </c>
      <c r="C1056" s="217" t="s">
        <v>984</v>
      </c>
      <c r="D1056" s="52">
        <v>0</v>
      </c>
      <c r="E1056" s="121">
        <f>Saisie!D1056</f>
        <v>0</v>
      </c>
      <c r="F1056" s="131">
        <f t="shared" si="70"/>
        <v>0</v>
      </c>
      <c r="G1056" s="52"/>
    </row>
    <row r="1057" spans="1:7" s="43" customFormat="1" ht="13.2" x14ac:dyDescent="0.25">
      <c r="A1057" s="232" t="s">
        <v>2773</v>
      </c>
      <c r="B1057" s="135" t="s">
        <v>2740</v>
      </c>
      <c r="C1057" s="217" t="s">
        <v>984</v>
      </c>
      <c r="D1057" s="52">
        <v>0</v>
      </c>
      <c r="E1057" s="121">
        <f>Saisie!D1057</f>
        <v>0</v>
      </c>
      <c r="F1057" s="131">
        <f t="shared" si="70"/>
        <v>0</v>
      </c>
      <c r="G1057" s="52"/>
    </row>
    <row r="1058" spans="1:7" s="43" customFormat="1" ht="13.2" x14ac:dyDescent="0.25">
      <c r="A1058" s="232" t="s">
        <v>2774</v>
      </c>
      <c r="B1058" s="135" t="s">
        <v>2742</v>
      </c>
      <c r="C1058" s="217" t="s">
        <v>984</v>
      </c>
      <c r="D1058" s="52">
        <v>0</v>
      </c>
      <c r="E1058" s="121">
        <f>Saisie!D1058</f>
        <v>0</v>
      </c>
      <c r="F1058" s="131">
        <f>D1058*E1058</f>
        <v>0</v>
      </c>
      <c r="G1058" s="52"/>
    </row>
    <row r="1059" spans="1:7" s="43" customFormat="1" ht="13.2" x14ac:dyDescent="0.25">
      <c r="A1059" s="232" t="s">
        <v>2775</v>
      </c>
      <c r="B1059" s="135" t="s">
        <v>2744</v>
      </c>
      <c r="C1059" s="217" t="s">
        <v>984</v>
      </c>
      <c r="D1059" s="52">
        <v>0</v>
      </c>
      <c r="E1059" s="121">
        <f>Saisie!D1059</f>
        <v>0</v>
      </c>
      <c r="F1059" s="131">
        <f>D1059*E1059</f>
        <v>0</v>
      </c>
      <c r="G1059" s="52"/>
    </row>
    <row r="1060" spans="1:7" s="8" customFormat="1" ht="13.2" x14ac:dyDescent="0.25">
      <c r="A1060" s="232" t="s">
        <v>2776</v>
      </c>
      <c r="B1060" s="135" t="s">
        <v>2746</v>
      </c>
      <c r="C1060" s="217" t="s">
        <v>984</v>
      </c>
      <c r="D1060" s="52">
        <v>0</v>
      </c>
      <c r="E1060" s="121">
        <f>Saisie!D1060</f>
        <v>0</v>
      </c>
      <c r="F1060" s="131">
        <f>D1060*E1060</f>
        <v>0</v>
      </c>
      <c r="G1060" s="45"/>
    </row>
    <row r="1061" spans="1:7" s="43" customFormat="1" ht="13.2" x14ac:dyDescent="0.25">
      <c r="A1061" s="232"/>
      <c r="B1061" s="122"/>
      <c r="C1061" s="217"/>
      <c r="D1061" s="45"/>
      <c r="E1061" s="45"/>
      <c r="F1061" s="131"/>
      <c r="G1061" s="52"/>
    </row>
    <row r="1062" spans="1:7" s="43" customFormat="1" ht="13.2" x14ac:dyDescent="0.25">
      <c r="A1062" s="232"/>
      <c r="B1062" s="122" t="s">
        <v>2777</v>
      </c>
      <c r="C1062" s="217"/>
      <c r="D1062" s="45"/>
      <c r="E1062" s="45"/>
      <c r="F1062" s="131">
        <f>SUM(F863:F1061)</f>
        <v>0</v>
      </c>
      <c r="G1062" s="45"/>
    </row>
    <row r="1063" spans="1:7" s="8" customFormat="1" ht="13.2" x14ac:dyDescent="0.25">
      <c r="A1063" s="232"/>
      <c r="B1063" s="122"/>
      <c r="C1063" s="217"/>
      <c r="D1063" s="45"/>
      <c r="E1063" s="45"/>
      <c r="F1063" s="131"/>
      <c r="G1063" s="52"/>
    </row>
    <row r="1064" spans="1:7" s="8" customFormat="1" ht="26.4" x14ac:dyDescent="0.25">
      <c r="A1064" s="29" t="s">
        <v>2778</v>
      </c>
      <c r="B1064" s="32" t="s">
        <v>2779</v>
      </c>
      <c r="C1064" s="224" t="s">
        <v>1883</v>
      </c>
      <c r="D1064" s="224" t="s">
        <v>1883</v>
      </c>
      <c r="E1064" s="224" t="s">
        <v>1883</v>
      </c>
      <c r="F1064" s="224" t="s">
        <v>1883</v>
      </c>
      <c r="G1064" s="52"/>
    </row>
    <row r="1065" spans="1:7" s="8" customFormat="1" ht="26.4" x14ac:dyDescent="0.25">
      <c r="A1065" s="27" t="s">
        <v>458</v>
      </c>
      <c r="B1065" s="3" t="s">
        <v>2780</v>
      </c>
      <c r="C1065" s="217" t="s">
        <v>1883</v>
      </c>
      <c r="D1065" s="45"/>
      <c r="E1065" s="45"/>
      <c r="F1065" s="51"/>
      <c r="G1065" s="52"/>
    </row>
    <row r="1066" spans="1:7" s="8" customFormat="1" ht="26.4" x14ac:dyDescent="0.25">
      <c r="A1066" s="202" t="s">
        <v>2781</v>
      </c>
      <c r="B1066" s="216" t="s">
        <v>2782</v>
      </c>
      <c r="C1066" s="217"/>
      <c r="D1066" s="45"/>
      <c r="E1066" s="45"/>
      <c r="F1066" s="51"/>
      <c r="G1066" s="52"/>
    </row>
    <row r="1067" spans="1:7" s="8" customFormat="1" ht="13.2" x14ac:dyDescent="0.25">
      <c r="A1067" s="234" t="s">
        <v>2783</v>
      </c>
      <c r="B1067" s="216" t="s">
        <v>2784</v>
      </c>
      <c r="C1067" s="217" t="s">
        <v>1034</v>
      </c>
      <c r="D1067" s="53">
        <v>0</v>
      </c>
      <c r="E1067" s="121">
        <f>Saisie!D1067</f>
        <v>0</v>
      </c>
      <c r="F1067" s="51">
        <f t="shared" ref="F1067:F1073" si="72">E1067*D1067</f>
        <v>0</v>
      </c>
      <c r="G1067" s="45"/>
    </row>
    <row r="1068" spans="1:7" s="43" customFormat="1" ht="13.2" x14ac:dyDescent="0.25">
      <c r="A1068" s="234" t="s">
        <v>2785</v>
      </c>
      <c r="B1068" s="216" t="s">
        <v>2786</v>
      </c>
      <c r="C1068" s="217" t="s">
        <v>1034</v>
      </c>
      <c r="D1068" s="53">
        <v>155</v>
      </c>
      <c r="E1068" s="121">
        <f>Saisie!D1068</f>
        <v>0</v>
      </c>
      <c r="F1068" s="51">
        <f t="shared" si="72"/>
        <v>0</v>
      </c>
      <c r="G1068" s="52"/>
    </row>
    <row r="1069" spans="1:7" s="43" customFormat="1" ht="13.2" x14ac:dyDescent="0.25">
      <c r="A1069" s="234" t="s">
        <v>2787</v>
      </c>
      <c r="B1069" s="216" t="s">
        <v>2788</v>
      </c>
      <c r="C1069" s="217" t="s">
        <v>1034</v>
      </c>
      <c r="D1069" s="53">
        <v>0</v>
      </c>
      <c r="E1069" s="121">
        <f>Saisie!D1069</f>
        <v>0</v>
      </c>
      <c r="F1069" s="51">
        <f t="shared" si="72"/>
        <v>0</v>
      </c>
      <c r="G1069" s="52"/>
    </row>
    <row r="1070" spans="1:7" s="43" customFormat="1" ht="26.4" x14ac:dyDescent="0.25">
      <c r="A1070" s="202" t="s">
        <v>2789</v>
      </c>
      <c r="B1070" s="216" t="s">
        <v>2790</v>
      </c>
      <c r="C1070" s="217"/>
      <c r="D1070" s="217"/>
      <c r="E1070" s="121"/>
      <c r="F1070" s="127"/>
      <c r="G1070" s="52"/>
    </row>
    <row r="1071" spans="1:7" s="43" customFormat="1" ht="13.2" x14ac:dyDescent="0.25">
      <c r="A1071" s="234" t="s">
        <v>2791</v>
      </c>
      <c r="B1071" s="216" t="s">
        <v>2792</v>
      </c>
      <c r="C1071" s="217" t="s">
        <v>2793</v>
      </c>
      <c r="D1071" s="53">
        <v>0</v>
      </c>
      <c r="E1071" s="121">
        <f>Saisie!D1071</f>
        <v>0</v>
      </c>
      <c r="F1071" s="51">
        <f t="shared" si="72"/>
        <v>0</v>
      </c>
      <c r="G1071" s="52"/>
    </row>
    <row r="1072" spans="1:7" s="43" customFormat="1" ht="13.2" x14ac:dyDescent="0.25">
      <c r="A1072" s="234" t="s">
        <v>2794</v>
      </c>
      <c r="B1072" s="216" t="s">
        <v>2795</v>
      </c>
      <c r="C1072" s="217" t="s">
        <v>2793</v>
      </c>
      <c r="D1072" s="53">
        <v>30</v>
      </c>
      <c r="E1072" s="121">
        <f>Saisie!D1072</f>
        <v>0</v>
      </c>
      <c r="F1072" s="51">
        <f t="shared" si="72"/>
        <v>0</v>
      </c>
      <c r="G1072" s="52"/>
    </row>
    <row r="1073" spans="1:7" s="43" customFormat="1" ht="13.2" x14ac:dyDescent="0.25">
      <c r="A1073" s="234" t="s">
        <v>2796</v>
      </c>
      <c r="B1073" s="216" t="s">
        <v>2797</v>
      </c>
      <c r="C1073" s="217" t="s">
        <v>2793</v>
      </c>
      <c r="D1073" s="53">
        <v>0</v>
      </c>
      <c r="E1073" s="121">
        <f>Saisie!D1073</f>
        <v>0</v>
      </c>
      <c r="F1073" s="51">
        <f t="shared" si="72"/>
        <v>0</v>
      </c>
      <c r="G1073" s="52"/>
    </row>
    <row r="1074" spans="1:7" s="43" customFormat="1" ht="26.4" x14ac:dyDescent="0.25">
      <c r="A1074" s="27" t="s">
        <v>459</v>
      </c>
      <c r="B1074" s="3" t="s">
        <v>2798</v>
      </c>
      <c r="C1074" s="217"/>
      <c r="D1074" s="217"/>
      <c r="E1074" s="121"/>
      <c r="F1074" s="127"/>
      <c r="G1074" s="52"/>
    </row>
    <row r="1075" spans="1:7" s="8" customFormat="1" ht="13.2" x14ac:dyDescent="0.25">
      <c r="A1075" s="202" t="s">
        <v>2799</v>
      </c>
      <c r="B1075" s="216" t="s">
        <v>2800</v>
      </c>
      <c r="C1075" s="217"/>
      <c r="D1075" s="45"/>
      <c r="E1075" s="121"/>
      <c r="F1075" s="51"/>
      <c r="G1075" s="45"/>
    </row>
    <row r="1076" spans="1:7" s="8" customFormat="1" ht="13.2" x14ac:dyDescent="0.25">
      <c r="A1076" s="234" t="s">
        <v>2801</v>
      </c>
      <c r="B1076" s="216" t="s">
        <v>2802</v>
      </c>
      <c r="C1076" s="217" t="s">
        <v>1034</v>
      </c>
      <c r="D1076" s="53">
        <v>0</v>
      </c>
      <c r="E1076" s="121">
        <f>Saisie!D1076</f>
        <v>0</v>
      </c>
      <c r="F1076" s="51">
        <f t="shared" ref="F1076:F1104" si="73">E1076*D1076</f>
        <v>0</v>
      </c>
      <c r="G1076" s="76"/>
    </row>
    <row r="1077" spans="1:7" s="8" customFormat="1" ht="13.2" x14ac:dyDescent="0.25">
      <c r="A1077" s="234" t="s">
        <v>2803</v>
      </c>
      <c r="B1077" s="216" t="s">
        <v>2804</v>
      </c>
      <c r="C1077" s="217" t="s">
        <v>1034</v>
      </c>
      <c r="D1077" s="53">
        <v>0</v>
      </c>
      <c r="E1077" s="121">
        <f>Saisie!D1077</f>
        <v>0</v>
      </c>
      <c r="F1077" s="51">
        <f t="shared" si="73"/>
        <v>0</v>
      </c>
      <c r="G1077" s="45"/>
    </row>
    <row r="1078" spans="1:7" s="61" customFormat="1" ht="13.2" x14ac:dyDescent="0.25">
      <c r="A1078" s="234" t="s">
        <v>2805</v>
      </c>
      <c r="B1078" s="216" t="s">
        <v>2806</v>
      </c>
      <c r="C1078" s="217" t="s">
        <v>1034</v>
      </c>
      <c r="D1078" s="53">
        <v>0</v>
      </c>
      <c r="E1078" s="121">
        <f>Saisie!D1078</f>
        <v>0</v>
      </c>
      <c r="F1078" s="51">
        <f t="shared" si="73"/>
        <v>0</v>
      </c>
      <c r="G1078" s="76"/>
    </row>
    <row r="1079" spans="1:7" s="8" customFormat="1" ht="26.4" x14ac:dyDescent="0.25">
      <c r="A1079" s="202" t="s">
        <v>2807</v>
      </c>
      <c r="B1079" s="216" t="s">
        <v>2808</v>
      </c>
      <c r="C1079" s="217"/>
      <c r="D1079" s="217"/>
      <c r="E1079" s="121"/>
      <c r="F1079" s="127"/>
      <c r="G1079" s="52"/>
    </row>
    <row r="1080" spans="1:7" s="8" customFormat="1" ht="13.2" x14ac:dyDescent="0.25">
      <c r="A1080" s="234" t="s">
        <v>2809</v>
      </c>
      <c r="B1080" s="216" t="s">
        <v>2810</v>
      </c>
      <c r="C1080" s="217" t="s">
        <v>2793</v>
      </c>
      <c r="D1080" s="53">
        <v>0</v>
      </c>
      <c r="E1080" s="121">
        <f>Saisie!D1080</f>
        <v>0</v>
      </c>
      <c r="F1080" s="51">
        <f t="shared" si="73"/>
        <v>0</v>
      </c>
      <c r="G1080" s="45"/>
    </row>
    <row r="1081" spans="1:7" s="61" customFormat="1" ht="13.2" x14ac:dyDescent="0.25">
      <c r="A1081" s="234" t="s">
        <v>2811</v>
      </c>
      <c r="B1081" s="216" t="s">
        <v>2812</v>
      </c>
      <c r="C1081" s="217" t="s">
        <v>2793</v>
      </c>
      <c r="D1081" s="53">
        <v>0</v>
      </c>
      <c r="E1081" s="121">
        <f>Saisie!D1081</f>
        <v>0</v>
      </c>
      <c r="F1081" s="51">
        <f t="shared" si="73"/>
        <v>0</v>
      </c>
      <c r="G1081" s="52"/>
    </row>
    <row r="1082" spans="1:7" s="61" customFormat="1" ht="13.2" x14ac:dyDescent="0.25">
      <c r="A1082" s="234" t="s">
        <v>2813</v>
      </c>
      <c r="B1082" s="216" t="s">
        <v>2814</v>
      </c>
      <c r="C1082" s="217" t="s">
        <v>2793</v>
      </c>
      <c r="D1082" s="53">
        <v>0</v>
      </c>
      <c r="E1082" s="121">
        <f>Saisie!D1082</f>
        <v>0</v>
      </c>
      <c r="F1082" s="51">
        <f t="shared" si="73"/>
        <v>0</v>
      </c>
      <c r="G1082" s="52"/>
    </row>
    <row r="1083" spans="1:7" s="61" customFormat="1" ht="39.6" x14ac:dyDescent="0.25">
      <c r="A1083" s="27" t="s">
        <v>2815</v>
      </c>
      <c r="B1083" s="3" t="s">
        <v>2816</v>
      </c>
      <c r="C1083" s="217" t="s">
        <v>1034</v>
      </c>
      <c r="D1083" s="53">
        <v>0</v>
      </c>
      <c r="E1083" s="121">
        <f>Saisie!D1083</f>
        <v>0</v>
      </c>
      <c r="F1083" s="51">
        <f>E1083*D1083</f>
        <v>0</v>
      </c>
      <c r="G1083" s="52"/>
    </row>
    <row r="1084" spans="1:7" s="61" customFormat="1" ht="39.6" x14ac:dyDescent="0.25">
      <c r="A1084" s="27" t="s">
        <v>2817</v>
      </c>
      <c r="B1084" s="3" t="s">
        <v>2818</v>
      </c>
      <c r="C1084" s="217" t="s">
        <v>1034</v>
      </c>
      <c r="D1084" s="53">
        <v>0</v>
      </c>
      <c r="E1084" s="121">
        <f>Saisie!D1084</f>
        <v>0</v>
      </c>
      <c r="F1084" s="51">
        <f>E1084*D1084</f>
        <v>0</v>
      </c>
      <c r="G1084" s="52"/>
    </row>
    <row r="1085" spans="1:7" s="61" customFormat="1" ht="26.4" x14ac:dyDescent="0.25">
      <c r="A1085" s="27" t="s">
        <v>2819</v>
      </c>
      <c r="B1085" s="3" t="s">
        <v>2820</v>
      </c>
      <c r="C1085" s="217" t="s">
        <v>1034</v>
      </c>
      <c r="D1085" s="53">
        <v>0</v>
      </c>
      <c r="E1085" s="121">
        <f>Saisie!D1085</f>
        <v>0</v>
      </c>
      <c r="F1085" s="51">
        <f>E1085*D1085</f>
        <v>0</v>
      </c>
      <c r="G1085" s="52"/>
    </row>
    <row r="1086" spans="1:7" s="61" customFormat="1" ht="26.4" x14ac:dyDescent="0.25">
      <c r="A1086" s="27" t="s">
        <v>2821</v>
      </c>
      <c r="B1086" s="3" t="s">
        <v>2822</v>
      </c>
      <c r="C1086" s="217"/>
      <c r="D1086" s="217"/>
      <c r="E1086" s="121"/>
      <c r="F1086" s="127"/>
      <c r="G1086" s="52"/>
    </row>
    <row r="1087" spans="1:7" s="61" customFormat="1" ht="13.2" x14ac:dyDescent="0.25">
      <c r="A1087" s="202" t="s">
        <v>2823</v>
      </c>
      <c r="B1087" s="216" t="s">
        <v>2792</v>
      </c>
      <c r="C1087" s="217" t="s">
        <v>1011</v>
      </c>
      <c r="D1087" s="53">
        <v>0</v>
      </c>
      <c r="E1087" s="121">
        <f>Saisie!D1087</f>
        <v>0</v>
      </c>
      <c r="F1087" s="51">
        <f t="shared" si="73"/>
        <v>0</v>
      </c>
      <c r="G1087" s="52"/>
    </row>
    <row r="1088" spans="1:7" s="8" customFormat="1" ht="13.2" x14ac:dyDescent="0.25">
      <c r="A1088" s="202" t="s">
        <v>2824</v>
      </c>
      <c r="B1088" s="216" t="s">
        <v>2795</v>
      </c>
      <c r="C1088" s="217" t="s">
        <v>1011</v>
      </c>
      <c r="D1088" s="53">
        <v>10</v>
      </c>
      <c r="E1088" s="121">
        <f>Saisie!D1088</f>
        <v>0</v>
      </c>
      <c r="F1088" s="51">
        <f t="shared" si="73"/>
        <v>0</v>
      </c>
      <c r="G1088" s="45"/>
    </row>
    <row r="1089" spans="1:10" s="8" customFormat="1" ht="13.2" x14ac:dyDescent="0.25">
      <c r="A1089" s="202" t="s">
        <v>2825</v>
      </c>
      <c r="B1089" s="216" t="s">
        <v>2797</v>
      </c>
      <c r="C1089" s="217" t="s">
        <v>1011</v>
      </c>
      <c r="D1089" s="53">
        <v>0</v>
      </c>
      <c r="E1089" s="121">
        <f>Saisie!D1089</f>
        <v>0</v>
      </c>
      <c r="F1089" s="51">
        <f t="shared" si="73"/>
        <v>0</v>
      </c>
      <c r="G1089" s="52"/>
    </row>
    <row r="1090" spans="1:10" s="43" customFormat="1" ht="13.2" x14ac:dyDescent="0.25">
      <c r="A1090" s="27" t="s">
        <v>2826</v>
      </c>
      <c r="B1090" s="3" t="s">
        <v>2827</v>
      </c>
      <c r="C1090" s="217" t="s">
        <v>1011</v>
      </c>
      <c r="D1090" s="53">
        <v>0</v>
      </c>
      <c r="E1090" s="121">
        <f>Saisie!D1090</f>
        <v>0</v>
      </c>
      <c r="F1090" s="51">
        <f t="shared" si="73"/>
        <v>0</v>
      </c>
      <c r="G1090" s="52"/>
    </row>
    <row r="1091" spans="1:10" s="43" customFormat="1" ht="13.2" x14ac:dyDescent="0.25">
      <c r="A1091" s="27" t="s">
        <v>2828</v>
      </c>
      <c r="B1091" s="3" t="s">
        <v>2829</v>
      </c>
      <c r="C1091" s="217"/>
      <c r="D1091" s="217"/>
      <c r="E1091" s="121"/>
      <c r="F1091" s="217"/>
      <c r="G1091" s="52"/>
      <c r="I1091" s="3"/>
      <c r="J1091" s="217"/>
    </row>
    <row r="1092" spans="1:10" s="43" customFormat="1" ht="13.2" x14ac:dyDescent="0.25">
      <c r="A1092" s="202" t="s">
        <v>2830</v>
      </c>
      <c r="B1092" s="216" t="s">
        <v>2792</v>
      </c>
      <c r="C1092" s="217" t="s">
        <v>1011</v>
      </c>
      <c r="D1092" s="53">
        <v>0</v>
      </c>
      <c r="E1092" s="121">
        <f>Saisie!D1092</f>
        <v>0</v>
      </c>
      <c r="F1092" s="51">
        <f t="shared" si="73"/>
        <v>0</v>
      </c>
      <c r="G1092" s="52"/>
    </row>
    <row r="1093" spans="1:10" s="8" customFormat="1" ht="13.2" x14ac:dyDescent="0.25">
      <c r="A1093" s="202" t="s">
        <v>2831</v>
      </c>
      <c r="B1093" s="216" t="s">
        <v>2795</v>
      </c>
      <c r="C1093" s="217" t="s">
        <v>1011</v>
      </c>
      <c r="D1093" s="53">
        <v>0</v>
      </c>
      <c r="E1093" s="121">
        <f>Saisie!D1093</f>
        <v>0</v>
      </c>
      <c r="F1093" s="51">
        <f t="shared" si="73"/>
        <v>0</v>
      </c>
      <c r="G1093" s="52"/>
    </row>
    <row r="1094" spans="1:10" s="8" customFormat="1" ht="13.2" x14ac:dyDescent="0.25">
      <c r="A1094" s="202" t="s">
        <v>2832</v>
      </c>
      <c r="B1094" s="216" t="s">
        <v>2797</v>
      </c>
      <c r="C1094" s="217" t="s">
        <v>1011</v>
      </c>
      <c r="D1094" s="53">
        <v>0</v>
      </c>
      <c r="E1094" s="121">
        <f>Saisie!D1094</f>
        <v>0</v>
      </c>
      <c r="F1094" s="51">
        <f t="shared" si="73"/>
        <v>0</v>
      </c>
      <c r="G1094" s="52"/>
    </row>
    <row r="1095" spans="1:10" s="8" customFormat="1" ht="13.2" x14ac:dyDescent="0.25">
      <c r="A1095" s="27" t="s">
        <v>2833</v>
      </c>
      <c r="B1095" s="3" t="s">
        <v>2834</v>
      </c>
      <c r="C1095" s="217" t="s">
        <v>1011</v>
      </c>
      <c r="D1095" s="53">
        <v>10</v>
      </c>
      <c r="E1095" s="121">
        <f>Saisie!D1095</f>
        <v>0</v>
      </c>
      <c r="F1095" s="51">
        <f t="shared" si="73"/>
        <v>0</v>
      </c>
      <c r="G1095" s="52"/>
    </row>
    <row r="1096" spans="1:10" s="8" customFormat="1" ht="13.2" x14ac:dyDescent="0.25">
      <c r="A1096" s="27" t="s">
        <v>2835</v>
      </c>
      <c r="B1096" s="3" t="s">
        <v>2836</v>
      </c>
      <c r="C1096" s="217" t="s">
        <v>1034</v>
      </c>
      <c r="D1096" s="53">
        <v>10</v>
      </c>
      <c r="E1096" s="121">
        <f>Saisie!D1096</f>
        <v>0</v>
      </c>
      <c r="F1096" s="51">
        <f t="shared" si="73"/>
        <v>0</v>
      </c>
      <c r="G1096" s="52"/>
    </row>
    <row r="1097" spans="1:10" s="8" customFormat="1" ht="13.2" x14ac:dyDescent="0.25">
      <c r="A1097" s="27" t="s">
        <v>2837</v>
      </c>
      <c r="B1097" s="3" t="s">
        <v>2838</v>
      </c>
      <c r="C1097" s="217" t="s">
        <v>984</v>
      </c>
      <c r="D1097" s="53">
        <v>0</v>
      </c>
      <c r="E1097" s="121">
        <f>Saisie!D1097</f>
        <v>0</v>
      </c>
      <c r="F1097" s="51">
        <f t="shared" si="73"/>
        <v>0</v>
      </c>
      <c r="G1097" s="45"/>
    </row>
    <row r="1098" spans="1:10" s="8" customFormat="1" ht="27.6" customHeight="1" x14ac:dyDescent="0.25">
      <c r="A1098" s="27" t="s">
        <v>2839</v>
      </c>
      <c r="B1098" s="3" t="s">
        <v>2840</v>
      </c>
      <c r="C1098" s="227" t="s">
        <v>1011</v>
      </c>
      <c r="D1098" s="53">
        <v>0</v>
      </c>
      <c r="E1098" s="121">
        <f>Saisie!D1098</f>
        <v>0</v>
      </c>
      <c r="F1098" s="51">
        <f>E1098*D1098</f>
        <v>0</v>
      </c>
      <c r="G1098" s="45"/>
    </row>
    <row r="1099" spans="1:10" s="8" customFormat="1" ht="21" customHeight="1" x14ac:dyDescent="0.25">
      <c r="A1099" s="27" t="s">
        <v>2841</v>
      </c>
      <c r="B1099" s="245" t="s">
        <v>4314</v>
      </c>
      <c r="C1099" s="227" t="s">
        <v>1011</v>
      </c>
      <c r="D1099" s="53">
        <v>0</v>
      </c>
      <c r="E1099" s="121">
        <f>Saisie!D1099</f>
        <v>0</v>
      </c>
      <c r="F1099" s="51">
        <f>E1099*D1099</f>
        <v>0</v>
      </c>
      <c r="G1099" s="45"/>
    </row>
    <row r="1100" spans="1:10" s="8" customFormat="1" ht="16.5" customHeight="1" x14ac:dyDescent="0.25">
      <c r="A1100" s="27" t="s">
        <v>2843</v>
      </c>
      <c r="B1100" s="245" t="s">
        <v>2844</v>
      </c>
      <c r="C1100" s="227" t="s">
        <v>1141</v>
      </c>
      <c r="D1100" s="53">
        <v>0</v>
      </c>
      <c r="E1100" s="121">
        <f>Saisie!D1100</f>
        <v>0</v>
      </c>
      <c r="F1100" s="51">
        <f>E1100*D1100</f>
        <v>0</v>
      </c>
      <c r="G1100" s="45"/>
    </row>
    <row r="1101" spans="1:10" s="43" customFormat="1" ht="13.2" x14ac:dyDescent="0.25">
      <c r="A1101" s="27" t="s">
        <v>2845</v>
      </c>
      <c r="B1101" s="3" t="s">
        <v>2846</v>
      </c>
      <c r="C1101" s="217"/>
      <c r="D1101" s="217"/>
      <c r="E1101" s="121"/>
      <c r="F1101" s="127"/>
      <c r="G1101" s="52"/>
    </row>
    <row r="1102" spans="1:10" s="43" customFormat="1" ht="22.2" customHeight="1" x14ac:dyDescent="0.25">
      <c r="A1102" s="202" t="s">
        <v>2847</v>
      </c>
      <c r="B1102" s="192" t="s">
        <v>2848</v>
      </c>
      <c r="C1102" s="217" t="s">
        <v>984</v>
      </c>
      <c r="D1102" s="53">
        <v>1</v>
      </c>
      <c r="E1102" s="121">
        <f>Saisie!D1102</f>
        <v>0</v>
      </c>
      <c r="F1102" s="51">
        <f t="shared" si="73"/>
        <v>0</v>
      </c>
      <c r="G1102" s="52"/>
    </row>
    <row r="1103" spans="1:10" s="43" customFormat="1" ht="13.2" x14ac:dyDescent="0.25">
      <c r="A1103" s="202" t="s">
        <v>2849</v>
      </c>
      <c r="B1103" s="192" t="s">
        <v>2850</v>
      </c>
      <c r="C1103" s="217" t="s">
        <v>984</v>
      </c>
      <c r="D1103" s="53">
        <v>1</v>
      </c>
      <c r="E1103" s="121">
        <f>Saisie!D1103</f>
        <v>0</v>
      </c>
      <c r="F1103" s="51">
        <f t="shared" si="73"/>
        <v>0</v>
      </c>
      <c r="G1103" s="52"/>
    </row>
    <row r="1104" spans="1:10" s="8" customFormat="1" ht="13.2" x14ac:dyDescent="0.25">
      <c r="A1104" s="202" t="s">
        <v>2851</v>
      </c>
      <c r="B1104" s="216" t="s">
        <v>2852</v>
      </c>
      <c r="C1104" s="217" t="s">
        <v>1011</v>
      </c>
      <c r="D1104" s="53">
        <v>2</v>
      </c>
      <c r="E1104" s="121">
        <f>Saisie!D1104</f>
        <v>0</v>
      </c>
      <c r="F1104" s="51">
        <f t="shared" si="73"/>
        <v>0</v>
      </c>
      <c r="G1104" s="45"/>
    </row>
    <row r="1105" spans="1:7" s="43" customFormat="1" ht="13.2" x14ac:dyDescent="0.25">
      <c r="A1105" s="202"/>
      <c r="B1105" s="216"/>
      <c r="C1105" s="217"/>
      <c r="D1105" s="217"/>
      <c r="E1105" s="217"/>
      <c r="F1105" s="127"/>
      <c r="G1105" s="52"/>
    </row>
    <row r="1106" spans="1:7" s="43" customFormat="1" ht="26.4" x14ac:dyDescent="0.25">
      <c r="A1106" s="202"/>
      <c r="B1106" s="122" t="s">
        <v>2853</v>
      </c>
      <c r="C1106" s="217"/>
      <c r="D1106" s="45"/>
      <c r="E1106" s="45"/>
      <c r="F1106" s="51">
        <f>SUM(F1065:F1105)</f>
        <v>0</v>
      </c>
      <c r="G1106" s="52"/>
    </row>
    <row r="1107" spans="1:7" s="43" customFormat="1" ht="13.2" x14ac:dyDescent="0.25">
      <c r="A1107" s="202"/>
      <c r="B1107" s="122"/>
      <c r="C1107" s="217"/>
      <c r="D1107" s="45"/>
      <c r="E1107" s="45"/>
      <c r="F1107" s="127"/>
      <c r="G1107" s="52"/>
    </row>
    <row r="1108" spans="1:7" s="43" customFormat="1" ht="26.4" x14ac:dyDescent="0.25">
      <c r="A1108" s="32" t="s">
        <v>2854</v>
      </c>
      <c r="B1108" s="32" t="s">
        <v>2855</v>
      </c>
      <c r="C1108" s="224" t="s">
        <v>1883</v>
      </c>
      <c r="D1108" s="224" t="s">
        <v>1883</v>
      </c>
      <c r="E1108" s="224" t="s">
        <v>1883</v>
      </c>
      <c r="F1108" s="224" t="s">
        <v>1883</v>
      </c>
      <c r="G1108" s="52"/>
    </row>
    <row r="1109" spans="1:7" s="43" customFormat="1" ht="13.2" x14ac:dyDescent="0.25">
      <c r="A1109" s="27" t="s">
        <v>2856</v>
      </c>
      <c r="B1109" s="3" t="s">
        <v>2857</v>
      </c>
      <c r="C1109" s="217" t="s">
        <v>1883</v>
      </c>
      <c r="D1109" s="217" t="s">
        <v>1883</v>
      </c>
      <c r="E1109" s="217" t="s">
        <v>1883</v>
      </c>
      <c r="F1109" s="217" t="s">
        <v>1883</v>
      </c>
      <c r="G1109" s="52"/>
    </row>
    <row r="1110" spans="1:7" s="43" customFormat="1" ht="13.2" x14ac:dyDescent="0.25">
      <c r="A1110" s="202" t="s">
        <v>476</v>
      </c>
      <c r="B1110" s="216" t="s">
        <v>2858</v>
      </c>
      <c r="C1110" s="217" t="s">
        <v>1883</v>
      </c>
      <c r="D1110" s="217" t="s">
        <v>1883</v>
      </c>
      <c r="E1110" s="217" t="s">
        <v>1883</v>
      </c>
      <c r="F1110" s="217" t="s">
        <v>1883</v>
      </c>
      <c r="G1110" s="52"/>
    </row>
    <row r="1111" spans="1:7" s="43" customFormat="1" ht="13.2" x14ac:dyDescent="0.25">
      <c r="A1111" s="202" t="s">
        <v>2859</v>
      </c>
      <c r="B1111" s="216" t="s">
        <v>2860</v>
      </c>
      <c r="C1111" s="217" t="s">
        <v>984</v>
      </c>
      <c r="D1111" s="53">
        <v>0</v>
      </c>
      <c r="E1111" s="121">
        <f>Saisie!D1111</f>
        <v>0</v>
      </c>
      <c r="F1111" s="51">
        <f>E1111*D1111</f>
        <v>0</v>
      </c>
      <c r="G1111" s="52"/>
    </row>
    <row r="1112" spans="1:7" s="43" customFormat="1" ht="13.2" x14ac:dyDescent="0.25">
      <c r="A1112" s="202" t="s">
        <v>2861</v>
      </c>
      <c r="B1112" s="216" t="s">
        <v>2862</v>
      </c>
      <c r="C1112" s="217" t="s">
        <v>984</v>
      </c>
      <c r="D1112" s="53">
        <v>1</v>
      </c>
      <c r="E1112" s="121">
        <f>Saisie!D1112</f>
        <v>0</v>
      </c>
      <c r="F1112" s="51">
        <f>E1112*D1112</f>
        <v>0</v>
      </c>
      <c r="G1112" s="52"/>
    </row>
    <row r="1113" spans="1:7" s="43" customFormat="1" ht="13.2" x14ac:dyDescent="0.25">
      <c r="A1113" s="202" t="s">
        <v>2863</v>
      </c>
      <c r="B1113" s="216" t="s">
        <v>2864</v>
      </c>
      <c r="C1113" s="217" t="s">
        <v>984</v>
      </c>
      <c r="D1113" s="53">
        <v>0</v>
      </c>
      <c r="E1113" s="121">
        <f>Saisie!D1113</f>
        <v>0</v>
      </c>
      <c r="F1113" s="51">
        <f>E1113*D1113</f>
        <v>0</v>
      </c>
      <c r="G1113" s="52"/>
    </row>
    <row r="1114" spans="1:7" s="43" customFormat="1" ht="13.2" x14ac:dyDescent="0.25">
      <c r="A1114" s="202" t="s">
        <v>2865</v>
      </c>
      <c r="B1114" s="216" t="s">
        <v>2866</v>
      </c>
      <c r="C1114" s="217" t="s">
        <v>984</v>
      </c>
      <c r="D1114" s="53">
        <v>0</v>
      </c>
      <c r="E1114" s="121">
        <f>Saisie!D1114</f>
        <v>0</v>
      </c>
      <c r="F1114" s="51">
        <f t="shared" ref="F1114:F1121" si="74">E1114*D1114</f>
        <v>0</v>
      </c>
      <c r="G1114" s="52"/>
    </row>
    <row r="1115" spans="1:7" s="43" customFormat="1" ht="13.2" x14ac:dyDescent="0.25">
      <c r="A1115" s="202" t="s">
        <v>477</v>
      </c>
      <c r="B1115" s="216" t="s">
        <v>2867</v>
      </c>
      <c r="C1115" s="217" t="s">
        <v>1883</v>
      </c>
      <c r="D1115" s="45"/>
      <c r="E1115" s="121"/>
      <c r="F1115" s="51"/>
      <c r="G1115" s="52"/>
    </row>
    <row r="1116" spans="1:7" s="43" customFormat="1" ht="13.2" x14ac:dyDescent="0.25">
      <c r="A1116" s="202" t="s">
        <v>2868</v>
      </c>
      <c r="B1116" s="216" t="s">
        <v>2869</v>
      </c>
      <c r="C1116" s="217" t="s">
        <v>1026</v>
      </c>
      <c r="D1116" s="53">
        <v>0</v>
      </c>
      <c r="E1116" s="121">
        <f>Saisie!D1116</f>
        <v>0</v>
      </c>
      <c r="F1116" s="51">
        <f t="shared" si="74"/>
        <v>0</v>
      </c>
      <c r="G1116" s="52"/>
    </row>
    <row r="1117" spans="1:7" s="43" customFormat="1" ht="13.2" x14ac:dyDescent="0.25">
      <c r="A1117" s="202" t="s">
        <v>2870</v>
      </c>
      <c r="B1117" s="216" t="s">
        <v>2871</v>
      </c>
      <c r="C1117" s="217" t="s">
        <v>1026</v>
      </c>
      <c r="D1117" s="53">
        <v>3</v>
      </c>
      <c r="E1117" s="121">
        <f>Saisie!D1117</f>
        <v>0</v>
      </c>
      <c r="F1117" s="51">
        <f t="shared" si="74"/>
        <v>0</v>
      </c>
      <c r="G1117" s="52"/>
    </row>
    <row r="1118" spans="1:7" s="43" customFormat="1" ht="13.2" x14ac:dyDescent="0.25">
      <c r="A1118" s="202" t="s">
        <v>2872</v>
      </c>
      <c r="B1118" s="216" t="s">
        <v>2873</v>
      </c>
      <c r="C1118" s="217" t="s">
        <v>1026</v>
      </c>
      <c r="D1118" s="53">
        <v>0</v>
      </c>
      <c r="E1118" s="121">
        <f>Saisie!D1118</f>
        <v>0</v>
      </c>
      <c r="F1118" s="51">
        <f t="shared" si="74"/>
        <v>0</v>
      </c>
      <c r="G1118" s="52"/>
    </row>
    <row r="1119" spans="1:7" s="43" customFormat="1" ht="13.2" x14ac:dyDescent="0.25">
      <c r="A1119" s="202" t="s">
        <v>2874</v>
      </c>
      <c r="B1119" s="216" t="s">
        <v>2875</v>
      </c>
      <c r="C1119" s="217" t="s">
        <v>1026</v>
      </c>
      <c r="D1119" s="53">
        <v>0</v>
      </c>
      <c r="E1119" s="121">
        <f>Saisie!D1119</f>
        <v>0</v>
      </c>
      <c r="F1119" s="51">
        <f t="shared" si="74"/>
        <v>0</v>
      </c>
      <c r="G1119" s="52"/>
    </row>
    <row r="1120" spans="1:7" s="43" customFormat="1" ht="13.2" x14ac:dyDescent="0.25">
      <c r="A1120" s="202" t="s">
        <v>478</v>
      </c>
      <c r="B1120" s="216" t="s">
        <v>2876</v>
      </c>
      <c r="C1120" s="217" t="s">
        <v>1883</v>
      </c>
      <c r="D1120" s="45"/>
      <c r="E1120" s="121"/>
      <c r="F1120" s="51"/>
      <c r="G1120" s="52"/>
    </row>
    <row r="1121" spans="1:7" s="20" customFormat="1" ht="13.2" x14ac:dyDescent="0.25">
      <c r="A1121" s="202" t="s">
        <v>2877</v>
      </c>
      <c r="B1121" s="216" t="s">
        <v>2878</v>
      </c>
      <c r="C1121" s="217" t="s">
        <v>2879</v>
      </c>
      <c r="D1121" s="53">
        <v>0</v>
      </c>
      <c r="E1121" s="121">
        <f>Saisie!D1121</f>
        <v>0</v>
      </c>
      <c r="F1121" s="51">
        <f t="shared" si="74"/>
        <v>0</v>
      </c>
      <c r="G1121" s="218"/>
    </row>
    <row r="1122" spans="1:7" s="20" customFormat="1" ht="13.2" x14ac:dyDescent="0.25">
      <c r="A1122" s="202" t="s">
        <v>2880</v>
      </c>
      <c r="B1122" s="216" t="s">
        <v>2881</v>
      </c>
      <c r="C1122" s="217" t="s">
        <v>2879</v>
      </c>
      <c r="D1122" s="53">
        <v>24</v>
      </c>
      <c r="E1122" s="121">
        <f>Saisie!D1122</f>
        <v>0</v>
      </c>
      <c r="F1122" s="51">
        <f>E1122*D1122</f>
        <v>0</v>
      </c>
      <c r="G1122" s="218"/>
    </row>
    <row r="1123" spans="1:7" s="8" customFormat="1" ht="13.2" x14ac:dyDescent="0.25">
      <c r="A1123" s="202" t="s">
        <v>2882</v>
      </c>
      <c r="B1123" s="216" t="s">
        <v>2883</v>
      </c>
      <c r="C1123" s="217" t="s">
        <v>2879</v>
      </c>
      <c r="D1123" s="53">
        <v>0</v>
      </c>
      <c r="E1123" s="121">
        <f>Saisie!D1123</f>
        <v>0</v>
      </c>
      <c r="F1123" s="51">
        <f>E1123*D1123</f>
        <v>0</v>
      </c>
      <c r="G1123" s="45"/>
    </row>
    <row r="1124" spans="1:7" s="43" customFormat="1" ht="13.2" x14ac:dyDescent="0.25">
      <c r="A1124" s="202" t="s">
        <v>2884</v>
      </c>
      <c r="B1124" s="216" t="s">
        <v>2885</v>
      </c>
      <c r="C1124" s="217" t="s">
        <v>2879</v>
      </c>
      <c r="D1124" s="53">
        <v>0</v>
      </c>
      <c r="E1124" s="121">
        <f>Saisie!D1124</f>
        <v>0</v>
      </c>
      <c r="F1124" s="51">
        <f>E1124*D1124</f>
        <v>0</v>
      </c>
      <c r="G1124" s="52"/>
    </row>
    <row r="1125" spans="1:7" s="43" customFormat="1" ht="13.2" x14ac:dyDescent="0.25">
      <c r="A1125" s="27" t="s">
        <v>2886</v>
      </c>
      <c r="B1125" s="3" t="s">
        <v>2887</v>
      </c>
      <c r="C1125" s="217" t="s">
        <v>1883</v>
      </c>
      <c r="D1125" s="45"/>
      <c r="E1125" s="121"/>
      <c r="F1125" s="51"/>
      <c r="G1125" s="52"/>
    </row>
    <row r="1126" spans="1:7" s="43" customFormat="1" ht="13.8" x14ac:dyDescent="0.25">
      <c r="A1126" s="202" t="s">
        <v>487</v>
      </c>
      <c r="B1126" s="216" t="s">
        <v>2888</v>
      </c>
      <c r="C1126" s="217" t="s">
        <v>1034</v>
      </c>
      <c r="D1126" s="53">
        <v>0</v>
      </c>
      <c r="E1126" s="121">
        <f>Saisie!D1126</f>
        <v>0</v>
      </c>
      <c r="F1126" s="51">
        <f>E1126*D1126</f>
        <v>0</v>
      </c>
      <c r="G1126" s="52"/>
    </row>
    <row r="1127" spans="1:7" s="43" customFormat="1" ht="13.2" x14ac:dyDescent="0.25">
      <c r="A1127" s="202" t="s">
        <v>488</v>
      </c>
      <c r="B1127" s="216" t="s">
        <v>2889</v>
      </c>
      <c r="C1127" s="217" t="s">
        <v>1034</v>
      </c>
      <c r="D1127" s="53">
        <v>0</v>
      </c>
      <c r="E1127" s="121">
        <f>Saisie!D1127</f>
        <v>0</v>
      </c>
      <c r="F1127" s="51">
        <f t="shared" ref="F1127:F1133" si="75">E1127*D1127</f>
        <v>0</v>
      </c>
      <c r="G1127" s="52"/>
    </row>
    <row r="1128" spans="1:7" s="8" customFormat="1" ht="16.2" x14ac:dyDescent="0.25">
      <c r="A1128" s="202" t="s">
        <v>489</v>
      </c>
      <c r="B1128" s="216" t="s">
        <v>2890</v>
      </c>
      <c r="C1128" s="217" t="s">
        <v>1034</v>
      </c>
      <c r="D1128" s="53">
        <v>208</v>
      </c>
      <c r="E1128" s="121">
        <f>Saisie!D1128</f>
        <v>0</v>
      </c>
      <c r="F1128" s="51">
        <f t="shared" si="75"/>
        <v>0</v>
      </c>
      <c r="G1128" s="45"/>
    </row>
    <row r="1129" spans="1:7" s="43" customFormat="1" ht="13.2" x14ac:dyDescent="0.25">
      <c r="A1129" s="202" t="s">
        <v>2891</v>
      </c>
      <c r="B1129" s="216" t="s">
        <v>2892</v>
      </c>
      <c r="C1129" s="217" t="s">
        <v>1034</v>
      </c>
      <c r="D1129" s="53">
        <v>0</v>
      </c>
      <c r="E1129" s="121">
        <f>Saisie!D1129</f>
        <v>0</v>
      </c>
      <c r="F1129" s="51">
        <f t="shared" si="75"/>
        <v>0</v>
      </c>
      <c r="G1129" s="52"/>
    </row>
    <row r="1130" spans="1:7" s="43" customFormat="1" ht="13.2" x14ac:dyDescent="0.25">
      <c r="A1130" s="202" t="s">
        <v>2893</v>
      </c>
      <c r="B1130" s="216" t="s">
        <v>2894</v>
      </c>
      <c r="C1130" s="217" t="s">
        <v>1034</v>
      </c>
      <c r="D1130" s="53">
        <v>0</v>
      </c>
      <c r="E1130" s="121">
        <f>Saisie!D1130</f>
        <v>0</v>
      </c>
      <c r="F1130" s="51">
        <f t="shared" si="75"/>
        <v>0</v>
      </c>
      <c r="G1130" s="52"/>
    </row>
    <row r="1131" spans="1:7" s="43" customFormat="1" ht="13.2" x14ac:dyDescent="0.25">
      <c r="A1131" s="202" t="s">
        <v>2895</v>
      </c>
      <c r="B1131" s="216" t="s">
        <v>2896</v>
      </c>
      <c r="C1131" s="217" t="s">
        <v>1034</v>
      </c>
      <c r="D1131" s="53">
        <v>0</v>
      </c>
      <c r="E1131" s="121">
        <f>Saisie!D1131</f>
        <v>0</v>
      </c>
      <c r="F1131" s="51">
        <f t="shared" si="75"/>
        <v>0</v>
      </c>
      <c r="G1131" s="52"/>
    </row>
    <row r="1132" spans="1:7" s="43" customFormat="1" ht="13.2" x14ac:dyDescent="0.25">
      <c r="A1132" s="202" t="s">
        <v>2897</v>
      </c>
      <c r="B1132" s="216" t="s">
        <v>2898</v>
      </c>
      <c r="C1132" s="217" t="s">
        <v>1034</v>
      </c>
      <c r="D1132" s="53">
        <v>0</v>
      </c>
      <c r="E1132" s="121">
        <f>Saisie!D1132</f>
        <v>0</v>
      </c>
      <c r="F1132" s="51">
        <f t="shared" si="75"/>
        <v>0</v>
      </c>
      <c r="G1132" s="52"/>
    </row>
    <row r="1133" spans="1:7" s="43" customFormat="1" ht="13.2" x14ac:dyDescent="0.25">
      <c r="A1133" s="202" t="s">
        <v>2899</v>
      </c>
      <c r="B1133" s="216" t="s">
        <v>2900</v>
      </c>
      <c r="C1133" s="217" t="s">
        <v>1034</v>
      </c>
      <c r="D1133" s="53">
        <v>0</v>
      </c>
      <c r="E1133" s="121">
        <f>Saisie!D1133</f>
        <v>0</v>
      </c>
      <c r="F1133" s="51">
        <f t="shared" si="75"/>
        <v>0</v>
      </c>
      <c r="G1133" s="52"/>
    </row>
    <row r="1134" spans="1:7" s="43" customFormat="1" ht="13.2" x14ac:dyDescent="0.25">
      <c r="A1134" s="27" t="s">
        <v>2901</v>
      </c>
      <c r="B1134" s="3" t="s">
        <v>2902</v>
      </c>
      <c r="C1134" s="217" t="s">
        <v>1883</v>
      </c>
      <c r="D1134" s="45"/>
      <c r="E1134" s="121"/>
      <c r="F1134" s="51"/>
      <c r="G1134" s="52"/>
    </row>
    <row r="1135" spans="1:7" s="43" customFormat="1" ht="13.2" x14ac:dyDescent="0.25">
      <c r="A1135" s="202" t="s">
        <v>576</v>
      </c>
      <c r="B1135" s="216" t="s">
        <v>2903</v>
      </c>
      <c r="C1135" s="217" t="s">
        <v>1034</v>
      </c>
      <c r="D1135" s="53">
        <v>0</v>
      </c>
      <c r="E1135" s="121">
        <f>Saisie!D1135</f>
        <v>0</v>
      </c>
      <c r="F1135" s="51">
        <f t="shared" ref="F1135:F1151" si="76">E1135*D1135</f>
        <v>0</v>
      </c>
      <c r="G1135" s="52"/>
    </row>
    <row r="1136" spans="1:7" s="43" customFormat="1" ht="13.2" x14ac:dyDescent="0.25">
      <c r="A1136" s="202" t="s">
        <v>577</v>
      </c>
      <c r="B1136" s="216" t="s">
        <v>2904</v>
      </c>
      <c r="C1136" s="217" t="s">
        <v>1034</v>
      </c>
      <c r="D1136" s="53">
        <v>0</v>
      </c>
      <c r="E1136" s="121">
        <f>Saisie!D1136</f>
        <v>0</v>
      </c>
      <c r="F1136" s="51">
        <f t="shared" si="76"/>
        <v>0</v>
      </c>
      <c r="G1136" s="52"/>
    </row>
    <row r="1137" spans="1:7" s="43" customFormat="1" ht="13.2" x14ac:dyDescent="0.25">
      <c r="A1137" s="202" t="s">
        <v>578</v>
      </c>
      <c r="B1137" s="216" t="s">
        <v>2905</v>
      </c>
      <c r="C1137" s="217" t="s">
        <v>1034</v>
      </c>
      <c r="D1137" s="53">
        <v>208</v>
      </c>
      <c r="E1137" s="121">
        <f>Saisie!D1137</f>
        <v>0</v>
      </c>
      <c r="F1137" s="51">
        <f t="shared" si="76"/>
        <v>0</v>
      </c>
      <c r="G1137" s="52"/>
    </row>
    <row r="1138" spans="1:7" s="43" customFormat="1" ht="13.2" x14ac:dyDescent="0.25">
      <c r="A1138" s="202" t="s">
        <v>579</v>
      </c>
      <c r="B1138" s="216" t="s">
        <v>2906</v>
      </c>
      <c r="C1138" s="217" t="s">
        <v>1034</v>
      </c>
      <c r="D1138" s="53">
        <v>0</v>
      </c>
      <c r="E1138" s="121">
        <f>Saisie!D1138</f>
        <v>0</v>
      </c>
      <c r="F1138" s="51">
        <f t="shared" si="76"/>
        <v>0</v>
      </c>
      <c r="G1138" s="52"/>
    </row>
    <row r="1139" spans="1:7" s="8" customFormat="1" ht="13.2" x14ac:dyDescent="0.25">
      <c r="A1139" s="202" t="s">
        <v>580</v>
      </c>
      <c r="B1139" s="216" t="s">
        <v>2907</v>
      </c>
      <c r="C1139" s="217" t="s">
        <v>1034</v>
      </c>
      <c r="D1139" s="53">
        <v>0</v>
      </c>
      <c r="E1139" s="121">
        <f>Saisie!D1139</f>
        <v>0</v>
      </c>
      <c r="F1139" s="51">
        <f t="shared" si="76"/>
        <v>0</v>
      </c>
      <c r="G1139" s="45"/>
    </row>
    <row r="1140" spans="1:7" s="43" customFormat="1" ht="13.2" x14ac:dyDescent="0.25">
      <c r="A1140" s="202" t="s">
        <v>581</v>
      </c>
      <c r="B1140" s="216" t="s">
        <v>2908</v>
      </c>
      <c r="C1140" s="217" t="s">
        <v>1034</v>
      </c>
      <c r="D1140" s="53">
        <v>0</v>
      </c>
      <c r="E1140" s="121">
        <f>Saisie!D1140</f>
        <v>0</v>
      </c>
      <c r="F1140" s="51">
        <f t="shared" si="76"/>
        <v>0</v>
      </c>
      <c r="G1140" s="52"/>
    </row>
    <row r="1141" spans="1:7" s="43" customFormat="1" ht="13.2" x14ac:dyDescent="0.25">
      <c r="A1141" s="202" t="s">
        <v>582</v>
      </c>
      <c r="B1141" s="216" t="s">
        <v>2909</v>
      </c>
      <c r="C1141" s="217" t="s">
        <v>1034</v>
      </c>
      <c r="D1141" s="53">
        <v>0</v>
      </c>
      <c r="E1141" s="121">
        <f>Saisie!D1141</f>
        <v>0</v>
      </c>
      <c r="F1141" s="51">
        <f t="shared" si="76"/>
        <v>0</v>
      </c>
      <c r="G1141" s="52"/>
    </row>
    <row r="1142" spans="1:7" s="43" customFormat="1" ht="13.2" x14ac:dyDescent="0.25">
      <c r="A1142" s="202" t="s">
        <v>583</v>
      </c>
      <c r="B1142" s="216" t="s">
        <v>2910</v>
      </c>
      <c r="C1142" s="217" t="s">
        <v>1034</v>
      </c>
      <c r="D1142" s="53">
        <v>0</v>
      </c>
      <c r="E1142" s="121">
        <f>Saisie!D1142</f>
        <v>0</v>
      </c>
      <c r="F1142" s="51">
        <f t="shared" si="76"/>
        <v>0</v>
      </c>
      <c r="G1142" s="52"/>
    </row>
    <row r="1143" spans="1:7" s="43" customFormat="1" ht="13.2" x14ac:dyDescent="0.25">
      <c r="A1143" s="202" t="s">
        <v>584</v>
      </c>
      <c r="B1143" s="216" t="s">
        <v>2911</v>
      </c>
      <c r="C1143" s="217" t="s">
        <v>1034</v>
      </c>
      <c r="D1143" s="53">
        <v>0</v>
      </c>
      <c r="E1143" s="121">
        <f>Saisie!D1143</f>
        <v>0</v>
      </c>
      <c r="F1143" s="51">
        <f t="shared" si="76"/>
        <v>0</v>
      </c>
      <c r="G1143" s="52"/>
    </row>
    <row r="1144" spans="1:7" s="43" customFormat="1" ht="13.2" x14ac:dyDescent="0.25">
      <c r="A1144" s="202" t="s">
        <v>585</v>
      </c>
      <c r="B1144" s="216" t="s">
        <v>2912</v>
      </c>
      <c r="C1144" s="217" t="s">
        <v>1034</v>
      </c>
      <c r="D1144" s="53">
        <v>0</v>
      </c>
      <c r="E1144" s="121">
        <f>Saisie!D1144</f>
        <v>0</v>
      </c>
      <c r="F1144" s="51">
        <f t="shared" si="76"/>
        <v>0</v>
      </c>
      <c r="G1144" s="52"/>
    </row>
    <row r="1145" spans="1:7" s="43" customFormat="1" ht="13.2" x14ac:dyDescent="0.25">
      <c r="A1145" s="202" t="s">
        <v>586</v>
      </c>
      <c r="B1145" s="216" t="s">
        <v>2913</v>
      </c>
      <c r="C1145" s="217" t="s">
        <v>1034</v>
      </c>
      <c r="D1145" s="53">
        <v>0</v>
      </c>
      <c r="E1145" s="121">
        <f>Saisie!D1145</f>
        <v>0</v>
      </c>
      <c r="F1145" s="51">
        <f t="shared" si="76"/>
        <v>0</v>
      </c>
      <c r="G1145" s="52"/>
    </row>
    <row r="1146" spans="1:7" s="8" customFormat="1" ht="13.2" x14ac:dyDescent="0.25">
      <c r="A1146" s="202" t="s">
        <v>587</v>
      </c>
      <c r="B1146" s="216" t="s">
        <v>2914</v>
      </c>
      <c r="C1146" s="217" t="s">
        <v>1011</v>
      </c>
      <c r="D1146" s="53">
        <v>0</v>
      </c>
      <c r="E1146" s="121">
        <f>Saisie!D1146</f>
        <v>0</v>
      </c>
      <c r="F1146" s="51">
        <f t="shared" si="76"/>
        <v>0</v>
      </c>
      <c r="G1146" s="45"/>
    </row>
    <row r="1147" spans="1:7" s="43" customFormat="1" ht="13.2" x14ac:dyDescent="0.25">
      <c r="A1147" s="27" t="s">
        <v>2915</v>
      </c>
      <c r="B1147" s="3" t="s">
        <v>2916</v>
      </c>
      <c r="C1147" s="217"/>
      <c r="D1147" s="45"/>
      <c r="E1147" s="121"/>
      <c r="F1147" s="51"/>
      <c r="G1147" s="52"/>
    </row>
    <row r="1148" spans="1:7" s="43" customFormat="1" ht="13.2" x14ac:dyDescent="0.25">
      <c r="A1148" s="202" t="s">
        <v>597</v>
      </c>
      <c r="B1148" s="216" t="s">
        <v>2917</v>
      </c>
      <c r="C1148" s="217" t="s">
        <v>1026</v>
      </c>
      <c r="D1148" s="53">
        <v>1</v>
      </c>
      <c r="E1148" s="121">
        <f>Saisie!D1148</f>
        <v>0</v>
      </c>
      <c r="F1148" s="51">
        <f t="shared" si="76"/>
        <v>0</v>
      </c>
      <c r="G1148" s="52"/>
    </row>
    <row r="1149" spans="1:7" s="43" customFormat="1" ht="13.2" x14ac:dyDescent="0.25">
      <c r="A1149" s="202" t="s">
        <v>598</v>
      </c>
      <c r="B1149" s="216" t="s">
        <v>2918</v>
      </c>
      <c r="C1149" s="217" t="s">
        <v>2879</v>
      </c>
      <c r="D1149" s="53">
        <v>12</v>
      </c>
      <c r="E1149" s="121">
        <f>Saisie!D1149</f>
        <v>0</v>
      </c>
      <c r="F1149" s="51">
        <f t="shared" si="76"/>
        <v>0</v>
      </c>
      <c r="G1149" s="52"/>
    </row>
    <row r="1150" spans="1:7" s="43" customFormat="1" ht="13.2" x14ac:dyDescent="0.25">
      <c r="A1150" s="27" t="s">
        <v>2919</v>
      </c>
      <c r="B1150" s="3" t="s">
        <v>2920</v>
      </c>
      <c r="C1150" s="217"/>
      <c r="D1150" s="45"/>
      <c r="E1150" s="121"/>
      <c r="F1150" s="51"/>
      <c r="G1150" s="52"/>
    </row>
    <row r="1151" spans="1:7" s="43" customFormat="1" ht="13.2" x14ac:dyDescent="0.25">
      <c r="A1151" s="202" t="s">
        <v>2921</v>
      </c>
      <c r="B1151" s="216" t="s">
        <v>2922</v>
      </c>
      <c r="C1151" s="217" t="s">
        <v>2923</v>
      </c>
      <c r="D1151" s="53">
        <v>0</v>
      </c>
      <c r="E1151" s="121">
        <f>Saisie!D1151</f>
        <v>0</v>
      </c>
      <c r="F1151" s="51">
        <f t="shared" si="76"/>
        <v>0</v>
      </c>
      <c r="G1151" s="52"/>
    </row>
    <row r="1152" spans="1:7" s="43" customFormat="1" ht="26.4" x14ac:dyDescent="0.25">
      <c r="A1152" s="202" t="s">
        <v>2924</v>
      </c>
      <c r="B1152" s="216" t="s">
        <v>2925</v>
      </c>
      <c r="C1152" s="217"/>
      <c r="D1152" s="45"/>
      <c r="E1152" s="121"/>
      <c r="F1152" s="51"/>
      <c r="G1152" s="52"/>
    </row>
    <row r="1153" spans="1:7" s="8" customFormat="1" ht="13.8" x14ac:dyDescent="0.25">
      <c r="A1153" s="202" t="s">
        <v>2926</v>
      </c>
      <c r="B1153" s="216" t="s">
        <v>2927</v>
      </c>
      <c r="C1153" s="217" t="s">
        <v>1011</v>
      </c>
      <c r="D1153" s="53">
        <v>0</v>
      </c>
      <c r="E1153" s="121">
        <f>Saisie!D1153</f>
        <v>0</v>
      </c>
      <c r="F1153" s="51">
        <f t="shared" ref="F1153:F1159" si="77">E1153*D1153</f>
        <v>0</v>
      </c>
      <c r="G1153" s="45"/>
    </row>
    <row r="1154" spans="1:7" s="43" customFormat="1" ht="13.8" x14ac:dyDescent="0.25">
      <c r="A1154" s="202" t="s">
        <v>2928</v>
      </c>
      <c r="B1154" s="216" t="s">
        <v>2929</v>
      </c>
      <c r="C1154" s="217" t="s">
        <v>1011</v>
      </c>
      <c r="D1154" s="53">
        <v>0</v>
      </c>
      <c r="E1154" s="121">
        <f>Saisie!D1154</f>
        <v>0</v>
      </c>
      <c r="F1154" s="51">
        <f t="shared" si="77"/>
        <v>0</v>
      </c>
      <c r="G1154" s="52"/>
    </row>
    <row r="1155" spans="1:7" s="43" customFormat="1" ht="13.8" x14ac:dyDescent="0.25">
      <c r="A1155" s="202" t="s">
        <v>2930</v>
      </c>
      <c r="B1155" s="216" t="s">
        <v>2931</v>
      </c>
      <c r="C1155" s="217" t="s">
        <v>1011</v>
      </c>
      <c r="D1155" s="53">
        <v>0</v>
      </c>
      <c r="E1155" s="121">
        <f>Saisie!D1155</f>
        <v>0</v>
      </c>
      <c r="F1155" s="51">
        <f t="shared" si="77"/>
        <v>0</v>
      </c>
      <c r="G1155" s="52"/>
    </row>
    <row r="1156" spans="1:7" s="43" customFormat="1" ht="13.8" x14ac:dyDescent="0.25">
      <c r="A1156" s="202" t="s">
        <v>2932</v>
      </c>
      <c r="B1156" s="216" t="s">
        <v>2933</v>
      </c>
      <c r="C1156" s="217" t="s">
        <v>1011</v>
      </c>
      <c r="D1156" s="53">
        <v>0</v>
      </c>
      <c r="E1156" s="121">
        <f>Saisie!D1156</f>
        <v>0</v>
      </c>
      <c r="F1156" s="51">
        <f t="shared" si="77"/>
        <v>0</v>
      </c>
      <c r="G1156" s="76"/>
    </row>
    <row r="1157" spans="1:7" s="43" customFormat="1" ht="13.8" x14ac:dyDescent="0.25">
      <c r="A1157" s="202" t="s">
        <v>2934</v>
      </c>
      <c r="B1157" s="216" t="s">
        <v>2935</v>
      </c>
      <c r="C1157" s="217" t="s">
        <v>1011</v>
      </c>
      <c r="D1157" s="53">
        <v>0</v>
      </c>
      <c r="E1157" s="121">
        <f>Saisie!D1157</f>
        <v>0</v>
      </c>
      <c r="F1157" s="51">
        <f t="shared" si="77"/>
        <v>0</v>
      </c>
      <c r="G1157" s="52"/>
    </row>
    <row r="1158" spans="1:7" s="43" customFormat="1" ht="13.8" x14ac:dyDescent="0.25">
      <c r="A1158" s="202" t="s">
        <v>2936</v>
      </c>
      <c r="B1158" s="216" t="s">
        <v>2937</v>
      </c>
      <c r="C1158" s="217" t="s">
        <v>1011</v>
      </c>
      <c r="D1158" s="53">
        <v>0</v>
      </c>
      <c r="E1158" s="121">
        <f>Saisie!D1158</f>
        <v>0</v>
      </c>
      <c r="F1158" s="51">
        <f t="shared" si="77"/>
        <v>0</v>
      </c>
      <c r="G1158" s="76"/>
    </row>
    <row r="1159" spans="1:7" s="2" customFormat="1" ht="13.8" x14ac:dyDescent="0.25">
      <c r="A1159" s="202" t="s">
        <v>2938</v>
      </c>
      <c r="B1159" s="216" t="s">
        <v>2939</v>
      </c>
      <c r="C1159" s="217" t="s">
        <v>1011</v>
      </c>
      <c r="D1159" s="53">
        <v>0</v>
      </c>
      <c r="E1159" s="121">
        <f>Saisie!D1159</f>
        <v>0</v>
      </c>
      <c r="F1159" s="51">
        <f t="shared" si="77"/>
        <v>0</v>
      </c>
      <c r="G1159" s="45"/>
    </row>
    <row r="1160" spans="1:7" s="43" customFormat="1" ht="13.2" x14ac:dyDescent="0.25">
      <c r="A1160" s="27" t="s">
        <v>2940</v>
      </c>
      <c r="B1160" s="3" t="s">
        <v>2941</v>
      </c>
      <c r="C1160" s="217" t="s">
        <v>1883</v>
      </c>
      <c r="D1160" s="45"/>
      <c r="E1160" s="121"/>
      <c r="F1160" s="51"/>
      <c r="G1160" s="45"/>
    </row>
    <row r="1161" spans="1:7" s="43" customFormat="1" ht="13.2" x14ac:dyDescent="0.25">
      <c r="A1161" s="202" t="s">
        <v>2942</v>
      </c>
      <c r="B1161" s="216" t="s">
        <v>2943</v>
      </c>
      <c r="C1161" s="217" t="s">
        <v>984</v>
      </c>
      <c r="D1161" s="53">
        <v>1</v>
      </c>
      <c r="E1161" s="121">
        <f>Saisie!D1161</f>
        <v>0</v>
      </c>
      <c r="F1161" s="51">
        <f t="shared" ref="F1161:F1175" si="78">E1161*D1161</f>
        <v>0</v>
      </c>
      <c r="G1161" s="45"/>
    </row>
    <row r="1162" spans="1:7" s="43" customFormat="1" ht="13.2" x14ac:dyDescent="0.25">
      <c r="A1162" s="202" t="s">
        <v>2944</v>
      </c>
      <c r="B1162" s="216" t="s">
        <v>2945</v>
      </c>
      <c r="C1162" s="217" t="s">
        <v>1883</v>
      </c>
      <c r="D1162" s="45"/>
      <c r="E1162" s="121"/>
      <c r="F1162" s="51"/>
      <c r="G1162" s="76"/>
    </row>
    <row r="1163" spans="1:7" s="43" customFormat="1" ht="13.2" x14ac:dyDescent="0.25">
      <c r="A1163" s="202" t="s">
        <v>2946</v>
      </c>
      <c r="B1163" s="216" t="s">
        <v>2947</v>
      </c>
      <c r="C1163" s="217" t="s">
        <v>1883</v>
      </c>
      <c r="D1163" s="45"/>
      <c r="E1163" s="121"/>
      <c r="F1163" s="51"/>
      <c r="G1163" s="52"/>
    </row>
    <row r="1164" spans="1:7" s="43" customFormat="1" ht="13.8" x14ac:dyDescent="0.25">
      <c r="A1164" s="202" t="s">
        <v>2948</v>
      </c>
      <c r="B1164" s="216" t="s">
        <v>2949</v>
      </c>
      <c r="C1164" s="217" t="s">
        <v>1034</v>
      </c>
      <c r="D1164" s="53">
        <v>0</v>
      </c>
      <c r="E1164" s="121">
        <f>Saisie!D1164</f>
        <v>0</v>
      </c>
      <c r="F1164" s="51">
        <f t="shared" si="78"/>
        <v>0</v>
      </c>
      <c r="G1164" s="76"/>
    </row>
    <row r="1165" spans="1:7" s="43" customFormat="1" ht="13.8" x14ac:dyDescent="0.25">
      <c r="A1165" s="202" t="s">
        <v>2950</v>
      </c>
      <c r="B1165" s="216" t="s">
        <v>2951</v>
      </c>
      <c r="C1165" s="217" t="s">
        <v>1034</v>
      </c>
      <c r="D1165" s="53">
        <v>0</v>
      </c>
      <c r="E1165" s="121">
        <f>Saisie!D1165</f>
        <v>0</v>
      </c>
      <c r="F1165" s="51">
        <f t="shared" si="78"/>
        <v>0</v>
      </c>
      <c r="G1165" s="45"/>
    </row>
    <row r="1166" spans="1:7" s="43" customFormat="1" ht="13.8" x14ac:dyDescent="0.25">
      <c r="A1166" s="202" t="s">
        <v>2952</v>
      </c>
      <c r="B1166" s="216" t="s">
        <v>2953</v>
      </c>
      <c r="C1166" s="217" t="s">
        <v>1034</v>
      </c>
      <c r="D1166" s="53">
        <v>0</v>
      </c>
      <c r="E1166" s="121">
        <f>Saisie!D1166</f>
        <v>0</v>
      </c>
      <c r="F1166" s="51">
        <f t="shared" si="78"/>
        <v>0</v>
      </c>
      <c r="G1166" s="76"/>
    </row>
    <row r="1167" spans="1:7" s="43" customFormat="1" ht="13.8" x14ac:dyDescent="0.25">
      <c r="A1167" s="202" t="s">
        <v>2954</v>
      </c>
      <c r="B1167" s="216" t="s">
        <v>2955</v>
      </c>
      <c r="C1167" s="217" t="s">
        <v>1034</v>
      </c>
      <c r="D1167" s="53">
        <v>0</v>
      </c>
      <c r="E1167" s="121">
        <f>Saisie!D1167</f>
        <v>0</v>
      </c>
      <c r="F1167" s="51">
        <f t="shared" si="78"/>
        <v>0</v>
      </c>
      <c r="G1167" s="52"/>
    </row>
    <row r="1168" spans="1:7" s="43" customFormat="1" ht="13.8" x14ac:dyDescent="0.25">
      <c r="A1168" s="202" t="s">
        <v>2956</v>
      </c>
      <c r="B1168" s="216" t="s">
        <v>2957</v>
      </c>
      <c r="C1168" s="217" t="s">
        <v>1034</v>
      </c>
      <c r="D1168" s="53">
        <v>0</v>
      </c>
      <c r="E1168" s="121">
        <f>Saisie!D1168</f>
        <v>0</v>
      </c>
      <c r="F1168" s="51">
        <f t="shared" si="78"/>
        <v>0</v>
      </c>
      <c r="G1168" s="76"/>
    </row>
    <row r="1169" spans="1:7" s="43" customFormat="1" ht="13.8" x14ac:dyDescent="0.25">
      <c r="A1169" s="202" t="s">
        <v>2958</v>
      </c>
      <c r="B1169" s="216" t="s">
        <v>2959</v>
      </c>
      <c r="C1169" s="217" t="s">
        <v>1034</v>
      </c>
      <c r="D1169" s="53">
        <v>0</v>
      </c>
      <c r="E1169" s="121">
        <f>Saisie!D1169</f>
        <v>0</v>
      </c>
      <c r="F1169" s="51">
        <f t="shared" si="78"/>
        <v>0</v>
      </c>
    </row>
    <row r="1170" spans="1:7" s="43" customFormat="1" ht="13.8" x14ac:dyDescent="0.25">
      <c r="A1170" s="202" t="s">
        <v>2960</v>
      </c>
      <c r="B1170" s="216" t="s">
        <v>2961</v>
      </c>
      <c r="C1170" s="217" t="s">
        <v>1034</v>
      </c>
      <c r="D1170" s="53">
        <v>0</v>
      </c>
      <c r="E1170" s="121">
        <f>Saisie!D1170</f>
        <v>0</v>
      </c>
      <c r="F1170" s="51">
        <f t="shared" si="78"/>
        <v>0</v>
      </c>
    </row>
    <row r="1171" spans="1:7" s="43" customFormat="1" ht="13.8" x14ac:dyDescent="0.25">
      <c r="A1171" s="202" t="s">
        <v>2962</v>
      </c>
      <c r="B1171" s="216" t="s">
        <v>2963</v>
      </c>
      <c r="C1171" s="217" t="s">
        <v>1034</v>
      </c>
      <c r="D1171" s="53">
        <v>0</v>
      </c>
      <c r="E1171" s="121">
        <f>Saisie!D1171</f>
        <v>0</v>
      </c>
      <c r="F1171" s="51">
        <f t="shared" si="78"/>
        <v>0</v>
      </c>
    </row>
    <row r="1172" spans="1:7" s="8" customFormat="1" ht="13.8" x14ac:dyDescent="0.25">
      <c r="A1172" s="202" t="s">
        <v>2964</v>
      </c>
      <c r="B1172" s="216" t="s">
        <v>2965</v>
      </c>
      <c r="C1172" s="217" t="s">
        <v>1034</v>
      </c>
      <c r="D1172" s="53">
        <v>0</v>
      </c>
      <c r="E1172" s="121">
        <f>Saisie!D1172</f>
        <v>0</v>
      </c>
      <c r="F1172" s="51">
        <f t="shared" si="78"/>
        <v>0</v>
      </c>
    </row>
    <row r="1173" spans="1:7" s="8" customFormat="1" ht="26.4" x14ac:dyDescent="0.25">
      <c r="A1173" s="202" t="s">
        <v>2966</v>
      </c>
      <c r="B1173" s="216" t="s">
        <v>2967</v>
      </c>
      <c r="C1173" s="217" t="s">
        <v>1034</v>
      </c>
      <c r="D1173" s="53">
        <v>0</v>
      </c>
      <c r="E1173" s="121">
        <f>Saisie!D1173</f>
        <v>0</v>
      </c>
      <c r="F1173" s="51">
        <f t="shared" si="78"/>
        <v>0</v>
      </c>
    </row>
    <row r="1174" spans="1:7" s="8" customFormat="1" ht="26.4" x14ac:dyDescent="0.25">
      <c r="A1174" s="202" t="s">
        <v>2968</v>
      </c>
      <c r="B1174" s="216" t="s">
        <v>2969</v>
      </c>
      <c r="C1174" s="217" t="s">
        <v>1034</v>
      </c>
      <c r="D1174" s="53">
        <v>0</v>
      </c>
      <c r="E1174" s="121">
        <f>Saisie!D1174</f>
        <v>0</v>
      </c>
      <c r="F1174" s="51">
        <f t="shared" si="78"/>
        <v>0</v>
      </c>
    </row>
    <row r="1175" spans="1:7" s="8" customFormat="1" ht="26.4" x14ac:dyDescent="0.25">
      <c r="A1175" s="202" t="s">
        <v>2970</v>
      </c>
      <c r="B1175" s="216" t="s">
        <v>2971</v>
      </c>
      <c r="C1175" s="217" t="s">
        <v>1034</v>
      </c>
      <c r="D1175" s="53">
        <v>0</v>
      </c>
      <c r="E1175" s="121">
        <f>Saisie!D1175</f>
        <v>0</v>
      </c>
      <c r="F1175" s="51">
        <f t="shared" si="78"/>
        <v>0</v>
      </c>
    </row>
    <row r="1176" spans="1:7" s="8" customFormat="1" ht="13.2" x14ac:dyDescent="0.25">
      <c r="A1176" s="202" t="s">
        <v>2972</v>
      </c>
      <c r="B1176" s="216" t="s">
        <v>2973</v>
      </c>
      <c r="C1176" s="217" t="s">
        <v>1883</v>
      </c>
      <c r="D1176" s="45"/>
      <c r="E1176" s="121"/>
      <c r="F1176" s="51"/>
    </row>
    <row r="1177" spans="1:7" s="8" customFormat="1" ht="13.8" x14ac:dyDescent="0.25">
      <c r="A1177" s="202" t="s">
        <v>2974</v>
      </c>
      <c r="B1177" s="216" t="s">
        <v>2975</v>
      </c>
      <c r="C1177" s="217" t="s">
        <v>1034</v>
      </c>
      <c r="D1177" s="53">
        <v>0</v>
      </c>
      <c r="E1177" s="121">
        <f>Saisie!D1177</f>
        <v>0</v>
      </c>
      <c r="F1177" s="51">
        <f t="shared" ref="F1177:F1191" si="79">E1177*D1177</f>
        <v>0</v>
      </c>
    </row>
    <row r="1178" spans="1:7" s="8" customFormat="1" ht="13.8" x14ac:dyDescent="0.25">
      <c r="A1178" s="202" t="s">
        <v>2976</v>
      </c>
      <c r="B1178" s="216" t="s">
        <v>2977</v>
      </c>
      <c r="C1178" s="217" t="s">
        <v>1034</v>
      </c>
      <c r="D1178" s="53">
        <v>0</v>
      </c>
      <c r="E1178" s="121">
        <f>Saisie!D1178</f>
        <v>0</v>
      </c>
      <c r="F1178" s="51">
        <f t="shared" si="79"/>
        <v>0</v>
      </c>
      <c r="G1178" s="52"/>
    </row>
    <row r="1179" spans="1:7" s="8" customFormat="1" ht="13.8" x14ac:dyDescent="0.25">
      <c r="A1179" s="202" t="s">
        <v>2978</v>
      </c>
      <c r="B1179" s="216" t="s">
        <v>2979</v>
      </c>
      <c r="C1179" s="217" t="s">
        <v>1034</v>
      </c>
      <c r="D1179" s="53">
        <v>0</v>
      </c>
      <c r="E1179" s="121">
        <f>Saisie!D1179</f>
        <v>0</v>
      </c>
      <c r="F1179" s="51">
        <f t="shared" si="79"/>
        <v>0</v>
      </c>
      <c r="G1179" s="52"/>
    </row>
    <row r="1180" spans="1:7" s="8" customFormat="1" ht="13.8" x14ac:dyDescent="0.25">
      <c r="A1180" s="202" t="s">
        <v>2980</v>
      </c>
      <c r="B1180" s="216" t="s">
        <v>2981</v>
      </c>
      <c r="C1180" s="217" t="s">
        <v>1034</v>
      </c>
      <c r="D1180" s="53">
        <v>0</v>
      </c>
      <c r="E1180" s="121">
        <f>Saisie!D1180</f>
        <v>0</v>
      </c>
      <c r="F1180" s="51">
        <f t="shared" si="79"/>
        <v>0</v>
      </c>
      <c r="G1180" s="45"/>
    </row>
    <row r="1181" spans="1:7" s="43" customFormat="1" ht="13.8" x14ac:dyDescent="0.25">
      <c r="A1181" s="202" t="s">
        <v>2982</v>
      </c>
      <c r="B1181" s="216" t="s">
        <v>2983</v>
      </c>
      <c r="C1181" s="217" t="s">
        <v>1034</v>
      </c>
      <c r="D1181" s="53">
        <v>0</v>
      </c>
      <c r="E1181" s="121">
        <f>Saisie!D1181</f>
        <v>0</v>
      </c>
      <c r="F1181" s="51">
        <f t="shared" si="79"/>
        <v>0</v>
      </c>
      <c r="G1181" s="52"/>
    </row>
    <row r="1182" spans="1:7" s="43" customFormat="1" ht="13.8" x14ac:dyDescent="0.25">
      <c r="A1182" s="202" t="s">
        <v>2984</v>
      </c>
      <c r="B1182" s="216" t="s">
        <v>2985</v>
      </c>
      <c r="C1182" s="217" t="s">
        <v>1034</v>
      </c>
      <c r="D1182" s="53">
        <v>0</v>
      </c>
      <c r="E1182" s="121">
        <f>Saisie!D1182</f>
        <v>0</v>
      </c>
      <c r="F1182" s="51">
        <f t="shared" si="79"/>
        <v>0</v>
      </c>
      <c r="G1182" s="52"/>
    </row>
    <row r="1183" spans="1:7" s="43" customFormat="1" ht="32.4" customHeight="1" x14ac:dyDescent="0.25">
      <c r="A1183" s="202" t="s">
        <v>2986</v>
      </c>
      <c r="B1183" s="216" t="s">
        <v>2987</v>
      </c>
      <c r="C1183" s="217" t="s">
        <v>1034</v>
      </c>
      <c r="D1183" s="53">
        <v>0</v>
      </c>
      <c r="E1183" s="121">
        <f>Saisie!D1183</f>
        <v>0</v>
      </c>
      <c r="F1183" s="51">
        <f t="shared" si="79"/>
        <v>0</v>
      </c>
      <c r="G1183" s="52"/>
    </row>
    <row r="1184" spans="1:7" s="43" customFormat="1" ht="13.8" x14ac:dyDescent="0.25">
      <c r="A1184" s="202" t="s">
        <v>2988</v>
      </c>
      <c r="B1184" s="216" t="s">
        <v>2989</v>
      </c>
      <c r="C1184" s="217" t="s">
        <v>1034</v>
      </c>
      <c r="D1184" s="53">
        <v>0</v>
      </c>
      <c r="E1184" s="121">
        <f>Saisie!D1184</f>
        <v>0</v>
      </c>
      <c r="F1184" s="51">
        <f t="shared" si="79"/>
        <v>0</v>
      </c>
      <c r="G1184" s="52"/>
    </row>
    <row r="1185" spans="1:7" s="43" customFormat="1" ht="13.8" x14ac:dyDescent="0.25">
      <c r="A1185" s="202" t="s">
        <v>2990</v>
      </c>
      <c r="B1185" s="216" t="s">
        <v>2991</v>
      </c>
      <c r="C1185" s="217" t="s">
        <v>1034</v>
      </c>
      <c r="D1185" s="53">
        <v>0</v>
      </c>
      <c r="E1185" s="121">
        <f>Saisie!D1185</f>
        <v>0</v>
      </c>
      <c r="F1185" s="51">
        <f t="shared" si="79"/>
        <v>0</v>
      </c>
      <c r="G1185" s="52"/>
    </row>
    <row r="1186" spans="1:7" s="43" customFormat="1" ht="26.4" x14ac:dyDescent="0.25">
      <c r="A1186" s="202" t="s">
        <v>2992</v>
      </c>
      <c r="B1186" s="216" t="s">
        <v>2993</v>
      </c>
      <c r="C1186" s="217" t="s">
        <v>1034</v>
      </c>
      <c r="D1186" s="53">
        <v>0</v>
      </c>
      <c r="E1186" s="121">
        <f>Saisie!D1186</f>
        <v>0</v>
      </c>
      <c r="F1186" s="51">
        <f t="shared" si="79"/>
        <v>0</v>
      </c>
      <c r="G1186" s="52"/>
    </row>
    <row r="1187" spans="1:7" s="43" customFormat="1" ht="26.4" x14ac:dyDescent="0.25">
      <c r="A1187" s="202" t="s">
        <v>2994</v>
      </c>
      <c r="B1187" s="216" t="s">
        <v>2995</v>
      </c>
      <c r="C1187" s="217" t="s">
        <v>1034</v>
      </c>
      <c r="D1187" s="53">
        <v>0</v>
      </c>
      <c r="E1187" s="121">
        <f>Saisie!D1187</f>
        <v>0</v>
      </c>
      <c r="F1187" s="51">
        <f t="shared" si="79"/>
        <v>0</v>
      </c>
      <c r="G1187" s="52"/>
    </row>
    <row r="1188" spans="1:7" s="43" customFormat="1" ht="26.4" x14ac:dyDescent="0.25">
      <c r="A1188" s="202" t="s">
        <v>2996</v>
      </c>
      <c r="B1188" s="216" t="s">
        <v>2997</v>
      </c>
      <c r="C1188" s="217" t="s">
        <v>1034</v>
      </c>
      <c r="D1188" s="53">
        <v>0</v>
      </c>
      <c r="E1188" s="121">
        <f>Saisie!D1188</f>
        <v>0</v>
      </c>
      <c r="F1188" s="51">
        <f t="shared" si="79"/>
        <v>0</v>
      </c>
      <c r="G1188" s="52"/>
    </row>
    <row r="1189" spans="1:7" s="43" customFormat="1" ht="13.2" x14ac:dyDescent="0.25">
      <c r="A1189" s="202" t="s">
        <v>2998</v>
      </c>
      <c r="B1189" s="216" t="s">
        <v>2999</v>
      </c>
      <c r="C1189" s="217" t="s">
        <v>1883</v>
      </c>
      <c r="D1189" s="45"/>
      <c r="E1189" s="121"/>
      <c r="F1189" s="51"/>
      <c r="G1189" s="52"/>
    </row>
    <row r="1190" spans="1:7" s="8" customFormat="1" ht="13.8" x14ac:dyDescent="0.25">
      <c r="A1190" s="202" t="s">
        <v>3000</v>
      </c>
      <c r="B1190" s="216" t="s">
        <v>3001</v>
      </c>
      <c r="C1190" s="217" t="s">
        <v>1034</v>
      </c>
      <c r="D1190" s="53">
        <v>0</v>
      </c>
      <c r="E1190" s="121">
        <f>Saisie!D1190</f>
        <v>0</v>
      </c>
      <c r="F1190" s="51">
        <f t="shared" si="79"/>
        <v>0</v>
      </c>
      <c r="G1190" s="45"/>
    </row>
    <row r="1191" spans="1:7" s="43" customFormat="1" ht="13.8" x14ac:dyDescent="0.25">
      <c r="A1191" s="202" t="s">
        <v>3002</v>
      </c>
      <c r="B1191" s="216" t="s">
        <v>3003</v>
      </c>
      <c r="C1191" s="217" t="s">
        <v>1034</v>
      </c>
      <c r="D1191" s="53">
        <v>0</v>
      </c>
      <c r="E1191" s="121">
        <f>Saisie!D1191</f>
        <v>0</v>
      </c>
      <c r="F1191" s="51">
        <f t="shared" si="79"/>
        <v>0</v>
      </c>
      <c r="G1191" s="52"/>
    </row>
    <row r="1192" spans="1:7" s="43" customFormat="1" ht="13.8" x14ac:dyDescent="0.25">
      <c r="A1192" s="202" t="s">
        <v>3004</v>
      </c>
      <c r="B1192" s="216" t="s">
        <v>3005</v>
      </c>
      <c r="C1192" s="217" t="s">
        <v>1034</v>
      </c>
      <c r="D1192" s="53">
        <v>0</v>
      </c>
      <c r="E1192" s="121">
        <f>Saisie!D1192</f>
        <v>0</v>
      </c>
      <c r="F1192" s="51">
        <f>E1192*D1192</f>
        <v>0</v>
      </c>
      <c r="G1192" s="52"/>
    </row>
    <row r="1193" spans="1:7" s="43" customFormat="1" ht="13.8" x14ac:dyDescent="0.25">
      <c r="A1193" s="202" t="s">
        <v>3006</v>
      </c>
      <c r="B1193" s="216" t="s">
        <v>3007</v>
      </c>
      <c r="C1193" s="217" t="s">
        <v>1034</v>
      </c>
      <c r="D1193" s="53">
        <v>104</v>
      </c>
      <c r="E1193" s="121">
        <f>Saisie!D1193</f>
        <v>0</v>
      </c>
      <c r="F1193" s="51">
        <f t="shared" ref="F1193:F1198" si="80">E1193*D1193</f>
        <v>0</v>
      </c>
      <c r="G1193" s="52"/>
    </row>
    <row r="1194" spans="1:7" s="43" customFormat="1" ht="13.8" x14ac:dyDescent="0.25">
      <c r="A1194" s="202" t="s">
        <v>3008</v>
      </c>
      <c r="B1194" s="216" t="s">
        <v>3009</v>
      </c>
      <c r="C1194" s="217" t="s">
        <v>1034</v>
      </c>
      <c r="D1194" s="53">
        <v>0</v>
      </c>
      <c r="E1194" s="121">
        <f>Saisie!D1194</f>
        <v>0</v>
      </c>
      <c r="F1194" s="51">
        <f t="shared" si="80"/>
        <v>0</v>
      </c>
      <c r="G1194" s="52"/>
    </row>
    <row r="1195" spans="1:7" s="43" customFormat="1" ht="13.8" x14ac:dyDescent="0.25">
      <c r="A1195" s="202" t="s">
        <v>3010</v>
      </c>
      <c r="B1195" s="216" t="s">
        <v>3011</v>
      </c>
      <c r="C1195" s="217" t="s">
        <v>1034</v>
      </c>
      <c r="D1195" s="53">
        <v>0</v>
      </c>
      <c r="E1195" s="121">
        <f>Saisie!D1195</f>
        <v>0</v>
      </c>
      <c r="F1195" s="51">
        <f t="shared" si="80"/>
        <v>0</v>
      </c>
      <c r="G1195" s="52"/>
    </row>
    <row r="1196" spans="1:7" s="43" customFormat="1" ht="13.2" hidden="1" customHeight="1" x14ac:dyDescent="0.25">
      <c r="A1196" s="202" t="s">
        <v>3012</v>
      </c>
      <c r="B1196" s="216" t="s">
        <v>3013</v>
      </c>
      <c r="C1196" s="217" t="s">
        <v>1034</v>
      </c>
      <c r="D1196" s="53">
        <v>0</v>
      </c>
      <c r="E1196" s="121">
        <f>Saisie!D1196</f>
        <v>0</v>
      </c>
      <c r="F1196" s="51">
        <f t="shared" si="80"/>
        <v>0</v>
      </c>
      <c r="G1196" s="52"/>
    </row>
    <row r="1197" spans="1:7" s="43" customFormat="1" ht="13.2" hidden="1" customHeight="1" x14ac:dyDescent="0.25">
      <c r="A1197" s="202" t="s">
        <v>3014</v>
      </c>
      <c r="B1197" s="216" t="s">
        <v>3015</v>
      </c>
      <c r="C1197" s="217" t="s">
        <v>1034</v>
      </c>
      <c r="D1197" s="53">
        <v>0</v>
      </c>
      <c r="E1197" s="121">
        <f>Saisie!D1197</f>
        <v>0</v>
      </c>
      <c r="F1197" s="51">
        <f t="shared" si="80"/>
        <v>0</v>
      </c>
      <c r="G1197" s="52"/>
    </row>
    <row r="1198" spans="1:7" s="43" customFormat="1" ht="13.2" hidden="1" customHeight="1" x14ac:dyDescent="0.25">
      <c r="A1198" s="202" t="s">
        <v>3016</v>
      </c>
      <c r="B1198" s="216" t="s">
        <v>3017</v>
      </c>
      <c r="C1198" s="217" t="s">
        <v>1034</v>
      </c>
      <c r="D1198" s="53">
        <v>0</v>
      </c>
      <c r="E1198" s="121">
        <f>Saisie!D1198</f>
        <v>0</v>
      </c>
      <c r="F1198" s="51">
        <f t="shared" si="80"/>
        <v>0</v>
      </c>
      <c r="G1198" s="52"/>
    </row>
    <row r="1199" spans="1:7" s="43" customFormat="1" ht="13.2" hidden="1" customHeight="1" x14ac:dyDescent="0.25">
      <c r="A1199" s="202" t="s">
        <v>3018</v>
      </c>
      <c r="B1199" s="216" t="s">
        <v>3019</v>
      </c>
      <c r="C1199" s="217" t="s">
        <v>1034</v>
      </c>
      <c r="D1199" s="53">
        <v>0</v>
      </c>
      <c r="E1199" s="121">
        <f>Saisie!D1199</f>
        <v>0</v>
      </c>
      <c r="F1199" s="51">
        <f>E1199*D1199</f>
        <v>0</v>
      </c>
      <c r="G1199" s="52"/>
    </row>
    <row r="1200" spans="1:7" s="8" customFormat="1" ht="26.4" x14ac:dyDescent="0.25">
      <c r="A1200" s="202" t="s">
        <v>3020</v>
      </c>
      <c r="B1200" s="216" t="s">
        <v>3021</v>
      </c>
      <c r="C1200" s="217" t="s">
        <v>1034</v>
      </c>
      <c r="D1200" s="53">
        <v>0</v>
      </c>
      <c r="E1200" s="121">
        <f>Saisie!D1200</f>
        <v>0</v>
      </c>
      <c r="F1200" s="51">
        <f>E1200*D1200</f>
        <v>0</v>
      </c>
      <c r="G1200" s="45"/>
    </row>
    <row r="1201" spans="1:7" s="43" customFormat="1" ht="26.4" x14ac:dyDescent="0.25">
      <c r="A1201" s="202" t="s">
        <v>3022</v>
      </c>
      <c r="B1201" s="216" t="s">
        <v>3023</v>
      </c>
      <c r="C1201" s="217" t="s">
        <v>1034</v>
      </c>
      <c r="D1201" s="53">
        <v>0</v>
      </c>
      <c r="E1201" s="121">
        <f>Saisie!D1201</f>
        <v>0</v>
      </c>
      <c r="F1201" s="51">
        <f>E1201*D1201</f>
        <v>0</v>
      </c>
      <c r="G1201" s="52"/>
    </row>
    <row r="1202" spans="1:7" s="43" customFormat="1" ht="26.4" x14ac:dyDescent="0.25">
      <c r="A1202" s="27" t="s">
        <v>3024</v>
      </c>
      <c r="B1202" s="3" t="s">
        <v>3025</v>
      </c>
      <c r="C1202" s="217"/>
      <c r="D1202" s="45"/>
      <c r="E1202" s="121"/>
      <c r="F1202" s="51"/>
      <c r="G1202" s="52"/>
    </row>
    <row r="1203" spans="1:7" s="43" customFormat="1" ht="13.2" x14ac:dyDescent="0.25">
      <c r="A1203" s="202" t="s">
        <v>3026</v>
      </c>
      <c r="B1203" s="216" t="s">
        <v>3027</v>
      </c>
      <c r="C1203" s="217" t="s">
        <v>984</v>
      </c>
      <c r="D1203" s="53">
        <v>0</v>
      </c>
      <c r="E1203" s="121">
        <f>Saisie!D1203</f>
        <v>0</v>
      </c>
      <c r="F1203" s="51">
        <f>E1203*D1203</f>
        <v>0</v>
      </c>
      <c r="G1203" s="52"/>
    </row>
    <row r="1204" spans="1:7" s="43" customFormat="1" ht="13.2" x14ac:dyDescent="0.25">
      <c r="A1204" s="202" t="s">
        <v>3028</v>
      </c>
      <c r="B1204" s="216" t="s">
        <v>3029</v>
      </c>
      <c r="C1204" s="217"/>
      <c r="D1204" s="45"/>
      <c r="E1204" s="121"/>
      <c r="F1204" s="51"/>
      <c r="G1204" s="52"/>
    </row>
    <row r="1205" spans="1:7" s="43" customFormat="1" ht="13.2" x14ac:dyDescent="0.25">
      <c r="A1205" s="202" t="s">
        <v>3030</v>
      </c>
      <c r="B1205" s="216" t="s">
        <v>3031</v>
      </c>
      <c r="C1205" s="217" t="s">
        <v>1034</v>
      </c>
      <c r="D1205" s="53">
        <v>0</v>
      </c>
      <c r="E1205" s="121">
        <f>Saisie!D1205</f>
        <v>0</v>
      </c>
      <c r="F1205" s="51">
        <f t="shared" ref="F1205:F1210" si="81">E1205*D1205</f>
        <v>0</v>
      </c>
      <c r="G1205" s="52"/>
    </row>
    <row r="1206" spans="1:7" s="43" customFormat="1" ht="13.2" x14ac:dyDescent="0.25">
      <c r="A1206" s="202" t="s">
        <v>3032</v>
      </c>
      <c r="B1206" s="216" t="s">
        <v>3033</v>
      </c>
      <c r="C1206" s="217" t="s">
        <v>1034</v>
      </c>
      <c r="D1206" s="53">
        <v>0</v>
      </c>
      <c r="E1206" s="121">
        <f>Saisie!D1206</f>
        <v>0</v>
      </c>
      <c r="F1206" s="51">
        <f t="shared" si="81"/>
        <v>0</v>
      </c>
      <c r="G1206" s="52"/>
    </row>
    <row r="1207" spans="1:7" s="43" customFormat="1" ht="13.2" x14ac:dyDescent="0.25">
      <c r="A1207" s="202" t="s">
        <v>3034</v>
      </c>
      <c r="B1207" s="216" t="s">
        <v>3035</v>
      </c>
      <c r="C1207" s="217" t="s">
        <v>1034</v>
      </c>
      <c r="D1207" s="53">
        <v>0</v>
      </c>
      <c r="E1207" s="121">
        <f>Saisie!D1207</f>
        <v>0</v>
      </c>
      <c r="F1207" s="51">
        <f t="shared" si="81"/>
        <v>0</v>
      </c>
      <c r="G1207" s="52"/>
    </row>
    <row r="1208" spans="1:7" s="43" customFormat="1" ht="13.2" x14ac:dyDescent="0.25">
      <c r="A1208" s="202" t="s">
        <v>3036</v>
      </c>
      <c r="B1208" s="216" t="s">
        <v>3037</v>
      </c>
      <c r="C1208" s="217" t="s">
        <v>1034</v>
      </c>
      <c r="D1208" s="53">
        <v>0</v>
      </c>
      <c r="E1208" s="121">
        <f>Saisie!D1208</f>
        <v>0</v>
      </c>
      <c r="F1208" s="51">
        <f t="shared" si="81"/>
        <v>0</v>
      </c>
      <c r="G1208" s="52"/>
    </row>
    <row r="1209" spans="1:7" s="43" customFormat="1" ht="13.2" x14ac:dyDescent="0.25">
      <c r="A1209" s="202" t="s">
        <v>3038</v>
      </c>
      <c r="B1209" s="216" t="s">
        <v>3039</v>
      </c>
      <c r="C1209" s="217" t="s">
        <v>1034</v>
      </c>
      <c r="D1209" s="53">
        <v>0</v>
      </c>
      <c r="E1209" s="121">
        <f>Saisie!D1209</f>
        <v>0</v>
      </c>
      <c r="F1209" s="51">
        <f t="shared" si="81"/>
        <v>0</v>
      </c>
      <c r="G1209" s="52"/>
    </row>
    <row r="1210" spans="1:7" s="8" customFormat="1" ht="13.2" x14ac:dyDescent="0.25">
      <c r="A1210" s="202" t="s">
        <v>3040</v>
      </c>
      <c r="B1210" s="216" t="s">
        <v>3041</v>
      </c>
      <c r="C1210" s="217" t="s">
        <v>1034</v>
      </c>
      <c r="D1210" s="53">
        <v>0</v>
      </c>
      <c r="E1210" s="121">
        <f>Saisie!D1210</f>
        <v>0</v>
      </c>
      <c r="F1210" s="51">
        <f t="shared" si="81"/>
        <v>0</v>
      </c>
      <c r="G1210" s="45"/>
    </row>
    <row r="1211" spans="1:7" s="43" customFormat="1" ht="13.2" x14ac:dyDescent="0.25">
      <c r="A1211" s="202" t="s">
        <v>3042</v>
      </c>
      <c r="B1211" s="216" t="s">
        <v>3043</v>
      </c>
      <c r="C1211" s="217" t="s">
        <v>1034</v>
      </c>
      <c r="D1211" s="53">
        <v>0</v>
      </c>
      <c r="E1211" s="121">
        <f>Saisie!D1211</f>
        <v>0</v>
      </c>
      <c r="F1211" s="51">
        <f>E1211*D1211</f>
        <v>0</v>
      </c>
      <c r="G1211" s="52"/>
    </row>
    <row r="1212" spans="1:7" s="43" customFormat="1" ht="13.2" x14ac:dyDescent="0.25">
      <c r="A1212" s="27" t="s">
        <v>3044</v>
      </c>
      <c r="B1212" s="3" t="s">
        <v>3045</v>
      </c>
      <c r="C1212" s="217"/>
      <c r="D1212" s="45"/>
      <c r="E1212" s="121"/>
      <c r="F1212" s="51"/>
      <c r="G1212" s="52"/>
    </row>
    <row r="1213" spans="1:7" s="43" customFormat="1" ht="13.2" x14ac:dyDescent="0.25">
      <c r="A1213" s="202" t="s">
        <v>3046</v>
      </c>
      <c r="B1213" s="216" t="s">
        <v>3047</v>
      </c>
      <c r="C1213" s="217" t="s">
        <v>984</v>
      </c>
      <c r="D1213" s="53">
        <v>0</v>
      </c>
      <c r="E1213" s="121">
        <f>Saisie!D1213</f>
        <v>0</v>
      </c>
      <c r="F1213" s="51">
        <f>E1213*D1213</f>
        <v>0</v>
      </c>
      <c r="G1213" s="52"/>
    </row>
    <row r="1214" spans="1:7" s="43" customFormat="1" ht="13.2" x14ac:dyDescent="0.25">
      <c r="A1214" s="202" t="s">
        <v>3048</v>
      </c>
      <c r="B1214" s="216" t="s">
        <v>3049</v>
      </c>
      <c r="C1214" s="217"/>
      <c r="D1214" s="45"/>
      <c r="E1214" s="121"/>
      <c r="F1214" s="51"/>
      <c r="G1214" s="45"/>
    </row>
    <row r="1215" spans="1:7" s="43" customFormat="1" ht="13.2" x14ac:dyDescent="0.25">
      <c r="A1215" s="202" t="s">
        <v>3050</v>
      </c>
      <c r="B1215" s="216" t="s">
        <v>3031</v>
      </c>
      <c r="C1215" s="217" t="s">
        <v>1034</v>
      </c>
      <c r="D1215" s="53">
        <v>0</v>
      </c>
      <c r="E1215" s="121">
        <f>Saisie!D1215</f>
        <v>0</v>
      </c>
      <c r="F1215" s="51">
        <f>E1215*D1215</f>
        <v>0</v>
      </c>
      <c r="G1215" s="45"/>
    </row>
    <row r="1216" spans="1:7" s="43" customFormat="1" ht="13.2" x14ac:dyDescent="0.25">
      <c r="A1216" s="202" t="s">
        <v>3051</v>
      </c>
      <c r="B1216" s="216" t="s">
        <v>3033</v>
      </c>
      <c r="C1216" s="217" t="s">
        <v>1034</v>
      </c>
      <c r="D1216" s="53">
        <v>0</v>
      </c>
      <c r="E1216" s="121">
        <f>Saisie!D1216</f>
        <v>0</v>
      </c>
      <c r="F1216" s="51">
        <f>E1216*D1216</f>
        <v>0</v>
      </c>
      <c r="G1216" s="45"/>
    </row>
    <row r="1217" spans="1:7" s="43" customFormat="1" ht="13.2" x14ac:dyDescent="0.25">
      <c r="A1217" s="202" t="s">
        <v>3052</v>
      </c>
      <c r="B1217" s="216" t="s">
        <v>3035</v>
      </c>
      <c r="C1217" s="217" t="s">
        <v>1034</v>
      </c>
      <c r="D1217" s="53">
        <v>0</v>
      </c>
      <c r="E1217" s="121">
        <f>Saisie!D1217</f>
        <v>0</v>
      </c>
      <c r="F1217" s="51">
        <f>E1217*D1217</f>
        <v>0</v>
      </c>
      <c r="G1217" s="52"/>
    </row>
    <row r="1218" spans="1:7" s="43" customFormat="1" ht="13.2" x14ac:dyDescent="0.25">
      <c r="A1218" s="202" t="s">
        <v>3053</v>
      </c>
      <c r="B1218" s="216" t="s">
        <v>3037</v>
      </c>
      <c r="C1218" s="217" t="s">
        <v>1034</v>
      </c>
      <c r="D1218" s="53">
        <v>0</v>
      </c>
      <c r="E1218" s="121">
        <f>Saisie!D1218</f>
        <v>0</v>
      </c>
      <c r="F1218" s="51">
        <f>E1218*D1218</f>
        <v>0</v>
      </c>
      <c r="G1218" s="76"/>
    </row>
    <row r="1219" spans="1:7" s="43" customFormat="1" ht="13.2" x14ac:dyDescent="0.25">
      <c r="A1219" s="202" t="s">
        <v>3054</v>
      </c>
      <c r="B1219" s="216" t="s">
        <v>3039</v>
      </c>
      <c r="C1219" s="217" t="s">
        <v>1034</v>
      </c>
      <c r="D1219" s="53">
        <v>0</v>
      </c>
      <c r="E1219" s="121">
        <f>Saisie!D1219</f>
        <v>0</v>
      </c>
      <c r="F1219" s="51">
        <f>E1219*D1219</f>
        <v>0</v>
      </c>
      <c r="G1219" s="45"/>
    </row>
    <row r="1220" spans="1:7" s="43" customFormat="1" ht="13.2" x14ac:dyDescent="0.25">
      <c r="A1220" s="202" t="s">
        <v>3055</v>
      </c>
      <c r="B1220" s="216" t="s">
        <v>3041</v>
      </c>
      <c r="C1220" s="217" t="s">
        <v>1034</v>
      </c>
      <c r="D1220" s="53">
        <v>0</v>
      </c>
      <c r="E1220" s="121">
        <f>Saisie!D1220</f>
        <v>0</v>
      </c>
      <c r="F1220" s="51">
        <f t="shared" ref="F1220:F1225" si="82">E1220*D1220</f>
        <v>0</v>
      </c>
      <c r="G1220" s="45"/>
    </row>
    <row r="1221" spans="1:7" s="43" customFormat="1" ht="13.5" customHeight="1" x14ac:dyDescent="0.25">
      <c r="A1221" s="202" t="s">
        <v>3056</v>
      </c>
      <c r="B1221" s="216" t="s">
        <v>3057</v>
      </c>
      <c r="C1221" s="217" t="s">
        <v>1034</v>
      </c>
      <c r="D1221" s="53">
        <v>0</v>
      </c>
      <c r="E1221" s="121">
        <f>Saisie!D1221</f>
        <v>0</v>
      </c>
      <c r="F1221" s="51">
        <f t="shared" si="82"/>
        <v>0</v>
      </c>
      <c r="G1221" s="177"/>
    </row>
    <row r="1222" spans="1:7" s="43" customFormat="1" ht="13.2" x14ac:dyDescent="0.25">
      <c r="A1222" s="27" t="s">
        <v>3058</v>
      </c>
      <c r="B1222" s="3" t="s">
        <v>3059</v>
      </c>
      <c r="C1222" s="217" t="s">
        <v>1883</v>
      </c>
      <c r="D1222" s="45"/>
      <c r="E1222" s="121"/>
      <c r="F1222" s="51"/>
      <c r="G1222" s="177"/>
    </row>
    <row r="1223" spans="1:7" s="43" customFormat="1" ht="13.2" x14ac:dyDescent="0.25">
      <c r="A1223" s="202" t="s">
        <v>3060</v>
      </c>
      <c r="B1223" s="216" t="s">
        <v>3061</v>
      </c>
      <c r="C1223" s="217" t="s">
        <v>984</v>
      </c>
      <c r="D1223" s="53">
        <v>0</v>
      </c>
      <c r="E1223" s="121">
        <f>Saisie!D1223</f>
        <v>0</v>
      </c>
      <c r="F1223" s="51">
        <f t="shared" si="82"/>
        <v>0</v>
      </c>
      <c r="G1223" s="45"/>
    </row>
    <row r="1224" spans="1:7" s="43" customFormat="1" ht="13.2" x14ac:dyDescent="0.25">
      <c r="A1224" s="202" t="s">
        <v>3062</v>
      </c>
      <c r="B1224" s="216" t="s">
        <v>3063</v>
      </c>
      <c r="C1224" s="217" t="s">
        <v>1011</v>
      </c>
      <c r="D1224" s="53">
        <v>0</v>
      </c>
      <c r="E1224" s="121">
        <f>Saisie!D1224</f>
        <v>0</v>
      </c>
      <c r="F1224" s="51">
        <f t="shared" si="82"/>
        <v>0</v>
      </c>
      <c r="G1224" s="177"/>
    </row>
    <row r="1225" spans="1:7" s="43" customFormat="1" ht="13.2" x14ac:dyDescent="0.25">
      <c r="A1225" s="202" t="s">
        <v>3064</v>
      </c>
      <c r="B1225" s="216" t="s">
        <v>3065</v>
      </c>
      <c r="C1225" s="217" t="s">
        <v>1011</v>
      </c>
      <c r="D1225" s="53">
        <v>0</v>
      </c>
      <c r="E1225" s="121">
        <f>Saisie!D1225</f>
        <v>0</v>
      </c>
      <c r="F1225" s="51">
        <f t="shared" si="82"/>
        <v>0</v>
      </c>
      <c r="G1225" s="177"/>
    </row>
    <row r="1226" spans="1:7" s="43" customFormat="1" ht="13.2" x14ac:dyDescent="0.25">
      <c r="A1226" s="27" t="s">
        <v>3066</v>
      </c>
      <c r="B1226" s="3" t="s">
        <v>3067</v>
      </c>
      <c r="C1226" s="217" t="s">
        <v>1883</v>
      </c>
      <c r="D1226" s="45"/>
      <c r="E1226" s="121"/>
      <c r="F1226" s="51"/>
      <c r="G1226" s="52"/>
    </row>
    <row r="1227" spans="1:7" s="43" customFormat="1" ht="13.2" x14ac:dyDescent="0.25">
      <c r="A1227" s="201" t="s">
        <v>3068</v>
      </c>
      <c r="B1227" s="216" t="s">
        <v>3069</v>
      </c>
      <c r="C1227" s="217" t="s">
        <v>1026</v>
      </c>
      <c r="D1227" s="53">
        <v>2</v>
      </c>
      <c r="E1227" s="121">
        <f>Saisie!D1227</f>
        <v>0</v>
      </c>
      <c r="F1227" s="51">
        <f>E1227*D1227</f>
        <v>0</v>
      </c>
      <c r="G1227" s="45"/>
    </row>
    <row r="1228" spans="1:7" s="43" customFormat="1" ht="13.2" x14ac:dyDescent="0.25">
      <c r="A1228" s="201" t="s">
        <v>3070</v>
      </c>
      <c r="B1228" s="216" t="s">
        <v>3071</v>
      </c>
      <c r="C1228" s="217" t="s">
        <v>2879</v>
      </c>
      <c r="D1228" s="53">
        <v>5</v>
      </c>
      <c r="E1228" s="121">
        <f>Saisie!D1228</f>
        <v>0</v>
      </c>
      <c r="F1228" s="51">
        <f>E1228*D1228</f>
        <v>0</v>
      </c>
      <c r="G1228" s="177"/>
    </row>
    <row r="1229" spans="1:7" s="43" customFormat="1" ht="13.2" x14ac:dyDescent="0.25">
      <c r="A1229" s="201" t="s">
        <v>3072</v>
      </c>
      <c r="B1229" s="216" t="s">
        <v>3073</v>
      </c>
      <c r="C1229" s="217" t="s">
        <v>3074</v>
      </c>
      <c r="D1229" s="53">
        <v>0</v>
      </c>
      <c r="E1229" s="121">
        <f>Saisie!D1229</f>
        <v>0</v>
      </c>
      <c r="F1229" s="51">
        <f>E1229*D1229</f>
        <v>0</v>
      </c>
      <c r="G1229" s="77"/>
    </row>
    <row r="1230" spans="1:7" s="43" customFormat="1" ht="13.2" x14ac:dyDescent="0.25">
      <c r="A1230" s="201" t="s">
        <v>3075</v>
      </c>
      <c r="B1230" s="216" t="s">
        <v>3076</v>
      </c>
      <c r="C1230" s="217"/>
      <c r="D1230" s="45"/>
      <c r="E1230" s="121"/>
      <c r="F1230" s="51"/>
      <c r="G1230" s="45"/>
    </row>
    <row r="1231" spans="1:7" s="43" customFormat="1" ht="13.2" x14ac:dyDescent="0.25">
      <c r="A1231" s="201" t="s">
        <v>3077</v>
      </c>
      <c r="B1231" s="216" t="s">
        <v>3078</v>
      </c>
      <c r="C1231" s="217" t="s">
        <v>1011</v>
      </c>
      <c r="D1231" s="53">
        <v>0</v>
      </c>
      <c r="E1231" s="121">
        <f>Saisie!D1231</f>
        <v>0</v>
      </c>
      <c r="F1231" s="51">
        <f>E1231*D1231</f>
        <v>0</v>
      </c>
      <c r="G1231" s="177"/>
    </row>
    <row r="1232" spans="1:7" s="43" customFormat="1" ht="13.2" x14ac:dyDescent="0.25">
      <c r="A1232" s="201" t="s">
        <v>3079</v>
      </c>
      <c r="B1232" s="216" t="s">
        <v>3080</v>
      </c>
      <c r="C1232" s="217" t="s">
        <v>1011</v>
      </c>
      <c r="D1232" s="53">
        <v>0</v>
      </c>
      <c r="E1232" s="121">
        <f>Saisie!D1232</f>
        <v>0</v>
      </c>
      <c r="F1232" s="51">
        <f>E1232*D1232</f>
        <v>0</v>
      </c>
      <c r="G1232" s="77"/>
    </row>
    <row r="1233" spans="1:7" s="43" customFormat="1" ht="13.2" x14ac:dyDescent="0.25">
      <c r="A1233" s="202"/>
      <c r="B1233" s="216"/>
      <c r="C1233" s="217"/>
      <c r="D1233" s="217"/>
      <c r="E1233" s="217"/>
      <c r="F1233" s="217"/>
      <c r="G1233" s="52"/>
    </row>
    <row r="1234" spans="1:7" s="43" customFormat="1" ht="26.4" x14ac:dyDescent="0.25">
      <c r="A1234" s="202"/>
      <c r="B1234" s="122" t="s">
        <v>3081</v>
      </c>
      <c r="C1234" s="217"/>
      <c r="D1234" s="217"/>
      <c r="E1234" s="217"/>
      <c r="F1234" s="84">
        <f>SUM(F1109:F1233)</f>
        <v>0</v>
      </c>
      <c r="G1234" s="52"/>
    </row>
    <row r="1235" spans="1:7" s="43" customFormat="1" ht="13.2" x14ac:dyDescent="0.25">
      <c r="A1235" s="202"/>
      <c r="B1235" s="216"/>
      <c r="C1235" s="217"/>
      <c r="D1235" s="217"/>
      <c r="E1235" s="217"/>
      <c r="F1235" s="217"/>
      <c r="G1235" s="52"/>
    </row>
    <row r="1236" spans="1:7" s="43" customFormat="1" ht="26.4" x14ac:dyDescent="0.25">
      <c r="A1236" s="29" t="s">
        <v>3082</v>
      </c>
      <c r="B1236" s="32" t="s">
        <v>3083</v>
      </c>
      <c r="C1236" s="224" t="s">
        <v>1883</v>
      </c>
      <c r="D1236" s="224" t="s">
        <v>1883</v>
      </c>
      <c r="E1236" s="224" t="s">
        <v>1883</v>
      </c>
      <c r="F1236" s="224" t="s">
        <v>1883</v>
      </c>
      <c r="G1236" s="52"/>
    </row>
    <row r="1237" spans="1:7" s="43" customFormat="1" ht="13.2" x14ac:dyDescent="0.25">
      <c r="A1237" s="27" t="s">
        <v>3084</v>
      </c>
      <c r="B1237" s="3" t="s">
        <v>3085</v>
      </c>
      <c r="C1237" s="217"/>
      <c r="D1237" s="217"/>
      <c r="E1237" s="217"/>
      <c r="F1237" s="217"/>
      <c r="G1237" s="45"/>
    </row>
    <row r="1238" spans="1:7" s="43" customFormat="1" ht="13.2" x14ac:dyDescent="0.25">
      <c r="A1238" s="201" t="s">
        <v>3086</v>
      </c>
      <c r="B1238" s="216" t="s">
        <v>3087</v>
      </c>
      <c r="C1238" s="217" t="s">
        <v>1232</v>
      </c>
      <c r="D1238" s="53">
        <v>3</v>
      </c>
      <c r="E1238" s="121">
        <f>Saisie!D1238</f>
        <v>0</v>
      </c>
      <c r="F1238" s="51">
        <f>E1238*D1238</f>
        <v>0</v>
      </c>
      <c r="G1238" s="177"/>
    </row>
    <row r="1239" spans="1:7" s="43" customFormat="1" ht="26.4" x14ac:dyDescent="0.25">
      <c r="A1239" s="201" t="s">
        <v>3088</v>
      </c>
      <c r="B1239" s="216" t="s">
        <v>3089</v>
      </c>
      <c r="C1239" s="217" t="s">
        <v>1232</v>
      </c>
      <c r="D1239" s="53">
        <v>0</v>
      </c>
      <c r="E1239" s="121">
        <f>Saisie!D1239</f>
        <v>0</v>
      </c>
      <c r="F1239" s="51">
        <f>E1239*D1239</f>
        <v>0</v>
      </c>
      <c r="G1239" s="177"/>
    </row>
    <row r="1240" spans="1:7" s="43" customFormat="1" ht="13.2" x14ac:dyDescent="0.25">
      <c r="A1240" s="201" t="s">
        <v>3090</v>
      </c>
      <c r="B1240" s="216" t="s">
        <v>3091</v>
      </c>
      <c r="C1240" s="217" t="s">
        <v>1232</v>
      </c>
      <c r="D1240" s="53">
        <v>0</v>
      </c>
      <c r="E1240" s="121">
        <f>Saisie!D1240</f>
        <v>0</v>
      </c>
      <c r="F1240" s="51">
        <f>E1240*D1240</f>
        <v>0</v>
      </c>
      <c r="G1240" s="177"/>
    </row>
    <row r="1241" spans="1:7" s="43" customFormat="1" ht="13.2" x14ac:dyDescent="0.25">
      <c r="A1241" s="201" t="s">
        <v>3092</v>
      </c>
      <c r="B1241" s="216" t="s">
        <v>3093</v>
      </c>
      <c r="C1241" s="217" t="s">
        <v>1232</v>
      </c>
      <c r="D1241" s="53">
        <v>0</v>
      </c>
      <c r="E1241" s="121">
        <f>Saisie!D1241</f>
        <v>0</v>
      </c>
      <c r="F1241" s="51">
        <f t="shared" ref="F1241:F1248" si="83">E1241*D1241</f>
        <v>0</v>
      </c>
      <c r="G1241" s="177"/>
    </row>
    <row r="1242" spans="1:7" s="43" customFormat="1" ht="13.2" x14ac:dyDescent="0.25">
      <c r="A1242" s="201" t="s">
        <v>3094</v>
      </c>
      <c r="B1242" s="216" t="s">
        <v>3095</v>
      </c>
      <c r="C1242" s="217" t="s">
        <v>1141</v>
      </c>
      <c r="D1242" s="53">
        <v>310</v>
      </c>
      <c r="E1242" s="121">
        <f>Saisie!D1242</f>
        <v>0</v>
      </c>
      <c r="F1242" s="51">
        <f t="shared" si="83"/>
        <v>0</v>
      </c>
      <c r="G1242" s="177"/>
    </row>
    <row r="1243" spans="1:7" s="43" customFormat="1" ht="13.2" x14ac:dyDescent="0.25">
      <c r="A1243" s="201" t="s">
        <v>3096</v>
      </c>
      <c r="B1243" s="216" t="s">
        <v>3097</v>
      </c>
      <c r="C1243" s="217" t="s">
        <v>1141</v>
      </c>
      <c r="D1243" s="53">
        <v>292</v>
      </c>
      <c r="E1243" s="121">
        <f>Saisie!D1243</f>
        <v>0</v>
      </c>
      <c r="F1243" s="51">
        <f t="shared" si="83"/>
        <v>0</v>
      </c>
      <c r="G1243" s="177"/>
    </row>
    <row r="1244" spans="1:7" s="43" customFormat="1" ht="13.2" x14ac:dyDescent="0.25">
      <c r="A1244" s="201" t="s">
        <v>3098</v>
      </c>
      <c r="B1244" s="216" t="s">
        <v>3099</v>
      </c>
      <c r="C1244" s="217" t="s">
        <v>1034</v>
      </c>
      <c r="D1244" s="53">
        <v>60</v>
      </c>
      <c r="E1244" s="121">
        <f>Saisie!D1244</f>
        <v>0</v>
      </c>
      <c r="F1244" s="51">
        <f>E1244*D1244</f>
        <v>0</v>
      </c>
      <c r="G1244" s="177"/>
    </row>
    <row r="1245" spans="1:7" s="43" customFormat="1" ht="26.4" x14ac:dyDescent="0.25">
      <c r="A1245" s="27" t="s">
        <v>3100</v>
      </c>
      <c r="B1245" s="3" t="s">
        <v>3101</v>
      </c>
      <c r="C1245" s="217"/>
      <c r="D1245" s="45"/>
      <c r="E1245" s="121"/>
      <c r="F1245" s="51"/>
      <c r="G1245" s="177"/>
    </row>
    <row r="1246" spans="1:7" s="43" customFormat="1" ht="13.2" x14ac:dyDescent="0.25">
      <c r="A1246" s="201" t="s">
        <v>624</v>
      </c>
      <c r="B1246" s="216" t="s">
        <v>3102</v>
      </c>
      <c r="C1246" s="217"/>
      <c r="D1246" s="45"/>
      <c r="E1246" s="121"/>
      <c r="F1246" s="51"/>
      <c r="G1246" s="45"/>
    </row>
    <row r="1247" spans="1:7" s="43" customFormat="1" ht="13.8" x14ac:dyDescent="0.25">
      <c r="A1247" s="201" t="s">
        <v>3103</v>
      </c>
      <c r="B1247" s="216" t="s">
        <v>3104</v>
      </c>
      <c r="C1247" s="217" t="s">
        <v>1034</v>
      </c>
      <c r="D1247" s="53">
        <v>0</v>
      </c>
      <c r="E1247" s="121">
        <f>Saisie!D1247</f>
        <v>0</v>
      </c>
      <c r="F1247" s="51">
        <f t="shared" si="83"/>
        <v>0</v>
      </c>
      <c r="G1247" s="177"/>
    </row>
    <row r="1248" spans="1:7" s="2" customFormat="1" ht="13.8" x14ac:dyDescent="0.25">
      <c r="A1248" s="201" t="s">
        <v>3105</v>
      </c>
      <c r="B1248" s="216" t="s">
        <v>3106</v>
      </c>
      <c r="C1248" s="217" t="s">
        <v>1034</v>
      </c>
      <c r="D1248" s="53">
        <v>0</v>
      </c>
      <c r="E1248" s="121">
        <f>Saisie!D1248</f>
        <v>0</v>
      </c>
      <c r="F1248" s="51">
        <f t="shared" si="83"/>
        <v>0</v>
      </c>
      <c r="G1248" s="52"/>
    </row>
    <row r="1249" spans="1:7" s="2" customFormat="1" ht="13.2" x14ac:dyDescent="0.25">
      <c r="A1249" s="201" t="s">
        <v>625</v>
      </c>
      <c r="B1249" s="216" t="s">
        <v>3107</v>
      </c>
      <c r="C1249" s="217"/>
      <c r="D1249" s="45"/>
      <c r="E1249" s="121"/>
      <c r="F1249" s="51"/>
      <c r="G1249" s="52"/>
    </row>
    <row r="1250" spans="1:7" s="2" customFormat="1" ht="15.6" x14ac:dyDescent="0.25">
      <c r="A1250" s="201" t="s">
        <v>3108</v>
      </c>
      <c r="B1250" s="216" t="s">
        <v>3109</v>
      </c>
      <c r="C1250" s="217" t="s">
        <v>1011</v>
      </c>
      <c r="D1250" s="53">
        <v>0</v>
      </c>
      <c r="E1250" s="121">
        <f>Saisie!D1250</f>
        <v>0</v>
      </c>
      <c r="F1250" s="51">
        <f>E1250*D1250</f>
        <v>0</v>
      </c>
      <c r="G1250" s="52"/>
    </row>
    <row r="1251" spans="1:7" s="2" customFormat="1" ht="15.6" x14ac:dyDescent="0.25">
      <c r="A1251" s="201" t="s">
        <v>3110</v>
      </c>
      <c r="B1251" s="216" t="s">
        <v>3111</v>
      </c>
      <c r="C1251" s="217" t="s">
        <v>1011</v>
      </c>
      <c r="D1251" s="53">
        <v>0</v>
      </c>
      <c r="E1251" s="121">
        <f>Saisie!D1251</f>
        <v>0</v>
      </c>
      <c r="F1251" s="51">
        <f>E1251*D1251</f>
        <v>0</v>
      </c>
      <c r="G1251" s="52"/>
    </row>
    <row r="1252" spans="1:7" s="2" customFormat="1" ht="15.6" x14ac:dyDescent="0.25">
      <c r="A1252" s="201" t="s">
        <v>3112</v>
      </c>
      <c r="B1252" s="216" t="s">
        <v>3113</v>
      </c>
      <c r="C1252" s="217" t="s">
        <v>1011</v>
      </c>
      <c r="D1252" s="53">
        <v>0</v>
      </c>
      <c r="E1252" s="121">
        <f>Saisie!D1252</f>
        <v>0</v>
      </c>
      <c r="F1252" s="51">
        <f>E1252*D1252</f>
        <v>0</v>
      </c>
      <c r="G1252" s="52"/>
    </row>
    <row r="1253" spans="1:7" s="43" customFormat="1" ht="13.2" x14ac:dyDescent="0.25">
      <c r="A1253" s="201" t="s">
        <v>626</v>
      </c>
      <c r="B1253" s="216" t="s">
        <v>3114</v>
      </c>
      <c r="C1253" s="217"/>
      <c r="D1253" s="45"/>
      <c r="E1253" s="121"/>
      <c r="F1253" s="51"/>
    </row>
    <row r="1254" spans="1:7" s="43" customFormat="1" ht="13.2" x14ac:dyDescent="0.25">
      <c r="A1254" s="201" t="s">
        <v>3115</v>
      </c>
      <c r="B1254" s="216" t="s">
        <v>3116</v>
      </c>
      <c r="C1254" s="217" t="s">
        <v>1034</v>
      </c>
      <c r="D1254" s="53">
        <v>0</v>
      </c>
      <c r="E1254" s="121">
        <f>Saisie!D1254</f>
        <v>0</v>
      </c>
      <c r="F1254" s="51">
        <f t="shared" ref="F1254:F1264" si="84">E1254*D1254</f>
        <v>0</v>
      </c>
    </row>
    <row r="1255" spans="1:7" s="43" customFormat="1" ht="13.2" x14ac:dyDescent="0.25">
      <c r="A1255" s="201" t="s">
        <v>3117</v>
      </c>
      <c r="B1255" s="216" t="s">
        <v>3118</v>
      </c>
      <c r="C1255" s="217" t="s">
        <v>1034</v>
      </c>
      <c r="D1255" s="53">
        <v>0</v>
      </c>
      <c r="E1255" s="121">
        <f>Saisie!D1255</f>
        <v>0</v>
      </c>
      <c r="F1255" s="51">
        <f t="shared" si="84"/>
        <v>0</v>
      </c>
    </row>
    <row r="1256" spans="1:7" s="8" customFormat="1" ht="13.2" x14ac:dyDescent="0.25">
      <c r="A1256" s="201" t="s">
        <v>627</v>
      </c>
      <c r="B1256" s="216" t="s">
        <v>3119</v>
      </c>
      <c r="C1256" s="217" t="s">
        <v>1034</v>
      </c>
      <c r="D1256" s="53">
        <v>0</v>
      </c>
      <c r="E1256" s="121">
        <f>Saisie!D1256</f>
        <v>0</v>
      </c>
      <c r="F1256" s="51">
        <f t="shared" si="84"/>
        <v>0</v>
      </c>
    </row>
    <row r="1257" spans="1:7" s="43" customFormat="1" ht="13.2" x14ac:dyDescent="0.25">
      <c r="A1257" s="27" t="s">
        <v>3120</v>
      </c>
      <c r="B1257" s="3" t="s">
        <v>3121</v>
      </c>
      <c r="C1257" s="217"/>
      <c r="D1257" s="45"/>
      <c r="E1257" s="121">
        <f>Saisie!D1257</f>
        <v>0</v>
      </c>
      <c r="F1257" s="51"/>
    </row>
    <row r="1258" spans="1:7" s="43" customFormat="1" ht="13.2" x14ac:dyDescent="0.25">
      <c r="A1258" s="201" t="s">
        <v>629</v>
      </c>
      <c r="B1258" s="192" t="s">
        <v>3122</v>
      </c>
      <c r="C1258" s="217" t="s">
        <v>1120</v>
      </c>
      <c r="D1258" s="53">
        <v>0</v>
      </c>
      <c r="E1258" s="121">
        <f>Saisie!D1258</f>
        <v>0</v>
      </c>
      <c r="F1258" s="51">
        <f t="shared" si="84"/>
        <v>0</v>
      </c>
    </row>
    <row r="1259" spans="1:7" s="43" customFormat="1" ht="13.2" x14ac:dyDescent="0.25">
      <c r="A1259" s="201" t="s">
        <v>630</v>
      </c>
      <c r="B1259" s="192" t="s">
        <v>3123</v>
      </c>
      <c r="C1259" s="217" t="s">
        <v>1120</v>
      </c>
      <c r="D1259" s="53">
        <v>0</v>
      </c>
      <c r="E1259" s="121">
        <f>Saisie!D1259</f>
        <v>0</v>
      </c>
      <c r="F1259" s="51">
        <f t="shared" si="84"/>
        <v>0</v>
      </c>
    </row>
    <row r="1260" spans="1:7" s="43" customFormat="1" ht="13.2" x14ac:dyDescent="0.25">
      <c r="A1260" s="201" t="s">
        <v>631</v>
      </c>
      <c r="B1260" s="192" t="s">
        <v>3124</v>
      </c>
      <c r="C1260" s="217" t="s">
        <v>3125</v>
      </c>
      <c r="D1260" s="53">
        <v>0</v>
      </c>
      <c r="E1260" s="121">
        <f>Saisie!D1260</f>
        <v>0</v>
      </c>
      <c r="F1260" s="51">
        <f t="shared" si="84"/>
        <v>0</v>
      </c>
    </row>
    <row r="1261" spans="1:7" s="43" customFormat="1" ht="13.2" x14ac:dyDescent="0.25">
      <c r="A1261" s="27" t="s">
        <v>3126</v>
      </c>
      <c r="B1261" s="3" t="s">
        <v>3127</v>
      </c>
      <c r="C1261" s="217"/>
      <c r="D1261" s="45"/>
      <c r="E1261" s="121"/>
      <c r="F1261" s="51"/>
    </row>
    <row r="1262" spans="1:7" s="43" customFormat="1" ht="13.2" x14ac:dyDescent="0.25">
      <c r="A1262" s="201" t="s">
        <v>635</v>
      </c>
      <c r="B1262" s="192" t="s">
        <v>3128</v>
      </c>
      <c r="C1262" s="217"/>
      <c r="D1262" s="45"/>
      <c r="E1262" s="121"/>
      <c r="F1262" s="51"/>
    </row>
    <row r="1263" spans="1:7" s="43" customFormat="1" ht="13.2" x14ac:dyDescent="0.25">
      <c r="A1263" s="201" t="s">
        <v>3129</v>
      </c>
      <c r="B1263" s="192" t="s">
        <v>3130</v>
      </c>
      <c r="C1263" s="217"/>
      <c r="D1263" s="45"/>
      <c r="E1263" s="121"/>
      <c r="F1263" s="51"/>
    </row>
    <row r="1264" spans="1:7" s="43" customFormat="1" ht="13.2" x14ac:dyDescent="0.25">
      <c r="A1264" s="201" t="s">
        <v>3131</v>
      </c>
      <c r="B1264" s="192" t="s">
        <v>3132</v>
      </c>
      <c r="C1264" s="217" t="s">
        <v>984</v>
      </c>
      <c r="D1264" s="53">
        <v>0</v>
      </c>
      <c r="E1264" s="121">
        <f>Saisie!D1264</f>
        <v>0</v>
      </c>
      <c r="F1264" s="51">
        <f t="shared" si="84"/>
        <v>0</v>
      </c>
    </row>
    <row r="1265" spans="1:6" s="43" customFormat="1" ht="13.2" x14ac:dyDescent="0.25">
      <c r="A1265" s="201" t="s">
        <v>3133</v>
      </c>
      <c r="B1265" s="192" t="s">
        <v>3134</v>
      </c>
      <c r="C1265" s="217" t="s">
        <v>984</v>
      </c>
      <c r="D1265" s="53">
        <v>0</v>
      </c>
      <c r="E1265" s="121">
        <f>Saisie!D1265</f>
        <v>0</v>
      </c>
      <c r="F1265" s="51">
        <f>E1265*D1265</f>
        <v>0</v>
      </c>
    </row>
    <row r="1266" spans="1:6" s="43" customFormat="1" ht="13.2" x14ac:dyDescent="0.25">
      <c r="A1266" s="201" t="s">
        <v>3135</v>
      </c>
      <c r="B1266" s="192" t="s">
        <v>3136</v>
      </c>
      <c r="C1266" s="217"/>
      <c r="D1266" s="45"/>
      <c r="E1266" s="121"/>
      <c r="F1266" s="51"/>
    </row>
    <row r="1267" spans="1:6" s="43" customFormat="1" ht="13.2" x14ac:dyDescent="0.25">
      <c r="A1267" s="201" t="s">
        <v>3137</v>
      </c>
      <c r="B1267" s="192" t="s">
        <v>3138</v>
      </c>
      <c r="C1267" s="217" t="s">
        <v>1034</v>
      </c>
      <c r="D1267" s="53">
        <v>0</v>
      </c>
      <c r="E1267" s="121">
        <f>Saisie!D1267</f>
        <v>0</v>
      </c>
      <c r="F1267" s="51">
        <f t="shared" ref="F1267:F1278" si="85">E1267*D1267</f>
        <v>0</v>
      </c>
    </row>
    <row r="1268" spans="1:6" s="43" customFormat="1" ht="13.2" x14ac:dyDescent="0.25">
      <c r="A1268" s="201" t="s">
        <v>3139</v>
      </c>
      <c r="B1268" s="192" t="s">
        <v>3140</v>
      </c>
      <c r="C1268" s="217" t="s">
        <v>1034</v>
      </c>
      <c r="D1268" s="53">
        <v>0</v>
      </c>
      <c r="E1268" s="121">
        <f>Saisie!D1268</f>
        <v>0</v>
      </c>
      <c r="F1268" s="51">
        <f t="shared" si="85"/>
        <v>0</v>
      </c>
    </row>
    <row r="1269" spans="1:6" s="43" customFormat="1" ht="13.2" x14ac:dyDescent="0.25">
      <c r="A1269" s="201" t="s">
        <v>3141</v>
      </c>
      <c r="B1269" s="192" t="s">
        <v>3142</v>
      </c>
      <c r="C1269" s="217" t="s">
        <v>1034</v>
      </c>
      <c r="D1269" s="53">
        <v>0</v>
      </c>
      <c r="E1269" s="121">
        <f>Saisie!D1269</f>
        <v>0</v>
      </c>
      <c r="F1269" s="51">
        <f t="shared" si="85"/>
        <v>0</v>
      </c>
    </row>
    <row r="1270" spans="1:6" s="43" customFormat="1" ht="26.4" x14ac:dyDescent="0.25">
      <c r="A1270" s="201" t="s">
        <v>3143</v>
      </c>
      <c r="B1270" s="192" t="s">
        <v>3144</v>
      </c>
      <c r="C1270" s="217"/>
      <c r="D1270" s="45"/>
      <c r="E1270" s="121"/>
      <c r="F1270" s="51"/>
    </row>
    <row r="1271" spans="1:6" s="43" customFormat="1" ht="13.2" x14ac:dyDescent="0.25">
      <c r="A1271" s="201" t="s">
        <v>3145</v>
      </c>
      <c r="B1271" s="192" t="s">
        <v>3146</v>
      </c>
      <c r="C1271" s="217" t="s">
        <v>1011</v>
      </c>
      <c r="D1271" s="53">
        <v>200</v>
      </c>
      <c r="E1271" s="121">
        <f>Saisie!D1271</f>
        <v>0</v>
      </c>
      <c r="F1271" s="51">
        <f t="shared" si="85"/>
        <v>0</v>
      </c>
    </row>
    <row r="1272" spans="1:6" s="43" customFormat="1" ht="13.2" x14ac:dyDescent="0.25">
      <c r="A1272" s="201" t="s">
        <v>3147</v>
      </c>
      <c r="B1272" s="192" t="s">
        <v>3148</v>
      </c>
      <c r="C1272" s="217" t="s">
        <v>1011</v>
      </c>
      <c r="D1272" s="53">
        <v>0</v>
      </c>
      <c r="E1272" s="121">
        <f>Saisie!D1272</f>
        <v>0</v>
      </c>
      <c r="F1272" s="51">
        <f t="shared" si="85"/>
        <v>0</v>
      </c>
    </row>
    <row r="1273" spans="1:6" s="43" customFormat="1" ht="13.2" x14ac:dyDescent="0.25">
      <c r="A1273" s="201" t="s">
        <v>3149</v>
      </c>
      <c r="B1273" s="192" t="s">
        <v>3150</v>
      </c>
      <c r="C1273" s="217"/>
      <c r="D1273" s="45"/>
      <c r="E1273" s="121"/>
      <c r="F1273" s="51"/>
    </row>
    <row r="1274" spans="1:6" s="43" customFormat="1" ht="13.2" x14ac:dyDescent="0.25">
      <c r="A1274" s="201" t="s">
        <v>3151</v>
      </c>
      <c r="B1274" s="192" t="s">
        <v>3152</v>
      </c>
      <c r="C1274" s="217" t="s">
        <v>1011</v>
      </c>
      <c r="D1274" s="53">
        <v>0</v>
      </c>
      <c r="E1274" s="121">
        <f>Saisie!D1274</f>
        <v>0</v>
      </c>
      <c r="F1274" s="51">
        <f t="shared" si="85"/>
        <v>0</v>
      </c>
    </row>
    <row r="1275" spans="1:6" s="43" customFormat="1" ht="13.2" x14ac:dyDescent="0.25">
      <c r="A1275" s="201" t="s">
        <v>3153</v>
      </c>
      <c r="B1275" s="192" t="s">
        <v>3154</v>
      </c>
      <c r="C1275" s="217" t="s">
        <v>1011</v>
      </c>
      <c r="D1275" s="53">
        <v>0</v>
      </c>
      <c r="E1275" s="121">
        <f>Saisie!D1275</f>
        <v>0</v>
      </c>
      <c r="F1275" s="51">
        <f t="shared" si="85"/>
        <v>0</v>
      </c>
    </row>
    <row r="1276" spans="1:6" s="43" customFormat="1" ht="13.2" x14ac:dyDescent="0.25">
      <c r="A1276" s="201" t="s">
        <v>3155</v>
      </c>
      <c r="B1276" s="192" t="s">
        <v>3156</v>
      </c>
      <c r="C1276" s="217" t="s">
        <v>1011</v>
      </c>
      <c r="D1276" s="53">
        <v>0</v>
      </c>
      <c r="E1276" s="121">
        <f>Saisie!D1276</f>
        <v>0</v>
      </c>
      <c r="F1276" s="51">
        <f t="shared" si="85"/>
        <v>0</v>
      </c>
    </row>
    <row r="1277" spans="1:6" s="43" customFormat="1" ht="13.2" x14ac:dyDescent="0.25">
      <c r="A1277" s="201" t="s">
        <v>3157</v>
      </c>
      <c r="B1277" s="192" t="s">
        <v>3158</v>
      </c>
      <c r="C1277" s="217" t="s">
        <v>1011</v>
      </c>
      <c r="D1277" s="53">
        <v>24</v>
      </c>
      <c r="E1277" s="121">
        <f>Saisie!D1277</f>
        <v>0</v>
      </c>
      <c r="F1277" s="51">
        <f t="shared" si="85"/>
        <v>0</v>
      </c>
    </row>
    <row r="1278" spans="1:6" s="43" customFormat="1" ht="13.2" x14ac:dyDescent="0.25">
      <c r="A1278" s="201" t="s">
        <v>3159</v>
      </c>
      <c r="B1278" s="192" t="s">
        <v>3160</v>
      </c>
      <c r="C1278" s="217" t="s">
        <v>1011</v>
      </c>
      <c r="D1278" s="53">
        <v>120</v>
      </c>
      <c r="E1278" s="121">
        <f>Saisie!D1278</f>
        <v>0</v>
      </c>
      <c r="F1278" s="51">
        <f t="shared" si="85"/>
        <v>0</v>
      </c>
    </row>
    <row r="1279" spans="1:6" s="43" customFormat="1" ht="13.2" x14ac:dyDescent="0.25">
      <c r="A1279" s="201" t="s">
        <v>3161</v>
      </c>
      <c r="B1279" s="192" t="s">
        <v>3162</v>
      </c>
      <c r="C1279" s="217" t="s">
        <v>1011</v>
      </c>
      <c r="D1279" s="53">
        <v>0</v>
      </c>
      <c r="E1279" s="121">
        <f>Saisie!D1279</f>
        <v>0</v>
      </c>
      <c r="F1279" s="51">
        <f>E1279*D1279</f>
        <v>0</v>
      </c>
    </row>
    <row r="1280" spans="1:6" s="43" customFormat="1" ht="13.2" x14ac:dyDescent="0.25">
      <c r="A1280" s="201" t="s">
        <v>3163</v>
      </c>
      <c r="B1280" s="192" t="s">
        <v>3164</v>
      </c>
      <c r="C1280" s="217"/>
      <c r="D1280" s="45"/>
      <c r="E1280" s="121"/>
      <c r="F1280" s="51"/>
    </row>
    <row r="1281" spans="1:6" s="43" customFormat="1" ht="13.2" x14ac:dyDescent="0.25">
      <c r="A1281" s="201" t="s">
        <v>636</v>
      </c>
      <c r="B1281" s="192" t="s">
        <v>3165</v>
      </c>
      <c r="C1281" s="217" t="s">
        <v>984</v>
      </c>
      <c r="D1281" s="53">
        <v>1</v>
      </c>
      <c r="E1281" s="121">
        <f>Saisie!D1281</f>
        <v>0</v>
      </c>
      <c r="F1281" s="51">
        <f t="shared" ref="F1281:F1286" si="86">E1281*D1281</f>
        <v>0</v>
      </c>
    </row>
    <row r="1282" spans="1:6" s="43" customFormat="1" ht="13.2" x14ac:dyDescent="0.25">
      <c r="A1282" s="201" t="s">
        <v>637</v>
      </c>
      <c r="B1282" s="192" t="s">
        <v>3166</v>
      </c>
      <c r="C1282" s="217" t="s">
        <v>1011</v>
      </c>
      <c r="D1282" s="53">
        <v>0</v>
      </c>
      <c r="E1282" s="121">
        <f>Saisie!D1282</f>
        <v>0</v>
      </c>
      <c r="F1282" s="51">
        <f t="shared" si="86"/>
        <v>0</v>
      </c>
    </row>
    <row r="1283" spans="1:6" s="43" customFormat="1" ht="13.2" x14ac:dyDescent="0.25">
      <c r="A1283" s="201" t="s">
        <v>638</v>
      </c>
      <c r="B1283" s="192" t="s">
        <v>3167</v>
      </c>
      <c r="C1283" s="217" t="s">
        <v>3168</v>
      </c>
      <c r="D1283" s="53">
        <v>1</v>
      </c>
      <c r="E1283" s="121">
        <f>Saisie!D1283</f>
        <v>0</v>
      </c>
      <c r="F1283" s="51">
        <f t="shared" si="86"/>
        <v>0</v>
      </c>
    </row>
    <row r="1284" spans="1:6" s="8" customFormat="1" ht="13.2" x14ac:dyDescent="0.25">
      <c r="A1284" s="201" t="s">
        <v>639</v>
      </c>
      <c r="B1284" s="192" t="s">
        <v>3169</v>
      </c>
      <c r="C1284" s="217" t="s">
        <v>3168</v>
      </c>
      <c r="D1284" s="53">
        <v>0</v>
      </c>
      <c r="E1284" s="121">
        <f>Saisie!D1284</f>
        <v>0</v>
      </c>
      <c r="F1284" s="51">
        <f t="shared" si="86"/>
        <v>0</v>
      </c>
    </row>
    <row r="1285" spans="1:6" s="43" customFormat="1" ht="13.2" x14ac:dyDescent="0.25">
      <c r="A1285" s="201" t="s">
        <v>640</v>
      </c>
      <c r="B1285" s="192" t="s">
        <v>3170</v>
      </c>
      <c r="C1285" s="217" t="s">
        <v>1034</v>
      </c>
      <c r="D1285" s="53">
        <v>240</v>
      </c>
      <c r="E1285" s="121">
        <f>Saisie!D1285</f>
        <v>0</v>
      </c>
      <c r="F1285" s="51">
        <f t="shared" si="86"/>
        <v>0</v>
      </c>
    </row>
    <row r="1286" spans="1:6" s="43" customFormat="1" ht="13.2" x14ac:dyDescent="0.25">
      <c r="A1286" s="201" t="s">
        <v>3171</v>
      </c>
      <c r="B1286" s="192" t="s">
        <v>3172</v>
      </c>
      <c r="C1286" s="217" t="s">
        <v>1011</v>
      </c>
      <c r="D1286" s="53">
        <v>120</v>
      </c>
      <c r="E1286" s="121">
        <f>Saisie!D1286</f>
        <v>0</v>
      </c>
      <c r="F1286" s="51">
        <f t="shared" si="86"/>
        <v>0</v>
      </c>
    </row>
    <row r="1287" spans="1:6" s="43" customFormat="1" ht="13.2" x14ac:dyDescent="0.25">
      <c r="A1287" s="201" t="s">
        <v>3173</v>
      </c>
      <c r="B1287" s="192" t="s">
        <v>3174</v>
      </c>
      <c r="C1287" s="217"/>
      <c r="D1287" s="45"/>
      <c r="E1287" s="121"/>
      <c r="F1287" s="51"/>
    </row>
    <row r="1288" spans="1:6" s="43" customFormat="1" ht="13.2" x14ac:dyDescent="0.25">
      <c r="A1288" s="201" t="s">
        <v>3175</v>
      </c>
      <c r="B1288" s="192" t="s">
        <v>3176</v>
      </c>
      <c r="C1288" s="217" t="s">
        <v>1232</v>
      </c>
      <c r="D1288" s="53">
        <v>0</v>
      </c>
      <c r="E1288" s="121">
        <f>Saisie!D1288</f>
        <v>0</v>
      </c>
      <c r="F1288" s="51">
        <f t="shared" ref="F1288:F1293" si="87">E1288*D1288</f>
        <v>0</v>
      </c>
    </row>
    <row r="1289" spans="1:6" s="43" customFormat="1" ht="13.2" x14ac:dyDescent="0.25">
      <c r="A1289" s="201" t="s">
        <v>3177</v>
      </c>
      <c r="B1289" s="192" t="s">
        <v>3178</v>
      </c>
      <c r="C1289" s="217" t="s">
        <v>1232</v>
      </c>
      <c r="D1289" s="53">
        <v>24</v>
      </c>
      <c r="E1289" s="121">
        <f>Saisie!D1289</f>
        <v>0</v>
      </c>
      <c r="F1289" s="51">
        <f t="shared" si="87"/>
        <v>0</v>
      </c>
    </row>
    <row r="1290" spans="1:6" s="43" customFormat="1" ht="13.95" customHeight="1" x14ac:dyDescent="0.25">
      <c r="A1290" s="201" t="s">
        <v>3179</v>
      </c>
      <c r="B1290" s="192" t="s">
        <v>3180</v>
      </c>
      <c r="C1290" s="217" t="s">
        <v>1232</v>
      </c>
      <c r="D1290" s="53">
        <v>0</v>
      </c>
      <c r="E1290" s="121">
        <f>Saisie!D1290</f>
        <v>0</v>
      </c>
      <c r="F1290" s="51">
        <f t="shared" si="87"/>
        <v>0</v>
      </c>
    </row>
    <row r="1291" spans="1:6" s="43" customFormat="1" ht="13.2" x14ac:dyDescent="0.25">
      <c r="A1291" s="201" t="s">
        <v>3181</v>
      </c>
      <c r="B1291" s="192" t="s">
        <v>3182</v>
      </c>
      <c r="C1291" s="217" t="s">
        <v>1232</v>
      </c>
      <c r="D1291" s="53">
        <v>0</v>
      </c>
      <c r="E1291" s="121">
        <f>Saisie!D1291</f>
        <v>0</v>
      </c>
      <c r="F1291" s="51">
        <f t="shared" si="87"/>
        <v>0</v>
      </c>
    </row>
    <row r="1292" spans="1:6" s="8" customFormat="1" ht="13.2" x14ac:dyDescent="0.25">
      <c r="A1292" s="201" t="s">
        <v>3183</v>
      </c>
      <c r="B1292" s="192" t="s">
        <v>3184</v>
      </c>
      <c r="C1292" s="217" t="s">
        <v>1232</v>
      </c>
      <c r="D1292" s="53">
        <v>0</v>
      </c>
      <c r="E1292" s="121">
        <f>Saisie!D1292</f>
        <v>0</v>
      </c>
      <c r="F1292" s="51">
        <f t="shared" si="87"/>
        <v>0</v>
      </c>
    </row>
    <row r="1293" spans="1:6" s="43" customFormat="1" ht="13.2" x14ac:dyDescent="0.25">
      <c r="A1293" s="201" t="s">
        <v>3185</v>
      </c>
      <c r="B1293" s="192" t="s">
        <v>3186</v>
      </c>
      <c r="C1293" s="217" t="s">
        <v>1232</v>
      </c>
      <c r="D1293" s="53">
        <v>0</v>
      </c>
      <c r="E1293" s="121">
        <f>Saisie!D1293</f>
        <v>0</v>
      </c>
      <c r="F1293" s="51">
        <f t="shared" si="87"/>
        <v>0</v>
      </c>
    </row>
    <row r="1294" spans="1:6" s="43" customFormat="1" ht="13.2" x14ac:dyDescent="0.25">
      <c r="A1294" s="201" t="s">
        <v>3187</v>
      </c>
      <c r="B1294" s="192" t="s">
        <v>3188</v>
      </c>
      <c r="C1294" s="217"/>
      <c r="D1294" s="45"/>
      <c r="E1294" s="121"/>
      <c r="F1294" s="51"/>
    </row>
    <row r="1295" spans="1:6" s="43" customFormat="1" ht="26.4" x14ac:dyDescent="0.25">
      <c r="A1295" s="201" t="s">
        <v>3189</v>
      </c>
      <c r="B1295" s="192" t="s">
        <v>3190</v>
      </c>
      <c r="C1295" s="217" t="s">
        <v>3191</v>
      </c>
      <c r="D1295" s="53">
        <v>0</v>
      </c>
      <c r="E1295" s="121">
        <f>Saisie!D1295</f>
        <v>0</v>
      </c>
      <c r="F1295" s="51">
        <f t="shared" ref="F1295:F1303" si="88">E1295*D1295</f>
        <v>0</v>
      </c>
    </row>
    <row r="1296" spans="1:6" s="43" customFormat="1" ht="26.4" x14ac:dyDescent="0.25">
      <c r="A1296" s="201" t="s">
        <v>3192</v>
      </c>
      <c r="B1296" s="192" t="s">
        <v>3193</v>
      </c>
      <c r="C1296" s="217" t="s">
        <v>3191</v>
      </c>
      <c r="D1296" s="53">
        <v>0</v>
      </c>
      <c r="E1296" s="121">
        <f>Saisie!D1296</f>
        <v>0</v>
      </c>
      <c r="F1296" s="51">
        <f t="shared" si="88"/>
        <v>0</v>
      </c>
    </row>
    <row r="1297" spans="1:6" s="43" customFormat="1" ht="13.2" x14ac:dyDescent="0.25">
      <c r="A1297" s="201" t="s">
        <v>3194</v>
      </c>
      <c r="B1297" s="192" t="s">
        <v>3195</v>
      </c>
      <c r="C1297" s="217"/>
      <c r="D1297" s="45"/>
      <c r="E1297" s="121"/>
      <c r="F1297" s="51"/>
    </row>
    <row r="1298" spans="1:6" s="8" customFormat="1" ht="26.4" x14ac:dyDescent="0.25">
      <c r="A1298" s="201" t="s">
        <v>3196</v>
      </c>
      <c r="B1298" s="192" t="s">
        <v>3197</v>
      </c>
      <c r="C1298" s="217" t="s">
        <v>1804</v>
      </c>
      <c r="D1298" s="53">
        <v>0</v>
      </c>
      <c r="E1298" s="121">
        <f>Saisie!D1298</f>
        <v>0</v>
      </c>
      <c r="F1298" s="51">
        <f t="shared" si="88"/>
        <v>0</v>
      </c>
    </row>
    <row r="1299" spans="1:6" s="43" customFormat="1" ht="26.4" x14ac:dyDescent="0.25">
      <c r="A1299" s="201" t="s">
        <v>3198</v>
      </c>
      <c r="B1299" s="192" t="s">
        <v>3199</v>
      </c>
      <c r="C1299" s="217" t="s">
        <v>1804</v>
      </c>
      <c r="D1299" s="53">
        <v>0</v>
      </c>
      <c r="E1299" s="121">
        <f>Saisie!D1299</f>
        <v>0</v>
      </c>
      <c r="F1299" s="51">
        <f t="shared" si="88"/>
        <v>0</v>
      </c>
    </row>
    <row r="1300" spans="1:6" s="43" customFormat="1" ht="26.4" x14ac:dyDescent="0.25">
      <c r="A1300" s="201" t="s">
        <v>3200</v>
      </c>
      <c r="B1300" s="192" t="s">
        <v>3201</v>
      </c>
      <c r="C1300" s="217" t="s">
        <v>1804</v>
      </c>
      <c r="D1300" s="53">
        <v>13.2</v>
      </c>
      <c r="E1300" s="121">
        <f>Saisie!D1300</f>
        <v>0</v>
      </c>
      <c r="F1300" s="51">
        <f t="shared" si="88"/>
        <v>0</v>
      </c>
    </row>
    <row r="1301" spans="1:6" s="43" customFormat="1" ht="26.4" x14ac:dyDescent="0.25">
      <c r="A1301" s="201" t="s">
        <v>3202</v>
      </c>
      <c r="B1301" s="192" t="s">
        <v>3203</v>
      </c>
      <c r="C1301" s="217" t="s">
        <v>1804</v>
      </c>
      <c r="D1301" s="53">
        <v>0.28999999999999998</v>
      </c>
      <c r="E1301" s="121">
        <f>Saisie!D1301</f>
        <v>0</v>
      </c>
      <c r="F1301" s="51">
        <f t="shared" si="88"/>
        <v>0</v>
      </c>
    </row>
    <row r="1302" spans="1:6" s="43" customFormat="1" ht="26.4" x14ac:dyDescent="0.25">
      <c r="A1302" s="201" t="s">
        <v>3204</v>
      </c>
      <c r="B1302" s="192" t="s">
        <v>3205</v>
      </c>
      <c r="C1302" s="217" t="s">
        <v>1804</v>
      </c>
      <c r="D1302" s="53">
        <v>0</v>
      </c>
      <c r="E1302" s="121">
        <f>Saisie!D1302</f>
        <v>0</v>
      </c>
      <c r="F1302" s="51">
        <f t="shared" si="88"/>
        <v>0</v>
      </c>
    </row>
    <row r="1303" spans="1:6" s="43" customFormat="1" ht="26.4" x14ac:dyDescent="0.25">
      <c r="A1303" s="201" t="s">
        <v>3206</v>
      </c>
      <c r="B1303" s="192" t="s">
        <v>3207</v>
      </c>
      <c r="C1303" s="217" t="s">
        <v>1804</v>
      </c>
      <c r="D1303" s="53">
        <v>0</v>
      </c>
      <c r="E1303" s="121">
        <f>Saisie!D1303</f>
        <v>0</v>
      </c>
      <c r="F1303" s="51">
        <f t="shared" si="88"/>
        <v>0</v>
      </c>
    </row>
    <row r="1304" spans="1:6" s="43" customFormat="1" ht="26.4" x14ac:dyDescent="0.25">
      <c r="A1304" s="201" t="s">
        <v>3208</v>
      </c>
      <c r="B1304" s="192" t="s">
        <v>3209</v>
      </c>
      <c r="C1304" s="217" t="s">
        <v>2109</v>
      </c>
      <c r="D1304" s="53">
        <v>264</v>
      </c>
      <c r="E1304" s="121">
        <f>Saisie!D1304</f>
        <v>0</v>
      </c>
      <c r="F1304" s="51">
        <f>E1304*D1304</f>
        <v>0</v>
      </c>
    </row>
    <row r="1305" spans="1:6" s="43" customFormat="1" ht="13.2" x14ac:dyDescent="0.25">
      <c r="A1305" s="201" t="s">
        <v>3210</v>
      </c>
      <c r="B1305" s="192" t="s">
        <v>3211</v>
      </c>
      <c r="C1305" s="217" t="s">
        <v>1011</v>
      </c>
      <c r="D1305" s="53">
        <v>1</v>
      </c>
      <c r="E1305" s="121">
        <f>Saisie!D1305</f>
        <v>0</v>
      </c>
      <c r="F1305" s="51">
        <f>E1305*D1305</f>
        <v>0</v>
      </c>
    </row>
    <row r="1306" spans="1:6" s="43" customFormat="1" ht="13.2" x14ac:dyDescent="0.25">
      <c r="A1306" s="201" t="s">
        <v>3212</v>
      </c>
      <c r="B1306" s="192" t="s">
        <v>3213</v>
      </c>
      <c r="C1306" s="217" t="s">
        <v>3168</v>
      </c>
      <c r="D1306" s="53">
        <v>1</v>
      </c>
      <c r="E1306" s="121">
        <f>Saisie!D1306</f>
        <v>0</v>
      </c>
      <c r="F1306" s="51">
        <f>E1306*D1306</f>
        <v>0</v>
      </c>
    </row>
    <row r="1307" spans="1:6" s="43" customFormat="1" ht="26.4" x14ac:dyDescent="0.25">
      <c r="A1307" s="201" t="s">
        <v>3214</v>
      </c>
      <c r="B1307" s="192" t="s">
        <v>3215</v>
      </c>
      <c r="C1307" s="217" t="s">
        <v>3168</v>
      </c>
      <c r="D1307" s="53">
        <v>0</v>
      </c>
      <c r="E1307" s="121">
        <f>Saisie!D1307</f>
        <v>0</v>
      </c>
      <c r="F1307" s="51">
        <f>E1307*D1307</f>
        <v>0</v>
      </c>
    </row>
    <row r="1308" spans="1:6" s="43" customFormat="1" ht="13.2" x14ac:dyDescent="0.25">
      <c r="A1308" s="27" t="s">
        <v>3216</v>
      </c>
      <c r="B1308" s="3" t="s">
        <v>3217</v>
      </c>
      <c r="C1308" s="217"/>
      <c r="D1308" s="45"/>
      <c r="E1308" s="121"/>
      <c r="F1308" s="51"/>
    </row>
    <row r="1309" spans="1:6" s="8" customFormat="1" ht="13.2" x14ac:dyDescent="0.25">
      <c r="A1309" s="201" t="s">
        <v>651</v>
      </c>
      <c r="B1309" s="192" t="s">
        <v>3218</v>
      </c>
      <c r="C1309" s="217"/>
      <c r="D1309" s="45"/>
      <c r="E1309" s="121"/>
      <c r="F1309" s="51"/>
    </row>
    <row r="1310" spans="1:6" s="43" customFormat="1" ht="13.2" x14ac:dyDescent="0.25">
      <c r="A1310" s="201" t="s">
        <v>3219</v>
      </c>
      <c r="B1310" s="192" t="s">
        <v>3220</v>
      </c>
      <c r="C1310" s="217"/>
      <c r="D1310" s="45"/>
      <c r="E1310" s="121"/>
      <c r="F1310" s="51"/>
    </row>
    <row r="1311" spans="1:6" s="43" customFormat="1" ht="13.2" x14ac:dyDescent="0.25">
      <c r="A1311" s="201" t="s">
        <v>3221</v>
      </c>
      <c r="B1311" s="192" t="s">
        <v>3222</v>
      </c>
      <c r="C1311" s="217" t="s">
        <v>1034</v>
      </c>
      <c r="D1311" s="53">
        <v>20</v>
      </c>
      <c r="E1311" s="121">
        <f>Saisie!D1311</f>
        <v>0</v>
      </c>
      <c r="F1311" s="51">
        <f>E1311*D1311</f>
        <v>0</v>
      </c>
    </row>
    <row r="1312" spans="1:6" s="43" customFormat="1" ht="13.2" x14ac:dyDescent="0.25">
      <c r="A1312" s="201" t="s">
        <v>3223</v>
      </c>
      <c r="B1312" s="192" t="s">
        <v>3224</v>
      </c>
      <c r="C1312" s="217" t="s">
        <v>1034</v>
      </c>
      <c r="D1312" s="53">
        <v>20</v>
      </c>
      <c r="E1312" s="121">
        <f>Saisie!D1312</f>
        <v>0</v>
      </c>
      <c r="F1312" s="51">
        <f>E1312*D1312</f>
        <v>0</v>
      </c>
    </row>
    <row r="1313" spans="1:6" s="43" customFormat="1" ht="26.4" x14ac:dyDescent="0.25">
      <c r="A1313" s="201" t="s">
        <v>3225</v>
      </c>
      <c r="B1313" s="192" t="s">
        <v>3226</v>
      </c>
      <c r="C1313" s="217" t="s">
        <v>1034</v>
      </c>
      <c r="D1313" s="53">
        <v>0</v>
      </c>
      <c r="E1313" s="121">
        <f>Saisie!D1313</f>
        <v>0</v>
      </c>
      <c r="F1313" s="51">
        <f>E1313*D1313</f>
        <v>0</v>
      </c>
    </row>
    <row r="1314" spans="1:6" s="43" customFormat="1" ht="13.2" x14ac:dyDescent="0.25">
      <c r="A1314" s="201" t="s">
        <v>3227</v>
      </c>
      <c r="B1314" s="192" t="s">
        <v>3228</v>
      </c>
      <c r="C1314" s="217"/>
      <c r="D1314" s="45"/>
      <c r="E1314" s="121"/>
      <c r="F1314" s="51"/>
    </row>
    <row r="1315" spans="1:6" s="43" customFormat="1" ht="13.2" x14ac:dyDescent="0.25">
      <c r="A1315" s="201" t="s">
        <v>3229</v>
      </c>
      <c r="B1315" s="192" t="s">
        <v>3230</v>
      </c>
      <c r="C1315" s="217" t="s">
        <v>1141</v>
      </c>
      <c r="D1315" s="53">
        <v>33</v>
      </c>
      <c r="E1315" s="121">
        <f>Saisie!D1315</f>
        <v>0</v>
      </c>
      <c r="F1315" s="51">
        <f>E1315*D1315</f>
        <v>0</v>
      </c>
    </row>
    <row r="1316" spans="1:6" s="43" customFormat="1" ht="13.2" x14ac:dyDescent="0.25">
      <c r="A1316" s="201" t="s">
        <v>3231</v>
      </c>
      <c r="B1316" s="192" t="s">
        <v>3232</v>
      </c>
      <c r="C1316" s="217" t="s">
        <v>3233</v>
      </c>
      <c r="D1316" s="53">
        <v>15</v>
      </c>
      <c r="E1316" s="121">
        <f>Saisie!D1316</f>
        <v>0</v>
      </c>
      <c r="F1316" s="51">
        <f>E1316*D1316</f>
        <v>0</v>
      </c>
    </row>
    <row r="1317" spans="1:6" s="43" customFormat="1" ht="13.2" x14ac:dyDescent="0.25">
      <c r="A1317" s="201" t="s">
        <v>3234</v>
      </c>
      <c r="B1317" s="192" t="s">
        <v>3235</v>
      </c>
      <c r="C1317" s="217" t="s">
        <v>1141</v>
      </c>
      <c r="D1317" s="53">
        <v>18</v>
      </c>
      <c r="E1317" s="121">
        <f>Saisie!D1317</f>
        <v>0</v>
      </c>
      <c r="F1317" s="51">
        <f>E1317*D1317</f>
        <v>0</v>
      </c>
    </row>
    <row r="1318" spans="1:6" s="43" customFormat="1" ht="13.2" x14ac:dyDescent="0.25">
      <c r="A1318" s="201" t="s">
        <v>3236</v>
      </c>
      <c r="B1318" s="192" t="s">
        <v>3237</v>
      </c>
      <c r="C1318" s="217" t="s">
        <v>3233</v>
      </c>
      <c r="D1318" s="53">
        <v>0</v>
      </c>
      <c r="E1318" s="121">
        <f>Saisie!D1318</f>
        <v>0</v>
      </c>
      <c r="F1318" s="51">
        <f>E1318*D1318</f>
        <v>0</v>
      </c>
    </row>
    <row r="1319" spans="1:6" s="43" customFormat="1" ht="13.2" x14ac:dyDescent="0.25">
      <c r="A1319" s="201" t="s">
        <v>3238</v>
      </c>
      <c r="B1319" s="192" t="s">
        <v>3239</v>
      </c>
      <c r="C1319" s="217"/>
      <c r="D1319" s="45"/>
      <c r="E1319" s="121"/>
      <c r="F1319" s="51"/>
    </row>
    <row r="1320" spans="1:6" s="43" customFormat="1" ht="13.2" x14ac:dyDescent="0.25">
      <c r="A1320" s="201" t="s">
        <v>3240</v>
      </c>
      <c r="B1320" s="192" t="s">
        <v>3241</v>
      </c>
      <c r="C1320" s="217" t="s">
        <v>1011</v>
      </c>
      <c r="D1320" s="53">
        <v>0</v>
      </c>
      <c r="E1320" s="121">
        <f>Saisie!D1320</f>
        <v>0</v>
      </c>
      <c r="F1320" s="51">
        <f>E1320*D1320</f>
        <v>0</v>
      </c>
    </row>
    <row r="1321" spans="1:6" s="43" customFormat="1" ht="13.2" x14ac:dyDescent="0.25">
      <c r="A1321" s="201" t="s">
        <v>3242</v>
      </c>
      <c r="B1321" s="192" t="s">
        <v>3243</v>
      </c>
      <c r="C1321" s="217" t="s">
        <v>1011</v>
      </c>
      <c r="D1321" s="53">
        <v>0</v>
      </c>
      <c r="E1321" s="121">
        <f>Saisie!D1321</f>
        <v>0</v>
      </c>
      <c r="F1321" s="51">
        <f>E1321*D1321</f>
        <v>0</v>
      </c>
    </row>
    <row r="1322" spans="1:6" s="43" customFormat="1" ht="13.2" x14ac:dyDescent="0.25">
      <c r="A1322" s="201" t="s">
        <v>3244</v>
      </c>
      <c r="B1322" s="192" t="s">
        <v>3245</v>
      </c>
      <c r="C1322" s="217" t="s">
        <v>1232</v>
      </c>
      <c r="D1322" s="53">
        <v>0</v>
      </c>
      <c r="E1322" s="121">
        <f>Saisie!D1322</f>
        <v>0</v>
      </c>
      <c r="F1322" s="51">
        <f>E1322*D1322</f>
        <v>0</v>
      </c>
    </row>
    <row r="1323" spans="1:6" s="43" customFormat="1" ht="13.2" x14ac:dyDescent="0.25">
      <c r="A1323" s="201" t="s">
        <v>652</v>
      </c>
      <c r="B1323" s="192" t="s">
        <v>3246</v>
      </c>
      <c r="C1323" s="217"/>
      <c r="D1323" s="45"/>
      <c r="E1323" s="121"/>
      <c r="F1323" s="51"/>
    </row>
    <row r="1324" spans="1:6" s="43" customFormat="1" ht="13.2" x14ac:dyDescent="0.25">
      <c r="A1324" s="201" t="s">
        <v>3247</v>
      </c>
      <c r="B1324" s="192" t="s">
        <v>3248</v>
      </c>
      <c r="C1324" s="217" t="s">
        <v>1034</v>
      </c>
      <c r="D1324" s="53">
        <v>68</v>
      </c>
      <c r="E1324" s="121">
        <f>Saisie!D1324</f>
        <v>0</v>
      </c>
      <c r="F1324" s="51">
        <f>E1324*D1324</f>
        <v>0</v>
      </c>
    </row>
    <row r="1325" spans="1:6" s="43" customFormat="1" ht="13.2" x14ac:dyDescent="0.25">
      <c r="A1325" s="201" t="s">
        <v>3249</v>
      </c>
      <c r="B1325" s="192" t="s">
        <v>3250</v>
      </c>
      <c r="C1325" s="217" t="s">
        <v>1034</v>
      </c>
      <c r="D1325" s="53">
        <v>0</v>
      </c>
      <c r="E1325" s="121">
        <f>Saisie!D1325</f>
        <v>0</v>
      </c>
      <c r="F1325" s="51">
        <f>E1325*D1325</f>
        <v>0</v>
      </c>
    </row>
    <row r="1326" spans="1:6" s="43" customFormat="1" ht="26.4" x14ac:dyDescent="0.25">
      <c r="A1326" s="201" t="s">
        <v>3251</v>
      </c>
      <c r="B1326" s="192" t="s">
        <v>3252</v>
      </c>
      <c r="C1326" s="217" t="s">
        <v>1141</v>
      </c>
      <c r="D1326" s="53">
        <v>292</v>
      </c>
      <c r="E1326" s="121">
        <f>Saisie!D1326</f>
        <v>0</v>
      </c>
      <c r="F1326" s="51">
        <f t="shared" ref="F1326:F1331" si="89">E1326*D1326</f>
        <v>0</v>
      </c>
    </row>
    <row r="1327" spans="1:6" s="24" customFormat="1" ht="13.2" x14ac:dyDescent="0.25">
      <c r="A1327" s="201" t="s">
        <v>3253</v>
      </c>
      <c r="B1327" s="192" t="s">
        <v>3254</v>
      </c>
      <c r="C1327" s="217" t="s">
        <v>3233</v>
      </c>
      <c r="D1327" s="53">
        <v>670</v>
      </c>
      <c r="E1327" s="121">
        <f>Saisie!D1327</f>
        <v>0</v>
      </c>
      <c r="F1327" s="51">
        <f t="shared" si="89"/>
        <v>0</v>
      </c>
    </row>
    <row r="1328" spans="1:6" s="24" customFormat="1" ht="13.2" x14ac:dyDescent="0.25">
      <c r="A1328" s="201" t="s">
        <v>3255</v>
      </c>
      <c r="B1328" s="192" t="s">
        <v>3256</v>
      </c>
      <c r="C1328" s="217" t="s">
        <v>984</v>
      </c>
      <c r="D1328" s="53">
        <v>1</v>
      </c>
      <c r="E1328" s="121">
        <f>Saisie!D1328</f>
        <v>0</v>
      </c>
      <c r="F1328" s="51">
        <f t="shared" si="89"/>
        <v>0</v>
      </c>
    </row>
    <row r="1329" spans="1:6" s="24" customFormat="1" ht="13.2" x14ac:dyDescent="0.25">
      <c r="A1329" s="201" t="s">
        <v>3257</v>
      </c>
      <c r="B1329" s="192" t="s">
        <v>3258</v>
      </c>
      <c r="C1329" s="217" t="s">
        <v>1141</v>
      </c>
      <c r="D1329" s="53">
        <v>292</v>
      </c>
      <c r="E1329" s="121">
        <f>Saisie!D1329</f>
        <v>0</v>
      </c>
      <c r="F1329" s="51">
        <f t="shared" si="89"/>
        <v>0</v>
      </c>
    </row>
    <row r="1330" spans="1:6" s="24" customFormat="1" ht="13.2" x14ac:dyDescent="0.25">
      <c r="A1330" s="201" t="s">
        <v>3259</v>
      </c>
      <c r="B1330" s="192" t="s">
        <v>3260</v>
      </c>
      <c r="C1330" s="217" t="s">
        <v>3233</v>
      </c>
      <c r="D1330" s="53">
        <v>876</v>
      </c>
      <c r="E1330" s="121">
        <f>Saisie!D1330</f>
        <v>0</v>
      </c>
      <c r="F1330" s="51">
        <f t="shared" si="89"/>
        <v>0</v>
      </c>
    </row>
    <row r="1331" spans="1:6" s="24" customFormat="1" ht="13.2" x14ac:dyDescent="0.25">
      <c r="A1331" s="201" t="s">
        <v>3261</v>
      </c>
      <c r="B1331" s="192" t="s">
        <v>3262</v>
      </c>
      <c r="C1331" s="217" t="s">
        <v>1141</v>
      </c>
      <c r="D1331" s="53">
        <v>292</v>
      </c>
      <c r="E1331" s="121">
        <f>Saisie!D1331</f>
        <v>0</v>
      </c>
      <c r="F1331" s="51">
        <f t="shared" si="89"/>
        <v>0</v>
      </c>
    </row>
    <row r="1332" spans="1:6" s="24" customFormat="1" ht="13.2" x14ac:dyDescent="0.25">
      <c r="A1332" s="201" t="s">
        <v>3263</v>
      </c>
      <c r="B1332" s="192" t="s">
        <v>3264</v>
      </c>
      <c r="C1332" s="217" t="s">
        <v>2109</v>
      </c>
      <c r="D1332" s="53">
        <v>1168</v>
      </c>
      <c r="E1332" s="121">
        <f>Saisie!D1332</f>
        <v>0</v>
      </c>
      <c r="F1332" s="51">
        <f>E1332*D1332</f>
        <v>0</v>
      </c>
    </row>
    <row r="1333" spans="1:6" s="24" customFormat="1" ht="13.2" x14ac:dyDescent="0.25">
      <c r="A1333" s="201" t="s">
        <v>653</v>
      </c>
      <c r="B1333" s="192" t="s">
        <v>3265</v>
      </c>
      <c r="C1333" s="217"/>
      <c r="D1333" s="45"/>
      <c r="E1333" s="121"/>
      <c r="F1333" s="51"/>
    </row>
    <row r="1334" spans="1:6" s="24" customFormat="1" ht="26.4" x14ac:dyDescent="0.25">
      <c r="A1334" s="201" t="s">
        <v>3266</v>
      </c>
      <c r="B1334" s="192" t="s">
        <v>3267</v>
      </c>
      <c r="C1334" s="217" t="s">
        <v>3233</v>
      </c>
      <c r="D1334" s="53">
        <v>0</v>
      </c>
      <c r="E1334" s="121">
        <f>Saisie!D1334</f>
        <v>0</v>
      </c>
      <c r="F1334" s="51">
        <f>D1334*E1334</f>
        <v>0</v>
      </c>
    </row>
    <row r="1335" spans="1:6" s="24" customFormat="1" ht="26.4" x14ac:dyDescent="0.25">
      <c r="A1335" s="201" t="s">
        <v>3268</v>
      </c>
      <c r="B1335" s="192" t="s">
        <v>3269</v>
      </c>
      <c r="C1335" s="217" t="s">
        <v>1141</v>
      </c>
      <c r="D1335" s="53">
        <v>0</v>
      </c>
      <c r="E1335" s="121">
        <f>Saisie!D1335</f>
        <v>0</v>
      </c>
      <c r="F1335" s="51">
        <f>D1335*E1335</f>
        <v>0</v>
      </c>
    </row>
    <row r="1336" spans="1:6" s="24" customFormat="1" ht="13.2" x14ac:dyDescent="0.25">
      <c r="A1336" s="27" t="s">
        <v>3270</v>
      </c>
      <c r="B1336" s="3" t="s">
        <v>3271</v>
      </c>
      <c r="C1336" s="217"/>
      <c r="D1336" s="45"/>
      <c r="E1336" s="121"/>
      <c r="F1336" s="51"/>
    </row>
    <row r="1337" spans="1:6" s="8" customFormat="1" ht="13.2" x14ac:dyDescent="0.25">
      <c r="A1337" s="201" t="s">
        <v>3272</v>
      </c>
      <c r="B1337" s="192" t="s">
        <v>3273</v>
      </c>
      <c r="C1337" s="217"/>
      <c r="D1337" s="45"/>
      <c r="E1337" s="121"/>
      <c r="F1337" s="51"/>
    </row>
    <row r="1338" spans="1:6" s="24" customFormat="1" ht="13.2" x14ac:dyDescent="0.25">
      <c r="A1338" s="201" t="s">
        <v>658</v>
      </c>
      <c r="B1338" s="192" t="s">
        <v>3274</v>
      </c>
      <c r="C1338" s="217"/>
      <c r="D1338" s="45"/>
      <c r="E1338" s="121"/>
      <c r="F1338" s="51"/>
    </row>
    <row r="1339" spans="1:6" s="24" customFormat="1" ht="13.2" x14ac:dyDescent="0.25">
      <c r="A1339" s="201" t="s">
        <v>3275</v>
      </c>
      <c r="B1339" s="192" t="s">
        <v>3276</v>
      </c>
      <c r="C1339" s="217" t="s">
        <v>1141</v>
      </c>
      <c r="D1339" s="53">
        <v>72</v>
      </c>
      <c r="E1339" s="121">
        <f>Saisie!D1339</f>
        <v>0</v>
      </c>
      <c r="F1339" s="51">
        <f>E1339*D1339</f>
        <v>0</v>
      </c>
    </row>
    <row r="1340" spans="1:6" s="24" customFormat="1" ht="13.2" x14ac:dyDescent="0.25">
      <c r="A1340" s="201" t="s">
        <v>3277</v>
      </c>
      <c r="B1340" s="192" t="s">
        <v>3278</v>
      </c>
      <c r="C1340" s="217" t="s">
        <v>3233</v>
      </c>
      <c r="D1340" s="53">
        <v>0</v>
      </c>
      <c r="E1340" s="121">
        <f>Saisie!D1340</f>
        <v>0</v>
      </c>
      <c r="F1340" s="51">
        <f t="shared" ref="F1340:F1346" si="90">E1340*D1340</f>
        <v>0</v>
      </c>
    </row>
    <row r="1341" spans="1:6" s="24" customFormat="1" ht="13.2" x14ac:dyDescent="0.25">
      <c r="A1341" s="201" t="s">
        <v>659</v>
      </c>
      <c r="B1341" s="192" t="s">
        <v>3279</v>
      </c>
      <c r="C1341" s="217"/>
      <c r="D1341" s="45"/>
      <c r="E1341" s="121"/>
      <c r="F1341" s="51"/>
    </row>
    <row r="1342" spans="1:6" s="24" customFormat="1" ht="13.2" x14ac:dyDescent="0.25">
      <c r="A1342" s="201" t="s">
        <v>660</v>
      </c>
      <c r="B1342" s="192" t="s">
        <v>3280</v>
      </c>
      <c r="C1342" s="217" t="s">
        <v>1232</v>
      </c>
      <c r="D1342" s="53">
        <v>0</v>
      </c>
      <c r="E1342" s="121">
        <f>Saisie!D1342</f>
        <v>0</v>
      </c>
      <c r="F1342" s="51">
        <f t="shared" si="90"/>
        <v>0</v>
      </c>
    </row>
    <row r="1343" spans="1:6" s="24" customFormat="1" ht="13.2" x14ac:dyDescent="0.25">
      <c r="A1343" s="201" t="s">
        <v>661</v>
      </c>
      <c r="B1343" s="192" t="s">
        <v>3281</v>
      </c>
      <c r="C1343" s="217" t="s">
        <v>1232</v>
      </c>
      <c r="D1343" s="53">
        <v>0</v>
      </c>
      <c r="E1343" s="121">
        <f>Saisie!D1343</f>
        <v>0</v>
      </c>
      <c r="F1343" s="51">
        <f t="shared" si="90"/>
        <v>0</v>
      </c>
    </row>
    <row r="1344" spans="1:6" s="24" customFormat="1" ht="13.2" x14ac:dyDescent="0.25">
      <c r="A1344" s="201" t="s">
        <v>3282</v>
      </c>
      <c r="B1344" s="192" t="s">
        <v>3283</v>
      </c>
      <c r="C1344" s="217"/>
      <c r="D1344" s="45"/>
      <c r="E1344" s="121"/>
      <c r="F1344" s="51"/>
    </row>
    <row r="1345" spans="1:6" s="24" customFormat="1" ht="13.2" x14ac:dyDescent="0.25">
      <c r="A1345" s="201" t="s">
        <v>670</v>
      </c>
      <c r="B1345" s="192" t="s">
        <v>3284</v>
      </c>
      <c r="C1345" s="217" t="s">
        <v>1232</v>
      </c>
      <c r="D1345" s="53">
        <v>0</v>
      </c>
      <c r="E1345" s="121">
        <f>Saisie!D1345</f>
        <v>0</v>
      </c>
      <c r="F1345" s="51">
        <f t="shared" si="90"/>
        <v>0</v>
      </c>
    </row>
    <row r="1346" spans="1:6" s="24" customFormat="1" ht="13.2" x14ac:dyDescent="0.25">
      <c r="A1346" s="201" t="s">
        <v>671</v>
      </c>
      <c r="B1346" s="192" t="s">
        <v>3285</v>
      </c>
      <c r="C1346" s="217" t="s">
        <v>2109</v>
      </c>
      <c r="D1346" s="53">
        <v>328.8</v>
      </c>
      <c r="E1346" s="121">
        <f>Saisie!D1346</f>
        <v>0</v>
      </c>
      <c r="F1346" s="51">
        <f t="shared" si="90"/>
        <v>0</v>
      </c>
    </row>
    <row r="1347" spans="1:6" s="24" customFormat="1" ht="26.4" x14ac:dyDescent="0.25">
      <c r="A1347" s="201" t="s">
        <v>672</v>
      </c>
      <c r="B1347" s="192" t="s">
        <v>3286</v>
      </c>
      <c r="C1347" s="217"/>
      <c r="D1347" s="45"/>
      <c r="E1347" s="121"/>
      <c r="F1347" s="51"/>
    </row>
    <row r="1348" spans="1:6" s="24" customFormat="1" ht="26.4" x14ac:dyDescent="0.25">
      <c r="A1348" s="201" t="s">
        <v>3287</v>
      </c>
      <c r="B1348" s="192" t="s">
        <v>3288</v>
      </c>
      <c r="C1348" s="217" t="s">
        <v>1141</v>
      </c>
      <c r="D1348" s="53">
        <v>90</v>
      </c>
      <c r="E1348" s="121">
        <f>Saisie!D1348</f>
        <v>0</v>
      </c>
      <c r="F1348" s="51">
        <f>D1348*E1348</f>
        <v>0</v>
      </c>
    </row>
    <row r="1349" spans="1:6" ht="13.2" x14ac:dyDescent="0.25">
      <c r="A1349" s="201" t="s">
        <v>3289</v>
      </c>
      <c r="B1349" s="192" t="s">
        <v>3290</v>
      </c>
      <c r="C1349" s="217" t="s">
        <v>3233</v>
      </c>
      <c r="D1349" s="53">
        <v>216</v>
      </c>
      <c r="E1349" s="121">
        <f>Saisie!D1349</f>
        <v>0</v>
      </c>
      <c r="F1349" s="51">
        <f>D1349*E1349</f>
        <v>0</v>
      </c>
    </row>
    <row r="1350" spans="1:6" ht="13.2" x14ac:dyDescent="0.25">
      <c r="A1350" s="201" t="s">
        <v>673</v>
      </c>
      <c r="B1350" s="192" t="s">
        <v>3291</v>
      </c>
      <c r="C1350" s="217"/>
      <c r="D1350" s="87"/>
      <c r="E1350" s="121"/>
      <c r="F1350" s="51"/>
    </row>
    <row r="1351" spans="1:6" ht="13.2" x14ac:dyDescent="0.25">
      <c r="A1351" s="201" t="s">
        <v>3292</v>
      </c>
      <c r="B1351" s="192" t="s">
        <v>3293</v>
      </c>
      <c r="C1351" s="217" t="s">
        <v>1141</v>
      </c>
      <c r="D1351" s="53">
        <v>0</v>
      </c>
      <c r="E1351" s="121">
        <f>Saisie!D1351</f>
        <v>0</v>
      </c>
      <c r="F1351" s="51">
        <f>E1351*D1351</f>
        <v>0</v>
      </c>
    </row>
    <row r="1352" spans="1:6" ht="13.2" x14ac:dyDescent="0.25">
      <c r="A1352" s="201" t="s">
        <v>3294</v>
      </c>
      <c r="B1352" s="192" t="s">
        <v>3295</v>
      </c>
      <c r="C1352" s="217" t="s">
        <v>1141</v>
      </c>
      <c r="D1352" s="53">
        <v>0</v>
      </c>
      <c r="E1352" s="121">
        <f>Saisie!D1352</f>
        <v>0</v>
      </c>
      <c r="F1352" s="51">
        <f>E1352*D1352</f>
        <v>0</v>
      </c>
    </row>
    <row r="1353" spans="1:6" ht="13.2" x14ac:dyDescent="0.25">
      <c r="A1353" s="201" t="s">
        <v>3296</v>
      </c>
      <c r="B1353" s="192" t="s">
        <v>3297</v>
      </c>
      <c r="C1353" s="217" t="s">
        <v>1141</v>
      </c>
      <c r="D1353" s="53">
        <v>0</v>
      </c>
      <c r="E1353" s="121">
        <f>Saisie!D1353</f>
        <v>0</v>
      </c>
      <c r="F1353" s="51">
        <f>E1353*D1353</f>
        <v>0</v>
      </c>
    </row>
    <row r="1354" spans="1:6" ht="26.4" x14ac:dyDescent="0.25">
      <c r="A1354" s="203" t="s">
        <v>3298</v>
      </c>
      <c r="B1354" s="248" t="s">
        <v>3299</v>
      </c>
      <c r="C1354" s="227"/>
      <c r="D1354" s="53"/>
      <c r="E1354" s="121"/>
      <c r="F1354" s="51"/>
    </row>
    <row r="1355" spans="1:6" ht="26.4" x14ac:dyDescent="0.25">
      <c r="A1355" s="201" t="s">
        <v>682</v>
      </c>
      <c r="B1355" s="250" t="s">
        <v>3300</v>
      </c>
      <c r="C1355" s="227" t="s">
        <v>975</v>
      </c>
      <c r="D1355" s="53">
        <v>0</v>
      </c>
      <c r="E1355" s="121">
        <f>Saisie!D1355</f>
        <v>0</v>
      </c>
      <c r="F1355" s="51">
        <f t="shared" ref="F1355" si="91">E1355*D1355</f>
        <v>0</v>
      </c>
    </row>
    <row r="1356" spans="1:6" ht="26.4" x14ac:dyDescent="0.25">
      <c r="A1356" s="201" t="s">
        <v>683</v>
      </c>
      <c r="B1356" s="250" t="s">
        <v>3301</v>
      </c>
      <c r="C1356" s="227" t="s">
        <v>1034</v>
      </c>
      <c r="D1356" s="53">
        <v>0</v>
      </c>
      <c r="E1356" s="121">
        <f>Saisie!D1356</f>
        <v>0</v>
      </c>
      <c r="F1356" s="51">
        <f>E1356*D1356</f>
        <v>0</v>
      </c>
    </row>
    <row r="1357" spans="1:6" ht="23.25" customHeight="1" x14ac:dyDescent="0.25">
      <c r="A1357" s="201" t="s">
        <v>684</v>
      </c>
      <c r="B1357" s="250" t="s">
        <v>3302</v>
      </c>
      <c r="C1357" s="227" t="s">
        <v>975</v>
      </c>
      <c r="D1357" s="53">
        <v>0</v>
      </c>
      <c r="E1357" s="121">
        <f>Saisie!D1357</f>
        <v>0</v>
      </c>
      <c r="F1357" s="51">
        <f>E1357*D1357</f>
        <v>0</v>
      </c>
    </row>
    <row r="1358" spans="1:6" ht="23.25" customHeight="1" x14ac:dyDescent="0.25">
      <c r="A1358" s="201" t="s">
        <v>3303</v>
      </c>
      <c r="B1358" s="250" t="s">
        <v>3304</v>
      </c>
      <c r="C1358" s="227" t="s">
        <v>975</v>
      </c>
      <c r="D1358" s="53">
        <v>0</v>
      </c>
      <c r="E1358" s="121">
        <f>Saisie!D1358</f>
        <v>0</v>
      </c>
      <c r="F1358" s="51">
        <f>E1358*D1358</f>
        <v>0</v>
      </c>
    </row>
    <row r="1359" spans="1:6" ht="23.25" customHeight="1" x14ac:dyDescent="0.25">
      <c r="A1359" s="201" t="s">
        <v>3305</v>
      </c>
      <c r="B1359" s="250" t="s">
        <v>3306</v>
      </c>
      <c r="C1359" s="227" t="s">
        <v>1034</v>
      </c>
      <c r="D1359" s="53">
        <v>0</v>
      </c>
      <c r="E1359" s="121">
        <f>Saisie!D1359</f>
        <v>0</v>
      </c>
      <c r="F1359" s="51">
        <f>E1359*D1359</f>
        <v>0</v>
      </c>
    </row>
    <row r="1360" spans="1:6" ht="23.25" customHeight="1" x14ac:dyDescent="0.25">
      <c r="A1360" s="201" t="s">
        <v>3307</v>
      </c>
      <c r="B1360" s="250" t="s">
        <v>3308</v>
      </c>
      <c r="C1360" s="227" t="s">
        <v>975</v>
      </c>
      <c r="D1360" s="53">
        <v>0</v>
      </c>
      <c r="E1360" s="121">
        <f>Saisie!D1360</f>
        <v>0</v>
      </c>
      <c r="F1360" s="51">
        <f>E1360*D1360</f>
        <v>0</v>
      </c>
    </row>
    <row r="1361" spans="1:6" ht="23.25" customHeight="1" x14ac:dyDescent="0.25">
      <c r="A1361" s="203" t="s">
        <v>3309</v>
      </c>
      <c r="B1361" s="248" t="s">
        <v>3310</v>
      </c>
      <c r="C1361" s="227"/>
      <c r="D1361" s="45"/>
      <c r="E1361" s="121"/>
      <c r="F1361" s="51"/>
    </row>
    <row r="1362" spans="1:6" ht="23.25" customHeight="1" x14ac:dyDescent="0.25">
      <c r="A1362" s="201" t="s">
        <v>685</v>
      </c>
      <c r="B1362" s="250" t="s">
        <v>3311</v>
      </c>
      <c r="C1362" s="227" t="s">
        <v>1034</v>
      </c>
      <c r="D1362" s="53">
        <v>0</v>
      </c>
      <c r="E1362" s="121">
        <f>Saisie!D1362</f>
        <v>0</v>
      </c>
      <c r="F1362" s="51">
        <f t="shared" ref="F1362:F1363" si="92">E1362*D1362</f>
        <v>0</v>
      </c>
    </row>
    <row r="1363" spans="1:6" ht="23.25" customHeight="1" x14ac:dyDescent="0.25">
      <c r="A1363" s="201" t="s">
        <v>686</v>
      </c>
      <c r="B1363" s="250" t="s">
        <v>3312</v>
      </c>
      <c r="C1363" s="227" t="s">
        <v>1034</v>
      </c>
      <c r="D1363" s="53">
        <v>0</v>
      </c>
      <c r="E1363" s="121">
        <f>Saisie!D1363</f>
        <v>0</v>
      </c>
      <c r="F1363" s="51">
        <f t="shared" si="92"/>
        <v>0</v>
      </c>
    </row>
    <row r="1364" spans="1:6" ht="23.25" customHeight="1" x14ac:dyDescent="0.25">
      <c r="A1364" s="203" t="s">
        <v>3313</v>
      </c>
      <c r="B1364" s="248" t="s">
        <v>3314</v>
      </c>
      <c r="C1364" s="227"/>
      <c r="D1364" s="45"/>
      <c r="E1364" s="121"/>
      <c r="F1364" s="51"/>
    </row>
    <row r="1365" spans="1:6" ht="23.25" customHeight="1" x14ac:dyDescent="0.25">
      <c r="A1365" s="201" t="s">
        <v>3315</v>
      </c>
      <c r="B1365" s="250" t="s">
        <v>4315</v>
      </c>
      <c r="C1365" s="227" t="s">
        <v>1034</v>
      </c>
      <c r="D1365" s="53">
        <v>0</v>
      </c>
      <c r="E1365" s="121">
        <f>Saisie!D1365</f>
        <v>0</v>
      </c>
      <c r="F1365" s="51">
        <f t="shared" ref="F1365:F1376" si="93">E1365*D1365</f>
        <v>0</v>
      </c>
    </row>
    <row r="1366" spans="1:6" ht="23.25" customHeight="1" x14ac:dyDescent="0.25">
      <c r="A1366" s="201" t="s">
        <v>3317</v>
      </c>
      <c r="B1366" s="250" t="s">
        <v>3318</v>
      </c>
      <c r="C1366" s="227" t="s">
        <v>1034</v>
      </c>
      <c r="D1366" s="53">
        <v>0</v>
      </c>
      <c r="E1366" s="121">
        <f>Saisie!D1366</f>
        <v>0</v>
      </c>
      <c r="F1366" s="51">
        <f t="shared" si="93"/>
        <v>0</v>
      </c>
    </row>
    <row r="1367" spans="1:6" ht="23.25" customHeight="1" x14ac:dyDescent="0.25">
      <c r="A1367" s="203" t="s">
        <v>3319</v>
      </c>
      <c r="B1367" s="248" t="s">
        <v>3320</v>
      </c>
      <c r="C1367" s="227"/>
      <c r="D1367" s="45"/>
      <c r="E1367" s="121"/>
      <c r="F1367" s="51"/>
    </row>
    <row r="1368" spans="1:6" ht="23.25" customHeight="1" x14ac:dyDescent="0.25">
      <c r="A1368" s="201" t="s">
        <v>3321</v>
      </c>
      <c r="B1368" s="250" t="s">
        <v>3322</v>
      </c>
      <c r="C1368" s="217" t="s">
        <v>1011</v>
      </c>
      <c r="D1368" s="53">
        <v>0</v>
      </c>
      <c r="E1368" s="121">
        <f>Saisie!D1368</f>
        <v>0</v>
      </c>
      <c r="F1368" s="51">
        <f t="shared" si="93"/>
        <v>0</v>
      </c>
    </row>
    <row r="1369" spans="1:6" ht="23.25" customHeight="1" x14ac:dyDescent="0.25">
      <c r="A1369" s="201" t="s">
        <v>3323</v>
      </c>
      <c r="B1369" s="250" t="s">
        <v>3324</v>
      </c>
      <c r="C1369" s="217" t="s">
        <v>1034</v>
      </c>
      <c r="D1369" s="53">
        <v>0</v>
      </c>
      <c r="E1369" s="121">
        <f>Saisie!D1369</f>
        <v>0</v>
      </c>
      <c r="F1369" s="51">
        <f t="shared" si="93"/>
        <v>0</v>
      </c>
    </row>
    <row r="1370" spans="1:6" ht="23.25" customHeight="1" x14ac:dyDescent="0.25">
      <c r="A1370" s="201" t="s">
        <v>3325</v>
      </c>
      <c r="B1370" s="250" t="s">
        <v>3326</v>
      </c>
      <c r="C1370" s="217" t="s">
        <v>1011</v>
      </c>
      <c r="D1370" s="53">
        <v>0</v>
      </c>
      <c r="E1370" s="121">
        <f>Saisie!D1370</f>
        <v>0</v>
      </c>
      <c r="F1370" s="51">
        <f t="shared" si="93"/>
        <v>0</v>
      </c>
    </row>
    <row r="1371" spans="1:6" ht="23.25" customHeight="1" x14ac:dyDescent="0.25">
      <c r="A1371" s="201" t="s">
        <v>3327</v>
      </c>
      <c r="B1371" s="250" t="s">
        <v>3328</v>
      </c>
      <c r="C1371" s="217" t="s">
        <v>1011</v>
      </c>
      <c r="D1371" s="53">
        <v>0</v>
      </c>
      <c r="E1371" s="121">
        <f>Saisie!D1371</f>
        <v>0</v>
      </c>
      <c r="F1371" s="51">
        <f t="shared" si="93"/>
        <v>0</v>
      </c>
    </row>
    <row r="1372" spans="1:6" ht="23.25" customHeight="1" x14ac:dyDescent="0.25">
      <c r="A1372" s="201" t="s">
        <v>3329</v>
      </c>
      <c r="B1372" s="250" t="s">
        <v>3330</v>
      </c>
      <c r="C1372" s="217" t="s">
        <v>1034</v>
      </c>
      <c r="D1372" s="53">
        <v>0</v>
      </c>
      <c r="E1372" s="121">
        <f>Saisie!D1372</f>
        <v>0</v>
      </c>
      <c r="F1372" s="51">
        <f t="shared" si="93"/>
        <v>0</v>
      </c>
    </row>
    <row r="1373" spans="1:6" ht="23.25" customHeight="1" x14ac:dyDescent="0.25">
      <c r="A1373" s="201" t="s">
        <v>3331</v>
      </c>
      <c r="B1373" s="250" t="s">
        <v>3332</v>
      </c>
      <c r="C1373" s="217" t="s">
        <v>1011</v>
      </c>
      <c r="D1373" s="53">
        <v>0</v>
      </c>
      <c r="E1373" s="121">
        <f>Saisie!D1373</f>
        <v>0</v>
      </c>
      <c r="F1373" s="51">
        <f t="shared" si="93"/>
        <v>0</v>
      </c>
    </row>
    <row r="1374" spans="1:6" ht="23.25" customHeight="1" x14ac:dyDescent="0.25">
      <c r="A1374" s="201" t="s">
        <v>3333</v>
      </c>
      <c r="B1374" s="250" t="s">
        <v>3334</v>
      </c>
      <c r="C1374" s="217" t="s">
        <v>1011</v>
      </c>
      <c r="D1374" s="53">
        <v>0</v>
      </c>
      <c r="E1374" s="121">
        <f>Saisie!D1374</f>
        <v>0</v>
      </c>
      <c r="F1374" s="51">
        <f t="shared" si="93"/>
        <v>0</v>
      </c>
    </row>
    <row r="1375" spans="1:6" ht="23.25" customHeight="1" x14ac:dyDescent="0.25">
      <c r="A1375" s="201" t="s">
        <v>3335</v>
      </c>
      <c r="B1375" s="250" t="s">
        <v>3336</v>
      </c>
      <c r="C1375" s="217" t="s">
        <v>1034</v>
      </c>
      <c r="D1375" s="53">
        <v>0</v>
      </c>
      <c r="E1375" s="121">
        <f>Saisie!D1375</f>
        <v>0</v>
      </c>
      <c r="F1375" s="51">
        <f t="shared" si="93"/>
        <v>0</v>
      </c>
    </row>
    <row r="1376" spans="1:6" ht="23.25" customHeight="1" x14ac:dyDescent="0.25">
      <c r="A1376" s="201" t="s">
        <v>3337</v>
      </c>
      <c r="B1376" s="250" t="s">
        <v>3338</v>
      </c>
      <c r="C1376" s="217" t="s">
        <v>1011</v>
      </c>
      <c r="D1376" s="53">
        <v>0</v>
      </c>
      <c r="E1376" s="121">
        <f>Saisie!D1376</f>
        <v>0</v>
      </c>
      <c r="F1376" s="51">
        <f t="shared" si="93"/>
        <v>0</v>
      </c>
    </row>
    <row r="1377" spans="1:6" ht="26.4" x14ac:dyDescent="0.25">
      <c r="A1377" s="202"/>
      <c r="B1377" s="122" t="s">
        <v>3339</v>
      </c>
      <c r="C1377" s="217"/>
      <c r="D1377" s="217"/>
      <c r="E1377" s="217"/>
      <c r="F1377" s="84">
        <f>SUM(F1238:F1354)</f>
        <v>0</v>
      </c>
    </row>
    <row r="1378" spans="1:6" ht="13.2" x14ac:dyDescent="0.25">
      <c r="A1378" s="202"/>
      <c r="B1378" s="122"/>
      <c r="C1378" s="217"/>
      <c r="D1378" s="217"/>
      <c r="E1378" s="217"/>
      <c r="F1378" s="158"/>
    </row>
    <row r="1379" spans="1:6" ht="13.2" x14ac:dyDescent="0.25">
      <c r="A1379" s="29" t="s">
        <v>3340</v>
      </c>
      <c r="B1379" s="32" t="s">
        <v>3341</v>
      </c>
      <c r="C1379" s="224" t="s">
        <v>1883</v>
      </c>
      <c r="D1379" s="224" t="s">
        <v>1883</v>
      </c>
      <c r="E1379" s="224" t="s">
        <v>1883</v>
      </c>
      <c r="F1379" s="224" t="s">
        <v>1883</v>
      </c>
    </row>
    <row r="1380" spans="1:6" ht="13.2" x14ac:dyDescent="0.25">
      <c r="A1380" s="27" t="s">
        <v>3342</v>
      </c>
      <c r="B1380" s="3" t="s">
        <v>3343</v>
      </c>
      <c r="C1380" s="217" t="s">
        <v>1883</v>
      </c>
      <c r="D1380" s="217" t="s">
        <v>1883</v>
      </c>
      <c r="E1380" s="217" t="s">
        <v>1883</v>
      </c>
      <c r="F1380" s="217" t="s">
        <v>1883</v>
      </c>
    </row>
    <row r="1381" spans="1:6" ht="13.2" x14ac:dyDescent="0.25">
      <c r="A1381" s="202" t="s">
        <v>690</v>
      </c>
      <c r="B1381" s="216" t="s">
        <v>3344</v>
      </c>
      <c r="C1381" s="217"/>
      <c r="D1381" s="217"/>
      <c r="E1381" s="217"/>
      <c r="F1381" s="217"/>
    </row>
    <row r="1382" spans="1:6" ht="13.2" x14ac:dyDescent="0.25">
      <c r="A1382" s="202" t="s">
        <v>3345</v>
      </c>
      <c r="B1382" s="216" t="s">
        <v>3346</v>
      </c>
      <c r="C1382" s="217" t="s">
        <v>1141</v>
      </c>
      <c r="D1382" s="53">
        <v>0</v>
      </c>
      <c r="E1382" s="121">
        <f>Saisie!D1382</f>
        <v>0</v>
      </c>
      <c r="F1382" s="51">
        <f t="shared" ref="F1382:F1388" si="94">E1382*D1382</f>
        <v>0</v>
      </c>
    </row>
    <row r="1383" spans="1:6" ht="13.2" x14ac:dyDescent="0.25">
      <c r="A1383" s="202" t="s">
        <v>3347</v>
      </c>
      <c r="B1383" s="216" t="s">
        <v>3348</v>
      </c>
      <c r="C1383" s="217" t="s">
        <v>1141</v>
      </c>
      <c r="D1383" s="53">
        <v>0</v>
      </c>
      <c r="E1383" s="121">
        <f>Saisie!D1383</f>
        <v>0</v>
      </c>
      <c r="F1383" s="51">
        <f t="shared" si="94"/>
        <v>0</v>
      </c>
    </row>
    <row r="1384" spans="1:6" ht="13.2" x14ac:dyDescent="0.25">
      <c r="A1384" s="202" t="s">
        <v>3349</v>
      </c>
      <c r="B1384" s="216" t="s">
        <v>2151</v>
      </c>
      <c r="C1384" s="217" t="s">
        <v>1141</v>
      </c>
      <c r="D1384" s="53">
        <v>0</v>
      </c>
      <c r="E1384" s="121">
        <f>Saisie!D1384</f>
        <v>0</v>
      </c>
      <c r="F1384" s="51">
        <f t="shared" si="94"/>
        <v>0</v>
      </c>
    </row>
    <row r="1385" spans="1:6" ht="13.2" x14ac:dyDescent="0.25">
      <c r="A1385" s="202" t="s">
        <v>691</v>
      </c>
      <c r="B1385" s="216" t="s">
        <v>3350</v>
      </c>
      <c r="C1385" s="217"/>
      <c r="D1385" s="45"/>
      <c r="E1385" s="121"/>
      <c r="F1385" s="51"/>
    </row>
    <row r="1386" spans="1:6" s="8" customFormat="1" ht="13.2" x14ac:dyDescent="0.25">
      <c r="A1386" s="202" t="s">
        <v>3351</v>
      </c>
      <c r="B1386" s="216" t="s">
        <v>3346</v>
      </c>
      <c r="C1386" s="217" t="s">
        <v>1141</v>
      </c>
      <c r="D1386" s="53">
        <v>0</v>
      </c>
      <c r="E1386" s="121">
        <f>Saisie!D1386</f>
        <v>0</v>
      </c>
      <c r="F1386" s="51">
        <f t="shared" si="94"/>
        <v>0</v>
      </c>
    </row>
    <row r="1387" spans="1:6" s="2" customFormat="1" ht="13.2" x14ac:dyDescent="0.25">
      <c r="A1387" s="202" t="s">
        <v>3352</v>
      </c>
      <c r="B1387" s="216" t="s">
        <v>3348</v>
      </c>
      <c r="C1387" s="217" t="s">
        <v>1141</v>
      </c>
      <c r="D1387" s="53">
        <v>0</v>
      </c>
      <c r="E1387" s="121">
        <f>Saisie!D1387</f>
        <v>0</v>
      </c>
      <c r="F1387" s="51">
        <f t="shared" si="94"/>
        <v>0</v>
      </c>
    </row>
    <row r="1388" spans="1:6" ht="13.2" x14ac:dyDescent="0.25">
      <c r="A1388" s="202" t="s">
        <v>3353</v>
      </c>
      <c r="B1388" s="216" t="s">
        <v>2151</v>
      </c>
      <c r="C1388" s="217" t="s">
        <v>1141</v>
      </c>
      <c r="D1388" s="53">
        <v>0</v>
      </c>
      <c r="E1388" s="121">
        <f>Saisie!D1388</f>
        <v>0</v>
      </c>
      <c r="F1388" s="51">
        <f t="shared" si="94"/>
        <v>0</v>
      </c>
    </row>
    <row r="1389" spans="1:6" ht="13.2" x14ac:dyDescent="0.25">
      <c r="A1389" s="202" t="s">
        <v>692</v>
      </c>
      <c r="B1389" s="216" t="s">
        <v>3354</v>
      </c>
      <c r="C1389" s="217"/>
      <c r="D1389" s="45"/>
      <c r="E1389" s="121"/>
      <c r="F1389" s="51"/>
    </row>
    <row r="1390" spans="1:6" ht="13.2" x14ac:dyDescent="0.25">
      <c r="A1390" s="202" t="s">
        <v>3355</v>
      </c>
      <c r="B1390" s="216" t="s">
        <v>3346</v>
      </c>
      <c r="C1390" s="217" t="s">
        <v>1141</v>
      </c>
      <c r="D1390" s="53">
        <v>0</v>
      </c>
      <c r="E1390" s="121">
        <f>Saisie!D1390</f>
        <v>0</v>
      </c>
      <c r="F1390" s="51">
        <f>E1390*D1390</f>
        <v>0</v>
      </c>
    </row>
    <row r="1391" spans="1:6" s="8" customFormat="1" ht="13.2" x14ac:dyDescent="0.25">
      <c r="A1391" s="202" t="s">
        <v>3356</v>
      </c>
      <c r="B1391" s="216" t="s">
        <v>3348</v>
      </c>
      <c r="C1391" s="217" t="s">
        <v>1141</v>
      </c>
      <c r="D1391" s="53">
        <v>0</v>
      </c>
      <c r="E1391" s="121">
        <f>Saisie!D1391</f>
        <v>0</v>
      </c>
      <c r="F1391" s="51">
        <f t="shared" ref="F1391:F1396" si="95">E1391*D1391</f>
        <v>0</v>
      </c>
    </row>
    <row r="1392" spans="1:6" s="2" customFormat="1" ht="13.2" x14ac:dyDescent="0.25">
      <c r="A1392" s="202" t="s">
        <v>3357</v>
      </c>
      <c r="B1392" s="216" t="s">
        <v>2151</v>
      </c>
      <c r="C1392" s="217" t="s">
        <v>1141</v>
      </c>
      <c r="D1392" s="53">
        <v>0</v>
      </c>
      <c r="E1392" s="121">
        <f>Saisie!D1392</f>
        <v>0</v>
      </c>
      <c r="F1392" s="51">
        <f t="shared" si="95"/>
        <v>0</v>
      </c>
    </row>
    <row r="1393" spans="1:7" s="2" customFormat="1" ht="12" customHeight="1" x14ac:dyDescent="0.25">
      <c r="A1393" s="27" t="s">
        <v>3358</v>
      </c>
      <c r="B1393" s="3" t="s">
        <v>3359</v>
      </c>
      <c r="C1393" s="217" t="s">
        <v>1883</v>
      </c>
      <c r="D1393" s="45"/>
      <c r="E1393" s="121"/>
      <c r="F1393" s="51"/>
    </row>
    <row r="1394" spans="1:7" s="2" customFormat="1" ht="23.25" customHeight="1" x14ac:dyDescent="0.25">
      <c r="A1394" s="202" t="s">
        <v>3360</v>
      </c>
      <c r="B1394" s="216" t="s">
        <v>3361</v>
      </c>
      <c r="C1394" s="217"/>
      <c r="D1394" s="45"/>
      <c r="E1394" s="121"/>
      <c r="F1394" s="51"/>
      <c r="G1394" s="80"/>
    </row>
    <row r="1395" spans="1:7" ht="13.2" x14ac:dyDescent="0.25">
      <c r="A1395" s="202" t="s">
        <v>694</v>
      </c>
      <c r="B1395" s="216" t="s">
        <v>3362</v>
      </c>
      <c r="C1395" s="217" t="s">
        <v>2109</v>
      </c>
      <c r="D1395" s="53">
        <v>0</v>
      </c>
      <c r="E1395" s="121">
        <f>Saisie!D1395</f>
        <v>0</v>
      </c>
      <c r="F1395" s="51">
        <f t="shared" si="95"/>
        <v>0</v>
      </c>
    </row>
    <row r="1396" spans="1:7" ht="13.2" x14ac:dyDescent="0.25">
      <c r="A1396" s="202" t="s">
        <v>695</v>
      </c>
      <c r="B1396" s="216" t="s">
        <v>3363</v>
      </c>
      <c r="C1396" s="217" t="s">
        <v>2109</v>
      </c>
      <c r="D1396" s="53">
        <v>0</v>
      </c>
      <c r="E1396" s="121">
        <f>Saisie!D1396</f>
        <v>0</v>
      </c>
      <c r="F1396" s="51">
        <f t="shared" si="95"/>
        <v>0</v>
      </c>
    </row>
    <row r="1397" spans="1:7" ht="13.2" x14ac:dyDescent="0.25">
      <c r="A1397" s="202" t="s">
        <v>696</v>
      </c>
      <c r="B1397" s="216" t="s">
        <v>3364</v>
      </c>
      <c r="C1397" s="217" t="s">
        <v>2109</v>
      </c>
      <c r="D1397" s="53">
        <v>0</v>
      </c>
      <c r="E1397" s="121">
        <f>Saisie!D1397</f>
        <v>0</v>
      </c>
      <c r="F1397" s="51">
        <f>E1397*D1397</f>
        <v>0</v>
      </c>
    </row>
    <row r="1398" spans="1:7" s="43" customFormat="1" ht="13.2" x14ac:dyDescent="0.25">
      <c r="A1398" s="202" t="s">
        <v>3365</v>
      </c>
      <c r="B1398" s="216" t="s">
        <v>3366</v>
      </c>
      <c r="C1398" s="217"/>
      <c r="D1398" s="45"/>
      <c r="E1398" s="121"/>
      <c r="F1398" s="51"/>
    </row>
    <row r="1399" spans="1:7" s="24" customFormat="1" ht="13.2" x14ac:dyDescent="0.25">
      <c r="A1399" s="202" t="s">
        <v>703</v>
      </c>
      <c r="B1399" s="216" t="s">
        <v>3362</v>
      </c>
      <c r="C1399" s="217" t="s">
        <v>2109</v>
      </c>
      <c r="D1399" s="53">
        <v>0</v>
      </c>
      <c r="E1399" s="121">
        <f>Saisie!D1399</f>
        <v>0</v>
      </c>
      <c r="F1399" s="51">
        <f>E1399*D1399</f>
        <v>0</v>
      </c>
    </row>
    <row r="1400" spans="1:7" s="24" customFormat="1" ht="13.2" x14ac:dyDescent="0.25">
      <c r="A1400" s="202" t="s">
        <v>704</v>
      </c>
      <c r="B1400" s="216" t="s">
        <v>3363</v>
      </c>
      <c r="C1400" s="217" t="s">
        <v>2109</v>
      </c>
      <c r="D1400" s="53">
        <v>0</v>
      </c>
      <c r="E1400" s="121">
        <f>Saisie!D1400</f>
        <v>0</v>
      </c>
      <c r="F1400" s="51">
        <f>E1400*D1400</f>
        <v>0</v>
      </c>
    </row>
    <row r="1401" spans="1:7" s="24" customFormat="1" ht="13.2" x14ac:dyDescent="0.25">
      <c r="A1401" s="202" t="s">
        <v>705</v>
      </c>
      <c r="B1401" s="216" t="s">
        <v>3364</v>
      </c>
      <c r="C1401" s="217" t="s">
        <v>2109</v>
      </c>
      <c r="D1401" s="53">
        <v>0</v>
      </c>
      <c r="E1401" s="121">
        <f>Saisie!D1401</f>
        <v>0</v>
      </c>
      <c r="F1401" s="51">
        <f>E1401*D1401</f>
        <v>0</v>
      </c>
    </row>
    <row r="1402" spans="1:7" s="24" customFormat="1" ht="13.2" x14ac:dyDescent="0.25">
      <c r="A1402" s="202" t="s">
        <v>708</v>
      </c>
      <c r="B1402" s="216" t="s">
        <v>3367</v>
      </c>
      <c r="C1402" s="217"/>
      <c r="D1402" s="45"/>
      <c r="E1402" s="121"/>
      <c r="F1402" s="51"/>
    </row>
    <row r="1403" spans="1:7" s="24" customFormat="1" ht="13.2" x14ac:dyDescent="0.25">
      <c r="A1403" s="202" t="s">
        <v>3368</v>
      </c>
      <c r="B1403" s="216" t="s">
        <v>3362</v>
      </c>
      <c r="C1403" s="217" t="s">
        <v>2109</v>
      </c>
      <c r="D1403" s="53">
        <v>0</v>
      </c>
      <c r="E1403" s="121">
        <f>Saisie!D1403</f>
        <v>0</v>
      </c>
      <c r="F1403" s="51">
        <f>E1403*D1403</f>
        <v>0</v>
      </c>
    </row>
    <row r="1404" spans="1:7" s="24" customFormat="1" ht="13.2" x14ac:dyDescent="0.25">
      <c r="A1404" s="202" t="s">
        <v>3369</v>
      </c>
      <c r="B1404" s="216" t="s">
        <v>3363</v>
      </c>
      <c r="C1404" s="217" t="s">
        <v>2109</v>
      </c>
      <c r="D1404" s="53">
        <v>0</v>
      </c>
      <c r="E1404" s="121">
        <f>Saisie!D1404</f>
        <v>0</v>
      </c>
      <c r="F1404" s="51">
        <f>E1404*D1404</f>
        <v>0</v>
      </c>
    </row>
    <row r="1405" spans="1:7" s="24" customFormat="1" ht="13.2" x14ac:dyDescent="0.25">
      <c r="A1405" s="202" t="s">
        <v>3370</v>
      </c>
      <c r="B1405" s="216" t="s">
        <v>3364</v>
      </c>
      <c r="C1405" s="217" t="s">
        <v>2109</v>
      </c>
      <c r="D1405" s="53">
        <v>0</v>
      </c>
      <c r="E1405" s="121">
        <f>Saisie!D1405</f>
        <v>0</v>
      </c>
      <c r="F1405" s="51">
        <f>E1405*D1405</f>
        <v>0</v>
      </c>
    </row>
    <row r="1406" spans="1:7" s="24" customFormat="1" ht="13.2" x14ac:dyDescent="0.25">
      <c r="A1406" s="27" t="s">
        <v>3371</v>
      </c>
      <c r="B1406" s="3" t="s">
        <v>3372</v>
      </c>
      <c r="C1406" s="217" t="s">
        <v>1883</v>
      </c>
      <c r="D1406" s="45"/>
      <c r="E1406" s="121"/>
      <c r="F1406" s="51"/>
    </row>
    <row r="1407" spans="1:7" s="24" customFormat="1" ht="13.2" x14ac:dyDescent="0.25">
      <c r="A1407" s="202" t="s">
        <v>710</v>
      </c>
      <c r="B1407" s="216" t="s">
        <v>3373</v>
      </c>
      <c r="C1407" s="217" t="s">
        <v>1232</v>
      </c>
      <c r="D1407" s="53">
        <v>0</v>
      </c>
      <c r="E1407" s="121">
        <f>Saisie!D1407</f>
        <v>0</v>
      </c>
      <c r="F1407" s="51">
        <f t="shared" ref="F1407:F1412" si="96">E1407*D1407</f>
        <v>0</v>
      </c>
    </row>
    <row r="1408" spans="1:7" s="24" customFormat="1" ht="13.2" x14ac:dyDescent="0.25">
      <c r="A1408" s="202" t="s">
        <v>711</v>
      </c>
      <c r="B1408" s="216" t="s">
        <v>3374</v>
      </c>
      <c r="C1408" s="217" t="s">
        <v>1232</v>
      </c>
      <c r="D1408" s="53">
        <v>0</v>
      </c>
      <c r="E1408" s="121">
        <f>Saisie!D1408</f>
        <v>0</v>
      </c>
      <c r="F1408" s="51">
        <f t="shared" si="96"/>
        <v>0</v>
      </c>
    </row>
    <row r="1409" spans="1:8" s="24" customFormat="1" ht="13.2" x14ac:dyDescent="0.25">
      <c r="A1409" s="202" t="s">
        <v>712</v>
      </c>
      <c r="B1409" s="216" t="s">
        <v>3375</v>
      </c>
      <c r="C1409" s="217" t="s">
        <v>1232</v>
      </c>
      <c r="D1409" s="53">
        <v>0</v>
      </c>
      <c r="E1409" s="121">
        <f>Saisie!D1409</f>
        <v>0</v>
      </c>
      <c r="F1409" s="51">
        <f t="shared" si="96"/>
        <v>0</v>
      </c>
    </row>
    <row r="1410" spans="1:8" s="24" customFormat="1" ht="13.2" x14ac:dyDescent="0.25">
      <c r="A1410" s="202" t="s">
        <v>713</v>
      </c>
      <c r="B1410" s="216" t="s">
        <v>3376</v>
      </c>
      <c r="C1410" s="217" t="s">
        <v>1232</v>
      </c>
      <c r="D1410" s="53">
        <v>0</v>
      </c>
      <c r="E1410" s="121">
        <f>Saisie!D1410</f>
        <v>0</v>
      </c>
      <c r="F1410" s="51">
        <f t="shared" si="96"/>
        <v>0</v>
      </c>
    </row>
    <row r="1411" spans="1:8" s="24" customFormat="1" ht="13.2" x14ac:dyDescent="0.25">
      <c r="A1411" s="202" t="s">
        <v>3377</v>
      </c>
      <c r="B1411" s="216" t="s">
        <v>3378</v>
      </c>
      <c r="C1411" s="217" t="s">
        <v>1232</v>
      </c>
      <c r="D1411" s="53">
        <v>0</v>
      </c>
      <c r="E1411" s="121">
        <f>Saisie!D1411</f>
        <v>0</v>
      </c>
      <c r="F1411" s="51">
        <f t="shared" si="96"/>
        <v>0</v>
      </c>
    </row>
    <row r="1412" spans="1:8" s="24" customFormat="1" ht="13.2" x14ac:dyDescent="0.25">
      <c r="A1412" s="202" t="s">
        <v>3379</v>
      </c>
      <c r="B1412" s="216" t="s">
        <v>3380</v>
      </c>
      <c r="C1412" s="217" t="s">
        <v>1232</v>
      </c>
      <c r="D1412" s="53">
        <v>0</v>
      </c>
      <c r="E1412" s="121">
        <f>Saisie!D1412</f>
        <v>0</v>
      </c>
      <c r="F1412" s="51">
        <f t="shared" si="96"/>
        <v>0</v>
      </c>
    </row>
    <row r="1413" spans="1:8" s="24" customFormat="1" ht="13.2" x14ac:dyDescent="0.25">
      <c r="A1413" s="27" t="s">
        <v>3381</v>
      </c>
      <c r="B1413" s="3" t="s">
        <v>3382</v>
      </c>
      <c r="C1413" s="217" t="s">
        <v>1883</v>
      </c>
      <c r="D1413" s="45"/>
      <c r="E1413" s="121"/>
      <c r="F1413" s="51"/>
    </row>
    <row r="1414" spans="1:8" s="24" customFormat="1" ht="13.2" x14ac:dyDescent="0.25">
      <c r="A1414" s="202" t="s">
        <v>714</v>
      </c>
      <c r="B1414" s="216" t="s">
        <v>3383</v>
      </c>
      <c r="C1414" s="217" t="s">
        <v>1141</v>
      </c>
      <c r="D1414" s="53">
        <v>0</v>
      </c>
      <c r="E1414" s="121">
        <f>Saisie!D1414</f>
        <v>0</v>
      </c>
      <c r="F1414" s="51">
        <f>E1414*D1414</f>
        <v>0</v>
      </c>
    </row>
    <row r="1415" spans="1:8" s="24" customFormat="1" ht="13.2" x14ac:dyDescent="0.25">
      <c r="A1415" s="202" t="s">
        <v>715</v>
      </c>
      <c r="B1415" s="216" t="s">
        <v>3384</v>
      </c>
      <c r="C1415" s="217" t="s">
        <v>1141</v>
      </c>
      <c r="D1415" s="53">
        <v>0</v>
      </c>
      <c r="E1415" s="121">
        <f>Saisie!D1415</f>
        <v>0</v>
      </c>
      <c r="F1415" s="51">
        <f>E1415*D1415</f>
        <v>0</v>
      </c>
      <c r="H1415" s="63"/>
    </row>
    <row r="1416" spans="1:8" s="24" customFormat="1" ht="13.2" x14ac:dyDescent="0.25">
      <c r="A1416" s="202" t="s">
        <v>716</v>
      </c>
      <c r="B1416" s="216" t="s">
        <v>3385</v>
      </c>
      <c r="C1416" s="217" t="s">
        <v>1141</v>
      </c>
      <c r="D1416" s="53">
        <v>0</v>
      </c>
      <c r="E1416" s="121">
        <f>Saisie!D1416</f>
        <v>0</v>
      </c>
      <c r="F1416" s="51">
        <f>E1416*D1416</f>
        <v>0</v>
      </c>
    </row>
    <row r="1417" spans="1:8" s="24" customFormat="1" ht="13.2" x14ac:dyDescent="0.25">
      <c r="A1417" s="27" t="s">
        <v>3386</v>
      </c>
      <c r="B1417" s="3" t="s">
        <v>3387</v>
      </c>
      <c r="C1417" s="217" t="s">
        <v>1883</v>
      </c>
      <c r="D1417" s="45"/>
      <c r="E1417" s="121"/>
      <c r="F1417" s="51"/>
    </row>
    <row r="1418" spans="1:8" s="24" customFormat="1" ht="13.2" x14ac:dyDescent="0.25">
      <c r="A1418" s="202" t="s">
        <v>722</v>
      </c>
      <c r="B1418" s="216" t="s">
        <v>3388</v>
      </c>
      <c r="C1418" s="217" t="s">
        <v>1034</v>
      </c>
      <c r="D1418" s="53">
        <v>0</v>
      </c>
      <c r="E1418" s="121">
        <f>Saisie!D1418</f>
        <v>0</v>
      </c>
      <c r="F1418" s="51">
        <f>E1418*D1418</f>
        <v>0</v>
      </c>
    </row>
    <row r="1419" spans="1:8" s="24" customFormat="1" ht="13.2" x14ac:dyDescent="0.25">
      <c r="A1419" s="202" t="s">
        <v>723</v>
      </c>
      <c r="B1419" s="216" t="s">
        <v>3389</v>
      </c>
      <c r="C1419" s="217" t="s">
        <v>1034</v>
      </c>
      <c r="D1419" s="53">
        <v>0</v>
      </c>
      <c r="E1419" s="121">
        <f>Saisie!D1419</f>
        <v>0</v>
      </c>
      <c r="F1419" s="51">
        <f>E1419*D1419</f>
        <v>0</v>
      </c>
      <c r="G1419" s="63"/>
    </row>
    <row r="1420" spans="1:8" s="24" customFormat="1" ht="13.2" x14ac:dyDescent="0.25">
      <c r="A1420" s="202" t="s">
        <v>724</v>
      </c>
      <c r="B1420" s="216" t="s">
        <v>3390</v>
      </c>
      <c r="C1420" s="217" t="s">
        <v>1034</v>
      </c>
      <c r="D1420" s="53">
        <v>0</v>
      </c>
      <c r="E1420" s="121">
        <f>Saisie!D1420</f>
        <v>0</v>
      </c>
      <c r="F1420" s="51">
        <f>E1420*D1420</f>
        <v>0</v>
      </c>
    </row>
    <row r="1421" spans="1:8" s="24" customFormat="1" ht="13.2" x14ac:dyDescent="0.25">
      <c r="A1421" s="83" t="s">
        <v>3391</v>
      </c>
      <c r="B1421" s="4" t="s">
        <v>3392</v>
      </c>
      <c r="C1421" s="217"/>
      <c r="D1421" s="45"/>
      <c r="E1421" s="121"/>
      <c r="F1421" s="51"/>
    </row>
    <row r="1422" spans="1:8" ht="13.2" x14ac:dyDescent="0.25">
      <c r="A1422" s="202" t="s">
        <v>728</v>
      </c>
      <c r="B1422" s="223" t="s">
        <v>3393</v>
      </c>
      <c r="C1422" s="217" t="s">
        <v>1883</v>
      </c>
      <c r="D1422" s="45"/>
      <c r="E1422" s="121"/>
      <c r="F1422" s="51"/>
      <c r="H1422" s="67"/>
    </row>
    <row r="1423" spans="1:8" ht="26.4" x14ac:dyDescent="0.25">
      <c r="A1423" s="202" t="s">
        <v>3394</v>
      </c>
      <c r="B1423" s="216" t="s">
        <v>3395</v>
      </c>
      <c r="C1423" s="217"/>
      <c r="D1423" s="45"/>
      <c r="E1423" s="121"/>
      <c r="F1423" s="51"/>
    </row>
    <row r="1424" spans="1:8" ht="13.8" x14ac:dyDescent="0.25">
      <c r="A1424" s="202" t="s">
        <v>3396</v>
      </c>
      <c r="B1424" s="216" t="s">
        <v>3397</v>
      </c>
      <c r="C1424" s="217" t="s">
        <v>1011</v>
      </c>
      <c r="D1424" s="53">
        <v>3</v>
      </c>
      <c r="E1424" s="121">
        <f>Saisie!D1424</f>
        <v>0</v>
      </c>
      <c r="F1424" s="51">
        <f>E1424*D1424</f>
        <v>0</v>
      </c>
    </row>
    <row r="1425" spans="1:6" ht="13.2" x14ac:dyDescent="0.25">
      <c r="A1425" s="202" t="s">
        <v>3398</v>
      </c>
      <c r="B1425" s="216" t="s">
        <v>3399</v>
      </c>
      <c r="C1425" s="217" t="s">
        <v>1011</v>
      </c>
      <c r="D1425" s="53">
        <v>0</v>
      </c>
      <c r="E1425" s="121">
        <f>Saisie!D1425</f>
        <v>0</v>
      </c>
      <c r="F1425" s="51">
        <f>E1425*D1425</f>
        <v>0</v>
      </c>
    </row>
    <row r="1426" spans="1:6" ht="26.4" x14ac:dyDescent="0.25">
      <c r="A1426" s="202" t="s">
        <v>3400</v>
      </c>
      <c r="B1426" s="216" t="s">
        <v>3401</v>
      </c>
      <c r="C1426" s="217"/>
      <c r="D1426" s="45"/>
      <c r="E1426" s="121"/>
      <c r="F1426" s="51"/>
    </row>
    <row r="1427" spans="1:6" ht="13.8" x14ac:dyDescent="0.25">
      <c r="A1427" s="202" t="s">
        <v>3402</v>
      </c>
      <c r="B1427" s="216" t="s">
        <v>3397</v>
      </c>
      <c r="C1427" s="217" t="s">
        <v>1011</v>
      </c>
      <c r="D1427" s="53">
        <v>0</v>
      </c>
      <c r="E1427" s="121">
        <f>Saisie!D1427</f>
        <v>0</v>
      </c>
      <c r="F1427" s="51">
        <f>E1427*D1427</f>
        <v>0</v>
      </c>
    </row>
    <row r="1428" spans="1:6" ht="13.2" x14ac:dyDescent="0.25">
      <c r="A1428" s="202" t="s">
        <v>3403</v>
      </c>
      <c r="B1428" s="216" t="s">
        <v>3399</v>
      </c>
      <c r="C1428" s="217" t="s">
        <v>1011</v>
      </c>
      <c r="D1428" s="53">
        <v>0</v>
      </c>
      <c r="E1428" s="121">
        <f>Saisie!D1428</f>
        <v>0</v>
      </c>
      <c r="F1428" s="51">
        <f>E1428*D1428</f>
        <v>0</v>
      </c>
    </row>
    <row r="1429" spans="1:6" ht="26.4" x14ac:dyDescent="0.25">
      <c r="A1429" s="202" t="s">
        <v>3404</v>
      </c>
      <c r="B1429" s="216" t="s">
        <v>3405</v>
      </c>
      <c r="C1429" s="217" t="s">
        <v>1011</v>
      </c>
      <c r="D1429" s="53">
        <v>0</v>
      </c>
      <c r="E1429" s="121">
        <f>Saisie!D1429</f>
        <v>0</v>
      </c>
      <c r="F1429" s="51">
        <f>E1429*D1429</f>
        <v>0</v>
      </c>
    </row>
    <row r="1430" spans="1:6" ht="13.2" x14ac:dyDescent="0.25">
      <c r="A1430" s="202" t="s">
        <v>3406</v>
      </c>
      <c r="B1430" s="216" t="s">
        <v>3407</v>
      </c>
      <c r="C1430" s="217" t="s">
        <v>1011</v>
      </c>
      <c r="D1430" s="53">
        <v>0</v>
      </c>
      <c r="E1430" s="121">
        <f>Saisie!D1430</f>
        <v>0</v>
      </c>
      <c r="F1430" s="51">
        <f>E1430*D1430</f>
        <v>0</v>
      </c>
    </row>
    <row r="1431" spans="1:6" ht="13.2" x14ac:dyDescent="0.25">
      <c r="A1431" s="202" t="s">
        <v>729</v>
      </c>
      <c r="B1431" s="223" t="s">
        <v>3408</v>
      </c>
      <c r="C1431" s="217"/>
      <c r="D1431" s="45"/>
      <c r="E1431" s="121"/>
      <c r="F1431" s="51"/>
    </row>
    <row r="1432" spans="1:6" ht="26.4" x14ac:dyDescent="0.25">
      <c r="A1432" s="202" t="s">
        <v>3409</v>
      </c>
      <c r="B1432" s="216" t="s">
        <v>3410</v>
      </c>
      <c r="C1432" s="217" t="s">
        <v>1034</v>
      </c>
      <c r="D1432" s="53">
        <v>16.78</v>
      </c>
      <c r="E1432" s="121">
        <f>Saisie!D1432</f>
        <v>0</v>
      </c>
      <c r="F1432" s="51">
        <f>E1432*D1432</f>
        <v>0</v>
      </c>
    </row>
    <row r="1433" spans="1:6" ht="26.4" x14ac:dyDescent="0.25">
      <c r="A1433" s="202" t="s">
        <v>3411</v>
      </c>
      <c r="B1433" s="216" t="s">
        <v>3412</v>
      </c>
      <c r="C1433" s="217" t="s">
        <v>1034</v>
      </c>
      <c r="D1433" s="53">
        <v>0</v>
      </c>
      <c r="E1433" s="121">
        <f>Saisie!D1433</f>
        <v>0</v>
      </c>
      <c r="F1433" s="51">
        <f t="shared" ref="F1433:F1443" si="97">E1433*D1433</f>
        <v>0</v>
      </c>
    </row>
    <row r="1434" spans="1:6" ht="26.4" x14ac:dyDescent="0.25">
      <c r="A1434" s="202" t="s">
        <v>3413</v>
      </c>
      <c r="B1434" s="216" t="s">
        <v>3414</v>
      </c>
      <c r="C1434" s="217" t="s">
        <v>1034</v>
      </c>
      <c r="D1434" s="53">
        <v>0</v>
      </c>
      <c r="E1434" s="121">
        <f>Saisie!D1434</f>
        <v>0</v>
      </c>
      <c r="F1434" s="51">
        <f t="shared" si="97"/>
        <v>0</v>
      </c>
    </row>
    <row r="1435" spans="1:6" ht="13.2" x14ac:dyDescent="0.25">
      <c r="A1435" s="202" t="s">
        <v>3415</v>
      </c>
      <c r="B1435" s="216" t="s">
        <v>3416</v>
      </c>
      <c r="C1435" s="217" t="s">
        <v>1034</v>
      </c>
      <c r="D1435" s="53">
        <v>0</v>
      </c>
      <c r="E1435" s="121">
        <f>Saisie!D1435</f>
        <v>0</v>
      </c>
      <c r="F1435" s="51">
        <f t="shared" si="97"/>
        <v>0</v>
      </c>
    </row>
    <row r="1436" spans="1:6" ht="26.4" x14ac:dyDescent="0.25">
      <c r="A1436" s="202" t="s">
        <v>3417</v>
      </c>
      <c r="B1436" s="216" t="s">
        <v>3418</v>
      </c>
      <c r="C1436" s="217" t="s">
        <v>1011</v>
      </c>
      <c r="D1436" s="53">
        <v>0</v>
      </c>
      <c r="E1436" s="121">
        <f>Saisie!D1436</f>
        <v>0</v>
      </c>
      <c r="F1436" s="51">
        <f t="shared" si="97"/>
        <v>0</v>
      </c>
    </row>
    <row r="1437" spans="1:6" ht="13.2" x14ac:dyDescent="0.25">
      <c r="A1437" s="202" t="s">
        <v>3419</v>
      </c>
      <c r="B1437" s="216" t="s">
        <v>3420</v>
      </c>
      <c r="C1437" s="217" t="s">
        <v>1011</v>
      </c>
      <c r="D1437" s="53">
        <v>0</v>
      </c>
      <c r="E1437" s="121">
        <f>Saisie!D1437</f>
        <v>0</v>
      </c>
      <c r="F1437" s="51">
        <f t="shared" si="97"/>
        <v>0</v>
      </c>
    </row>
    <row r="1438" spans="1:6" ht="13.2" x14ac:dyDescent="0.25">
      <c r="A1438" s="27" t="s">
        <v>3421</v>
      </c>
      <c r="B1438" s="3" t="s">
        <v>3422</v>
      </c>
      <c r="C1438" s="217"/>
      <c r="D1438" s="45"/>
      <c r="E1438" s="121"/>
      <c r="F1438" s="51"/>
    </row>
    <row r="1439" spans="1:6" ht="13.2" x14ac:dyDescent="0.25">
      <c r="A1439" s="202" t="s">
        <v>737</v>
      </c>
      <c r="B1439" s="216" t="s">
        <v>3423</v>
      </c>
      <c r="C1439" s="217"/>
      <c r="D1439" s="45"/>
      <c r="E1439" s="121"/>
      <c r="F1439" s="51"/>
    </row>
    <row r="1440" spans="1:6" ht="13.2" x14ac:dyDescent="0.25">
      <c r="A1440" s="202" t="s">
        <v>3424</v>
      </c>
      <c r="B1440" s="216" t="s">
        <v>3425</v>
      </c>
      <c r="C1440" s="217" t="s">
        <v>1011</v>
      </c>
      <c r="D1440" s="53">
        <v>0</v>
      </c>
      <c r="E1440" s="121">
        <f>Saisie!D1440</f>
        <v>0</v>
      </c>
      <c r="F1440" s="51">
        <f t="shared" si="97"/>
        <v>0</v>
      </c>
    </row>
    <row r="1441" spans="1:6" ht="13.2" x14ac:dyDescent="0.25">
      <c r="A1441" s="202" t="s">
        <v>3426</v>
      </c>
      <c r="B1441" s="216" t="s">
        <v>3427</v>
      </c>
      <c r="C1441" s="217" t="s">
        <v>1011</v>
      </c>
      <c r="D1441" s="53">
        <v>3</v>
      </c>
      <c r="E1441" s="121">
        <f>Saisie!D1441</f>
        <v>0</v>
      </c>
      <c r="F1441" s="51">
        <f t="shared" si="97"/>
        <v>0</v>
      </c>
    </row>
    <row r="1442" spans="1:6" ht="13.2" x14ac:dyDescent="0.25">
      <c r="A1442" s="202" t="s">
        <v>3428</v>
      </c>
      <c r="B1442" s="216" t="s">
        <v>3429</v>
      </c>
      <c r="C1442" s="217" t="s">
        <v>1011</v>
      </c>
      <c r="D1442" s="53">
        <v>0</v>
      </c>
      <c r="E1442" s="121">
        <f>Saisie!D1442</f>
        <v>0</v>
      </c>
      <c r="F1442" s="51">
        <f t="shared" si="97"/>
        <v>0</v>
      </c>
    </row>
    <row r="1443" spans="1:6" ht="13.2" x14ac:dyDescent="0.25">
      <c r="A1443" s="202" t="s">
        <v>3430</v>
      </c>
      <c r="B1443" s="216" t="s">
        <v>3431</v>
      </c>
      <c r="C1443" s="217" t="s">
        <v>1011</v>
      </c>
      <c r="D1443" s="53">
        <v>0</v>
      </c>
      <c r="E1443" s="121">
        <f>Saisie!D1443</f>
        <v>0</v>
      </c>
      <c r="F1443" s="51">
        <f t="shared" si="97"/>
        <v>0</v>
      </c>
    </row>
    <row r="1444" spans="1:6" ht="13.2" x14ac:dyDescent="0.25">
      <c r="A1444" s="202" t="s">
        <v>738</v>
      </c>
      <c r="B1444" s="216" t="s">
        <v>3432</v>
      </c>
      <c r="C1444" s="217"/>
      <c r="D1444" s="45"/>
      <c r="E1444" s="121"/>
      <c r="F1444" s="51"/>
    </row>
    <row r="1445" spans="1:6" ht="13.2" x14ac:dyDescent="0.25">
      <c r="A1445" s="202" t="s">
        <v>3433</v>
      </c>
      <c r="B1445" s="216" t="s">
        <v>3434</v>
      </c>
      <c r="C1445" s="217" t="s">
        <v>1034</v>
      </c>
      <c r="D1445" s="53">
        <v>0</v>
      </c>
      <c r="E1445" s="121">
        <f>Saisie!D1445</f>
        <v>0</v>
      </c>
      <c r="F1445" s="51">
        <f t="shared" ref="F1445:F1453" si="98">E1445*D1445</f>
        <v>0</v>
      </c>
    </row>
    <row r="1446" spans="1:6" ht="13.2" x14ac:dyDescent="0.25">
      <c r="A1446" s="202" t="s">
        <v>3435</v>
      </c>
      <c r="B1446" s="216" t="s">
        <v>3436</v>
      </c>
      <c r="C1446" s="217" t="s">
        <v>1034</v>
      </c>
      <c r="D1446" s="53">
        <v>5.5</v>
      </c>
      <c r="E1446" s="121">
        <f>Saisie!D1446</f>
        <v>0</v>
      </c>
      <c r="F1446" s="51">
        <f t="shared" si="98"/>
        <v>0</v>
      </c>
    </row>
    <row r="1447" spans="1:6" ht="13.2" x14ac:dyDescent="0.25">
      <c r="A1447" s="202" t="s">
        <v>3437</v>
      </c>
      <c r="B1447" s="216" t="s">
        <v>3438</v>
      </c>
      <c r="C1447" s="217" t="s">
        <v>1034</v>
      </c>
      <c r="D1447" s="53">
        <v>0</v>
      </c>
      <c r="E1447" s="121">
        <f>Saisie!D1447</f>
        <v>0</v>
      </c>
      <c r="F1447" s="51">
        <f t="shared" si="98"/>
        <v>0</v>
      </c>
    </row>
    <row r="1448" spans="1:6" ht="13.2" x14ac:dyDescent="0.25">
      <c r="A1448" s="202" t="s">
        <v>3439</v>
      </c>
      <c r="B1448" s="216" t="s">
        <v>3440</v>
      </c>
      <c r="C1448" s="217" t="s">
        <v>1034</v>
      </c>
      <c r="D1448" s="53">
        <v>0</v>
      </c>
      <c r="E1448" s="121">
        <f>Saisie!D1448</f>
        <v>0</v>
      </c>
      <c r="F1448" s="51">
        <f t="shared" si="98"/>
        <v>0</v>
      </c>
    </row>
    <row r="1449" spans="1:6" ht="13.2" x14ac:dyDescent="0.25">
      <c r="A1449" s="202" t="s">
        <v>739</v>
      </c>
      <c r="B1449" s="216" t="s">
        <v>3441</v>
      </c>
      <c r="C1449" s="217"/>
      <c r="D1449" s="45"/>
      <c r="E1449" s="121"/>
      <c r="F1449" s="51"/>
    </row>
    <row r="1450" spans="1:6" ht="13.2" x14ac:dyDescent="0.25">
      <c r="A1450" s="202" t="s">
        <v>3442</v>
      </c>
      <c r="B1450" s="216" t="s">
        <v>3443</v>
      </c>
      <c r="C1450" s="217" t="s">
        <v>1011</v>
      </c>
      <c r="D1450" s="53">
        <v>0</v>
      </c>
      <c r="E1450" s="121">
        <f>Saisie!D1450</f>
        <v>0</v>
      </c>
      <c r="F1450" s="51">
        <f t="shared" si="98"/>
        <v>0</v>
      </c>
    </row>
    <row r="1451" spans="1:6" ht="13.2" x14ac:dyDescent="0.25">
      <c r="A1451" s="202" t="s">
        <v>3444</v>
      </c>
      <c r="B1451" s="216" t="s">
        <v>3445</v>
      </c>
      <c r="C1451" s="217" t="s">
        <v>1011</v>
      </c>
      <c r="D1451" s="53">
        <v>0</v>
      </c>
      <c r="E1451" s="121">
        <f>Saisie!D1451</f>
        <v>0</v>
      </c>
      <c r="F1451" s="51">
        <f t="shared" si="98"/>
        <v>0</v>
      </c>
    </row>
    <row r="1452" spans="1:6" ht="13.2" x14ac:dyDescent="0.25">
      <c r="A1452" s="202" t="s">
        <v>3446</v>
      </c>
      <c r="B1452" s="216" t="s">
        <v>3447</v>
      </c>
      <c r="C1452" s="217" t="s">
        <v>1011</v>
      </c>
      <c r="D1452" s="53">
        <v>4</v>
      </c>
      <c r="E1452" s="121">
        <f>Saisie!D1452</f>
        <v>0</v>
      </c>
      <c r="F1452" s="51">
        <f t="shared" si="98"/>
        <v>0</v>
      </c>
    </row>
    <row r="1453" spans="1:6" ht="13.2" x14ac:dyDescent="0.25">
      <c r="A1453" s="202" t="s">
        <v>740</v>
      </c>
      <c r="B1453" s="216" t="s">
        <v>3448</v>
      </c>
      <c r="C1453" s="217" t="s">
        <v>1011</v>
      </c>
      <c r="D1453" s="53">
        <v>0</v>
      </c>
      <c r="E1453" s="121">
        <f>Saisie!D1453</f>
        <v>0</v>
      </c>
      <c r="F1453" s="51">
        <f t="shared" si="98"/>
        <v>0</v>
      </c>
    </row>
    <row r="1454" spans="1:6" ht="13.2" x14ac:dyDescent="0.25">
      <c r="A1454" s="27" t="s">
        <v>3449</v>
      </c>
      <c r="B1454" s="3" t="s">
        <v>3450</v>
      </c>
      <c r="C1454" s="217" t="s">
        <v>1883</v>
      </c>
      <c r="D1454" s="45"/>
      <c r="E1454" s="121"/>
      <c r="F1454" s="51"/>
    </row>
    <row r="1455" spans="1:6" ht="13.2" x14ac:dyDescent="0.25">
      <c r="A1455" s="202" t="s">
        <v>747</v>
      </c>
      <c r="B1455" s="216" t="s">
        <v>3451</v>
      </c>
      <c r="C1455" s="217" t="s">
        <v>1011</v>
      </c>
      <c r="D1455" s="53">
        <v>0</v>
      </c>
      <c r="E1455" s="121">
        <f>Saisie!D1455</f>
        <v>0</v>
      </c>
      <c r="F1455" s="51">
        <f t="shared" ref="F1455:F1471" si="99">E1455*D1455</f>
        <v>0</v>
      </c>
    </row>
    <row r="1456" spans="1:6" ht="13.2" x14ac:dyDescent="0.25">
      <c r="A1456" s="202" t="s">
        <v>748</v>
      </c>
      <c r="B1456" s="216" t="s">
        <v>3452</v>
      </c>
      <c r="C1456" s="217" t="s">
        <v>1011</v>
      </c>
      <c r="D1456" s="53">
        <v>12</v>
      </c>
      <c r="E1456" s="121">
        <f>Saisie!D1456</f>
        <v>0</v>
      </c>
      <c r="F1456" s="51">
        <f t="shared" si="99"/>
        <v>0</v>
      </c>
    </row>
    <row r="1457" spans="1:6" ht="13.2" x14ac:dyDescent="0.25">
      <c r="A1457" s="202" t="s">
        <v>749</v>
      </c>
      <c r="B1457" s="216" t="s">
        <v>3453</v>
      </c>
      <c r="C1457" s="217" t="s">
        <v>1011</v>
      </c>
      <c r="D1457" s="53">
        <v>0</v>
      </c>
      <c r="E1457" s="121">
        <f>Saisie!D1457</f>
        <v>0</v>
      </c>
      <c r="F1457" s="51">
        <f t="shared" si="99"/>
        <v>0</v>
      </c>
    </row>
    <row r="1458" spans="1:6" ht="13.2" x14ac:dyDescent="0.25">
      <c r="A1458" s="202" t="s">
        <v>750</v>
      </c>
      <c r="B1458" s="216" t="s">
        <v>3454</v>
      </c>
      <c r="C1458" s="217" t="s">
        <v>1034</v>
      </c>
      <c r="D1458" s="53">
        <v>0</v>
      </c>
      <c r="E1458" s="121">
        <f>Saisie!D1458</f>
        <v>0</v>
      </c>
      <c r="F1458" s="51">
        <f t="shared" si="99"/>
        <v>0</v>
      </c>
    </row>
    <row r="1459" spans="1:6" ht="13.2" x14ac:dyDescent="0.25">
      <c r="A1459" s="202" t="s">
        <v>3455</v>
      </c>
      <c r="B1459" s="216" t="s">
        <v>3456</v>
      </c>
      <c r="C1459" s="217" t="s">
        <v>1034</v>
      </c>
      <c r="D1459" s="53">
        <v>18</v>
      </c>
      <c r="E1459" s="121">
        <f>Saisie!D1459</f>
        <v>0</v>
      </c>
      <c r="F1459" s="51">
        <f t="shared" si="99"/>
        <v>0</v>
      </c>
    </row>
    <row r="1460" spans="1:6" ht="13.2" x14ac:dyDescent="0.25">
      <c r="A1460" s="202" t="s">
        <v>3457</v>
      </c>
      <c r="B1460" s="216" t="s">
        <v>3458</v>
      </c>
      <c r="C1460" s="217" t="s">
        <v>1034</v>
      </c>
      <c r="D1460" s="53">
        <v>0</v>
      </c>
      <c r="E1460" s="121">
        <f>Saisie!D1460</f>
        <v>0</v>
      </c>
      <c r="F1460" s="51">
        <f t="shared" si="99"/>
        <v>0</v>
      </c>
    </row>
    <row r="1461" spans="1:6" ht="13.2" x14ac:dyDescent="0.25">
      <c r="A1461" s="27" t="s">
        <v>3459</v>
      </c>
      <c r="B1461" s="3" t="s">
        <v>3460</v>
      </c>
      <c r="C1461" s="217" t="s">
        <v>1883</v>
      </c>
      <c r="D1461" s="45"/>
      <c r="E1461" s="121"/>
      <c r="F1461" s="51"/>
    </row>
    <row r="1462" spans="1:6" ht="13.2" x14ac:dyDescent="0.25">
      <c r="A1462" s="202" t="s">
        <v>3461</v>
      </c>
      <c r="B1462" s="216" t="s">
        <v>3462</v>
      </c>
      <c r="C1462" s="217"/>
      <c r="D1462" s="45"/>
      <c r="E1462" s="121"/>
      <c r="F1462" s="51"/>
    </row>
    <row r="1463" spans="1:6" ht="13.2" x14ac:dyDescent="0.25">
      <c r="A1463" s="202" t="s">
        <v>751</v>
      </c>
      <c r="B1463" s="216" t="s">
        <v>3463</v>
      </c>
      <c r="C1463" s="217" t="s">
        <v>1034</v>
      </c>
      <c r="D1463" s="53">
        <v>0</v>
      </c>
      <c r="E1463" s="121">
        <f>Saisie!D1463</f>
        <v>0</v>
      </c>
      <c r="F1463" s="51">
        <f t="shared" si="99"/>
        <v>0</v>
      </c>
    </row>
    <row r="1464" spans="1:6" ht="13.2" x14ac:dyDescent="0.25">
      <c r="A1464" s="202" t="s">
        <v>752</v>
      </c>
      <c r="B1464" s="216" t="s">
        <v>3464</v>
      </c>
      <c r="C1464" s="217" t="s">
        <v>1034</v>
      </c>
      <c r="D1464" s="53">
        <v>0</v>
      </c>
      <c r="E1464" s="121">
        <f>Saisie!D1464</f>
        <v>0</v>
      </c>
      <c r="F1464" s="51">
        <f t="shared" si="99"/>
        <v>0</v>
      </c>
    </row>
    <row r="1465" spans="1:6" ht="13.2" x14ac:dyDescent="0.25">
      <c r="A1465" s="202" t="s">
        <v>753</v>
      </c>
      <c r="B1465" s="216" t="s">
        <v>3465</v>
      </c>
      <c r="C1465" s="217" t="s">
        <v>1034</v>
      </c>
      <c r="D1465" s="53">
        <v>0</v>
      </c>
      <c r="E1465" s="121">
        <f>Saisie!D1465</f>
        <v>0</v>
      </c>
      <c r="F1465" s="51">
        <f t="shared" si="99"/>
        <v>0</v>
      </c>
    </row>
    <row r="1466" spans="1:6" ht="13.2" x14ac:dyDescent="0.25">
      <c r="A1466" s="202" t="s">
        <v>754</v>
      </c>
      <c r="B1466" s="216" t="s">
        <v>3466</v>
      </c>
      <c r="C1466" s="217" t="s">
        <v>1034</v>
      </c>
      <c r="D1466" s="53">
        <v>0</v>
      </c>
      <c r="E1466" s="121">
        <f>Saisie!D1466</f>
        <v>0</v>
      </c>
      <c r="F1466" s="51">
        <f t="shared" si="99"/>
        <v>0</v>
      </c>
    </row>
    <row r="1467" spans="1:6" ht="13.2" x14ac:dyDescent="0.25">
      <c r="A1467" s="202" t="s">
        <v>755</v>
      </c>
      <c r="B1467" s="216" t="s">
        <v>3467</v>
      </c>
      <c r="C1467" s="217" t="s">
        <v>1034</v>
      </c>
      <c r="D1467" s="53">
        <v>0</v>
      </c>
      <c r="E1467" s="121">
        <f>Saisie!D1467</f>
        <v>0</v>
      </c>
      <c r="F1467" s="51">
        <f t="shared" si="99"/>
        <v>0</v>
      </c>
    </row>
    <row r="1468" spans="1:6" ht="13.2" x14ac:dyDescent="0.25">
      <c r="A1468" s="202" t="s">
        <v>3468</v>
      </c>
      <c r="B1468" s="216" t="s">
        <v>3469</v>
      </c>
      <c r="C1468" s="217" t="s">
        <v>1034</v>
      </c>
      <c r="D1468" s="53">
        <v>0</v>
      </c>
      <c r="E1468" s="121">
        <f>Saisie!D1468</f>
        <v>0</v>
      </c>
      <c r="F1468" s="51">
        <f t="shared" si="99"/>
        <v>0</v>
      </c>
    </row>
    <row r="1469" spans="1:6" ht="13.2" x14ac:dyDescent="0.25">
      <c r="A1469" s="202" t="s">
        <v>3470</v>
      </c>
      <c r="B1469" s="216" t="s">
        <v>3471</v>
      </c>
      <c r="C1469" s="217" t="s">
        <v>1034</v>
      </c>
      <c r="D1469" s="53">
        <v>0</v>
      </c>
      <c r="E1469" s="121">
        <f>Saisie!D1469</f>
        <v>0</v>
      </c>
      <c r="F1469" s="51">
        <f t="shared" si="99"/>
        <v>0</v>
      </c>
    </row>
    <row r="1470" spans="1:6" ht="13.2" x14ac:dyDescent="0.25">
      <c r="A1470" s="202" t="s">
        <v>3472</v>
      </c>
      <c r="B1470" s="216" t="s">
        <v>3473</v>
      </c>
      <c r="C1470" s="217" t="s">
        <v>1034</v>
      </c>
      <c r="D1470" s="53">
        <v>0</v>
      </c>
      <c r="E1470" s="121">
        <f>Saisie!D1470</f>
        <v>0</v>
      </c>
      <c r="F1470" s="51">
        <f t="shared" si="99"/>
        <v>0</v>
      </c>
    </row>
    <row r="1471" spans="1:6" ht="13.2" x14ac:dyDescent="0.25">
      <c r="A1471" s="202" t="s">
        <v>3474</v>
      </c>
      <c r="B1471" s="216" t="s">
        <v>3475</v>
      </c>
      <c r="C1471" s="217" t="s">
        <v>1034</v>
      </c>
      <c r="D1471" s="53">
        <v>0</v>
      </c>
      <c r="E1471" s="121">
        <f>Saisie!D1471</f>
        <v>0</v>
      </c>
      <c r="F1471" s="51">
        <f t="shared" si="99"/>
        <v>0</v>
      </c>
    </row>
    <row r="1472" spans="1:6" ht="13.2" x14ac:dyDescent="0.25">
      <c r="A1472" s="83" t="s">
        <v>3476</v>
      </c>
      <c r="B1472" s="4" t="s">
        <v>3477</v>
      </c>
      <c r="C1472" s="217" t="s">
        <v>1883</v>
      </c>
      <c r="D1472" s="45"/>
      <c r="E1472" s="121"/>
      <c r="F1472" s="51"/>
    </row>
    <row r="1473" spans="1:6" ht="13.2" x14ac:dyDescent="0.25">
      <c r="A1473" s="202" t="s">
        <v>833</v>
      </c>
      <c r="B1473" s="216" t="s">
        <v>3478</v>
      </c>
      <c r="C1473" s="217" t="s">
        <v>1232</v>
      </c>
      <c r="D1473" s="53">
        <v>0</v>
      </c>
      <c r="E1473" s="121">
        <f>Saisie!D1473</f>
        <v>0</v>
      </c>
      <c r="F1473" s="51">
        <f>E1473*D1473</f>
        <v>0</v>
      </c>
    </row>
    <row r="1474" spans="1:6" ht="13.2" x14ac:dyDescent="0.25">
      <c r="A1474" s="202" t="s">
        <v>834</v>
      </c>
      <c r="B1474" s="216" t="s">
        <v>3479</v>
      </c>
      <c r="C1474" s="217" t="s">
        <v>1232</v>
      </c>
      <c r="D1474" s="53">
        <v>0</v>
      </c>
      <c r="E1474" s="121">
        <f>Saisie!D1474</f>
        <v>0</v>
      </c>
      <c r="F1474" s="51">
        <f>E1474*D1474</f>
        <v>0</v>
      </c>
    </row>
    <row r="1475" spans="1:6" ht="26.4" x14ac:dyDescent="0.25">
      <c r="A1475" s="83" t="s">
        <v>3480</v>
      </c>
      <c r="B1475" s="4" t="s">
        <v>3481</v>
      </c>
      <c r="C1475" s="217"/>
      <c r="D1475" s="88"/>
      <c r="E1475" s="121"/>
      <c r="F1475" s="62"/>
    </row>
    <row r="1476" spans="1:6" ht="13.2" x14ac:dyDescent="0.25">
      <c r="A1476" s="202" t="s">
        <v>838</v>
      </c>
      <c r="B1476" s="216" t="s">
        <v>3482</v>
      </c>
      <c r="C1476" s="217" t="s">
        <v>1984</v>
      </c>
      <c r="D1476" s="53">
        <v>0</v>
      </c>
      <c r="E1476" s="121">
        <f>Saisie!D1476</f>
        <v>0</v>
      </c>
      <c r="F1476" s="51">
        <f t="shared" ref="F1476:F1502" si="100">E1476*D1476</f>
        <v>0</v>
      </c>
    </row>
    <row r="1477" spans="1:6" ht="13.2" x14ac:dyDescent="0.25">
      <c r="A1477" s="202" t="s">
        <v>839</v>
      </c>
      <c r="B1477" s="216" t="s">
        <v>3483</v>
      </c>
      <c r="C1477" s="217" t="s">
        <v>1984</v>
      </c>
      <c r="D1477" s="53">
        <v>0</v>
      </c>
      <c r="E1477" s="121">
        <f>Saisie!D1477</f>
        <v>0</v>
      </c>
      <c r="F1477" s="51">
        <f t="shared" si="100"/>
        <v>0</v>
      </c>
    </row>
    <row r="1478" spans="1:6" ht="13.2" x14ac:dyDescent="0.25">
      <c r="A1478" s="202" t="s">
        <v>840</v>
      </c>
      <c r="B1478" s="216" t="s">
        <v>3484</v>
      </c>
      <c r="C1478" s="217" t="s">
        <v>1984</v>
      </c>
      <c r="D1478" s="53">
        <v>0</v>
      </c>
      <c r="E1478" s="121">
        <f>Saisie!D1478</f>
        <v>0</v>
      </c>
      <c r="F1478" s="51">
        <f t="shared" si="100"/>
        <v>0</v>
      </c>
    </row>
    <row r="1479" spans="1:6" ht="13.2" x14ac:dyDescent="0.25">
      <c r="A1479" s="202" t="s">
        <v>841</v>
      </c>
      <c r="B1479" s="216" t="s">
        <v>3485</v>
      </c>
      <c r="C1479" s="217" t="s">
        <v>1984</v>
      </c>
      <c r="D1479" s="53">
        <v>0</v>
      </c>
      <c r="E1479" s="121">
        <f>Saisie!D1479</f>
        <v>0</v>
      </c>
      <c r="F1479" s="51">
        <f t="shared" si="100"/>
        <v>0</v>
      </c>
    </row>
    <row r="1480" spans="1:6" ht="13.2" x14ac:dyDescent="0.25">
      <c r="A1480" s="202" t="s">
        <v>3486</v>
      </c>
      <c r="B1480" s="216" t="s">
        <v>3487</v>
      </c>
      <c r="C1480" s="217" t="s">
        <v>1984</v>
      </c>
      <c r="D1480" s="53">
        <v>0</v>
      </c>
      <c r="E1480" s="121">
        <f>Saisie!D1480</f>
        <v>0</v>
      </c>
      <c r="F1480" s="51">
        <f t="shared" si="100"/>
        <v>0</v>
      </c>
    </row>
    <row r="1481" spans="1:6" ht="13.2" x14ac:dyDescent="0.25">
      <c r="A1481" s="202" t="s">
        <v>3488</v>
      </c>
      <c r="B1481" s="216" t="s">
        <v>3489</v>
      </c>
      <c r="C1481" s="217" t="s">
        <v>1984</v>
      </c>
      <c r="D1481" s="53">
        <v>0</v>
      </c>
      <c r="E1481" s="121">
        <f>Saisie!D1481</f>
        <v>0</v>
      </c>
      <c r="F1481" s="51">
        <f t="shared" si="100"/>
        <v>0</v>
      </c>
    </row>
    <row r="1482" spans="1:6" ht="13.2" x14ac:dyDescent="0.25">
      <c r="A1482" s="202" t="s">
        <v>3490</v>
      </c>
      <c r="B1482" s="216" t="s">
        <v>3491</v>
      </c>
      <c r="C1482" s="217" t="s">
        <v>1984</v>
      </c>
      <c r="D1482" s="53">
        <v>0</v>
      </c>
      <c r="E1482" s="121">
        <f>Saisie!D1482</f>
        <v>0</v>
      </c>
      <c r="F1482" s="51">
        <f t="shared" si="100"/>
        <v>0</v>
      </c>
    </row>
    <row r="1483" spans="1:6" ht="13.2" x14ac:dyDescent="0.25">
      <c r="A1483" s="202" t="s">
        <v>3492</v>
      </c>
      <c r="B1483" s="216" t="s">
        <v>3493</v>
      </c>
      <c r="C1483" s="217" t="s">
        <v>1984</v>
      </c>
      <c r="D1483" s="53">
        <v>0</v>
      </c>
      <c r="E1483" s="121">
        <f>Saisie!D1483</f>
        <v>0</v>
      </c>
      <c r="F1483" s="51">
        <f t="shared" si="100"/>
        <v>0</v>
      </c>
    </row>
    <row r="1484" spans="1:6" ht="13.2" x14ac:dyDescent="0.25">
      <c r="A1484" s="202" t="s">
        <v>3494</v>
      </c>
      <c r="B1484" s="216" t="s">
        <v>3495</v>
      </c>
      <c r="C1484" s="217" t="s">
        <v>1984</v>
      </c>
      <c r="D1484" s="53">
        <v>0</v>
      </c>
      <c r="E1484" s="121">
        <f>Saisie!D1484</f>
        <v>0</v>
      </c>
      <c r="F1484" s="51">
        <f t="shared" si="100"/>
        <v>0</v>
      </c>
    </row>
    <row r="1485" spans="1:6" ht="13.2" x14ac:dyDescent="0.25">
      <c r="A1485" s="202" t="s">
        <v>3496</v>
      </c>
      <c r="B1485" s="216" t="s">
        <v>3497</v>
      </c>
      <c r="C1485" s="217" t="s">
        <v>1984</v>
      </c>
      <c r="D1485" s="53">
        <v>0</v>
      </c>
      <c r="E1485" s="121">
        <f>Saisie!D1485</f>
        <v>0</v>
      </c>
      <c r="F1485" s="51">
        <f t="shared" si="100"/>
        <v>0</v>
      </c>
    </row>
    <row r="1486" spans="1:6" ht="13.2" x14ac:dyDescent="0.25">
      <c r="A1486" s="202" t="s">
        <v>3498</v>
      </c>
      <c r="B1486" s="216" t="s">
        <v>3499</v>
      </c>
      <c r="C1486" s="217" t="s">
        <v>1984</v>
      </c>
      <c r="D1486" s="53">
        <v>0</v>
      </c>
      <c r="E1486" s="121">
        <f>Saisie!D1486</f>
        <v>0</v>
      </c>
      <c r="F1486" s="51">
        <f t="shared" si="100"/>
        <v>0</v>
      </c>
    </row>
    <row r="1487" spans="1:6" ht="13.2" x14ac:dyDescent="0.25">
      <c r="A1487" s="202" t="s">
        <v>3500</v>
      </c>
      <c r="B1487" s="216" t="s">
        <v>3501</v>
      </c>
      <c r="C1487" s="217" t="s">
        <v>1984</v>
      </c>
      <c r="D1487" s="53">
        <v>0</v>
      </c>
      <c r="E1487" s="121">
        <f>Saisie!D1487</f>
        <v>0</v>
      </c>
      <c r="F1487" s="51">
        <f t="shared" si="100"/>
        <v>0</v>
      </c>
    </row>
    <row r="1488" spans="1:6" ht="13.2" x14ac:dyDescent="0.25">
      <c r="A1488" s="202" t="s">
        <v>3502</v>
      </c>
      <c r="B1488" s="216" t="s">
        <v>3503</v>
      </c>
      <c r="C1488" s="217" t="s">
        <v>1984</v>
      </c>
      <c r="D1488" s="53">
        <v>0</v>
      </c>
      <c r="E1488" s="121">
        <f>Saisie!D1488</f>
        <v>0</v>
      </c>
      <c r="F1488" s="51">
        <f t="shared" si="100"/>
        <v>0</v>
      </c>
    </row>
    <row r="1489" spans="1:6" ht="13.2" x14ac:dyDescent="0.25">
      <c r="A1489" s="202" t="s">
        <v>3504</v>
      </c>
      <c r="B1489" s="216" t="s">
        <v>3505</v>
      </c>
      <c r="C1489" s="217" t="s">
        <v>1984</v>
      </c>
      <c r="D1489" s="53">
        <v>0</v>
      </c>
      <c r="E1489" s="121">
        <f>Saisie!D1489</f>
        <v>0</v>
      </c>
      <c r="F1489" s="51">
        <f t="shared" si="100"/>
        <v>0</v>
      </c>
    </row>
    <row r="1490" spans="1:6" ht="13.2" x14ac:dyDescent="0.25">
      <c r="A1490" s="202" t="s">
        <v>3506</v>
      </c>
      <c r="B1490" s="216" t="s">
        <v>3507</v>
      </c>
      <c r="C1490" s="217" t="s">
        <v>1984</v>
      </c>
      <c r="D1490" s="53">
        <v>0</v>
      </c>
      <c r="E1490" s="121">
        <f>Saisie!D1490</f>
        <v>0</v>
      </c>
      <c r="F1490" s="51">
        <f t="shared" si="100"/>
        <v>0</v>
      </c>
    </row>
    <row r="1491" spans="1:6" ht="13.2" x14ac:dyDescent="0.25">
      <c r="A1491" s="202" t="s">
        <v>3508</v>
      </c>
      <c r="B1491" s="216" t="s">
        <v>3509</v>
      </c>
      <c r="C1491" s="217" t="s">
        <v>1984</v>
      </c>
      <c r="D1491" s="53">
        <v>0</v>
      </c>
      <c r="E1491" s="121">
        <f>Saisie!D1491</f>
        <v>0</v>
      </c>
      <c r="F1491" s="51">
        <f t="shared" si="100"/>
        <v>0</v>
      </c>
    </row>
    <row r="1492" spans="1:6" ht="13.2" x14ac:dyDescent="0.25">
      <c r="A1492" s="202" t="s">
        <v>3510</v>
      </c>
      <c r="B1492" s="216" t="s">
        <v>3511</v>
      </c>
      <c r="C1492" s="217" t="s">
        <v>1984</v>
      </c>
      <c r="D1492" s="53">
        <v>0</v>
      </c>
      <c r="E1492" s="121">
        <f>Saisie!D1492</f>
        <v>0</v>
      </c>
      <c r="F1492" s="51">
        <f t="shared" si="100"/>
        <v>0</v>
      </c>
    </row>
    <row r="1493" spans="1:6" ht="13.2" x14ac:dyDescent="0.25">
      <c r="A1493" s="202" t="s">
        <v>3512</v>
      </c>
      <c r="B1493" s="216" t="s">
        <v>3513</v>
      </c>
      <c r="C1493" s="217" t="s">
        <v>1984</v>
      </c>
      <c r="D1493" s="53">
        <v>0</v>
      </c>
      <c r="E1493" s="121">
        <f>Saisie!D1493</f>
        <v>0</v>
      </c>
      <c r="F1493" s="51">
        <f t="shared" si="100"/>
        <v>0</v>
      </c>
    </row>
    <row r="1494" spans="1:6" ht="13.2" x14ac:dyDescent="0.25">
      <c r="A1494" s="202" t="s">
        <v>3514</v>
      </c>
      <c r="B1494" s="216" t="s">
        <v>3515</v>
      </c>
      <c r="C1494" s="217" t="s">
        <v>1984</v>
      </c>
      <c r="D1494" s="53">
        <v>0</v>
      </c>
      <c r="E1494" s="121">
        <f>Saisie!D1494</f>
        <v>0</v>
      </c>
      <c r="F1494" s="51">
        <f t="shared" si="100"/>
        <v>0</v>
      </c>
    </row>
    <row r="1495" spans="1:6" ht="13.2" x14ac:dyDescent="0.25">
      <c r="A1495" s="202" t="s">
        <v>3516</v>
      </c>
      <c r="B1495" s="216" t="s">
        <v>3517</v>
      </c>
      <c r="C1495" s="217" t="s">
        <v>1984</v>
      </c>
      <c r="D1495" s="53">
        <v>0</v>
      </c>
      <c r="E1495" s="121">
        <f>Saisie!D1495</f>
        <v>0</v>
      </c>
      <c r="F1495" s="51">
        <f t="shared" si="100"/>
        <v>0</v>
      </c>
    </row>
    <row r="1496" spans="1:6" ht="13.2" x14ac:dyDescent="0.25">
      <c r="A1496" s="202" t="s">
        <v>3518</v>
      </c>
      <c r="B1496" s="216" t="s">
        <v>3519</v>
      </c>
      <c r="C1496" s="217" t="s">
        <v>1984</v>
      </c>
      <c r="D1496" s="53">
        <v>0</v>
      </c>
      <c r="E1496" s="121">
        <f>Saisie!D1496</f>
        <v>0</v>
      </c>
      <c r="F1496" s="51">
        <f t="shared" si="100"/>
        <v>0</v>
      </c>
    </row>
    <row r="1497" spans="1:6" ht="39.6" x14ac:dyDescent="0.25">
      <c r="A1497" s="27" t="s">
        <v>3520</v>
      </c>
      <c r="B1497" s="3" t="s">
        <v>3521</v>
      </c>
      <c r="C1497" s="217" t="s">
        <v>1011</v>
      </c>
      <c r="D1497" s="53">
        <v>0</v>
      </c>
      <c r="E1497" s="121">
        <f>Saisie!D1497</f>
        <v>0</v>
      </c>
      <c r="F1497" s="51">
        <f t="shared" si="100"/>
        <v>0</v>
      </c>
    </row>
    <row r="1498" spans="1:6" ht="13.2" x14ac:dyDescent="0.25">
      <c r="A1498" s="204" t="s">
        <v>3522</v>
      </c>
      <c r="B1498" s="252" t="s">
        <v>3523</v>
      </c>
      <c r="C1498" s="217" t="s">
        <v>1011</v>
      </c>
      <c r="D1498" s="53">
        <v>0</v>
      </c>
      <c r="E1498" s="121">
        <f>Saisie!D1498</f>
        <v>0</v>
      </c>
      <c r="F1498" s="51">
        <f t="shared" ref="F1498" si="101">E1498*D1498</f>
        <v>0</v>
      </c>
    </row>
    <row r="1499" spans="1:6" ht="26.4" x14ac:dyDescent="0.25">
      <c r="A1499" s="27" t="s">
        <v>3524</v>
      </c>
      <c r="B1499" s="3" t="s">
        <v>3525</v>
      </c>
      <c r="C1499" s="217"/>
      <c r="D1499" s="45"/>
      <c r="E1499" s="121"/>
      <c r="F1499" s="62"/>
    </row>
    <row r="1500" spans="1:6" ht="26.4" x14ac:dyDescent="0.25">
      <c r="A1500" s="202" t="s">
        <v>3526</v>
      </c>
      <c r="B1500" s="216" t="s">
        <v>3527</v>
      </c>
      <c r="C1500" s="217" t="s">
        <v>1011</v>
      </c>
      <c r="D1500" s="53">
        <v>3</v>
      </c>
      <c r="E1500" s="121">
        <f>Saisie!D1500</f>
        <v>0</v>
      </c>
      <c r="F1500" s="51">
        <f t="shared" si="100"/>
        <v>0</v>
      </c>
    </row>
    <row r="1501" spans="1:6" ht="26.4" x14ac:dyDescent="0.25">
      <c r="A1501" s="202" t="s">
        <v>3528</v>
      </c>
      <c r="B1501" s="216" t="s">
        <v>3529</v>
      </c>
      <c r="C1501" s="217" t="s">
        <v>1011</v>
      </c>
      <c r="D1501" s="53">
        <v>0</v>
      </c>
      <c r="E1501" s="121">
        <f>Saisie!D1501</f>
        <v>0</v>
      </c>
      <c r="F1501" s="51">
        <f t="shared" si="100"/>
        <v>0</v>
      </c>
    </row>
    <row r="1502" spans="1:6" ht="13.2" x14ac:dyDescent="0.25">
      <c r="A1502" s="28" t="s">
        <v>3530</v>
      </c>
      <c r="B1502" s="6" t="s">
        <v>3531</v>
      </c>
      <c r="C1502" s="217" t="s">
        <v>1011</v>
      </c>
      <c r="D1502" s="53">
        <v>0</v>
      </c>
      <c r="E1502" s="121">
        <f>Saisie!D1502</f>
        <v>0</v>
      </c>
      <c r="F1502" s="51">
        <f t="shared" si="100"/>
        <v>0</v>
      </c>
    </row>
    <row r="1503" spans="1:6" ht="26.4" x14ac:dyDescent="0.25">
      <c r="A1503" s="28" t="s">
        <v>3532</v>
      </c>
      <c r="B1503" s="6" t="s">
        <v>3533</v>
      </c>
      <c r="C1503" s="217"/>
      <c r="D1503" s="45"/>
      <c r="E1503" s="121"/>
      <c r="F1503" s="62"/>
    </row>
    <row r="1504" spans="1:6" ht="13.2" x14ac:dyDescent="0.25">
      <c r="A1504" s="202" t="s">
        <v>3534</v>
      </c>
      <c r="B1504" s="223" t="s">
        <v>3535</v>
      </c>
      <c r="C1504" s="217" t="s">
        <v>1034</v>
      </c>
      <c r="D1504" s="53">
        <v>0</v>
      </c>
      <c r="E1504" s="121">
        <f>Saisie!D1504</f>
        <v>0</v>
      </c>
      <c r="F1504" s="51">
        <f t="shared" ref="F1504:F1512" si="102">D1504*E1504</f>
        <v>0</v>
      </c>
    </row>
    <row r="1505" spans="1:9" ht="13.2" x14ac:dyDescent="0.25">
      <c r="A1505" s="202" t="s">
        <v>3536</v>
      </c>
      <c r="B1505" s="192" t="s">
        <v>3537</v>
      </c>
      <c r="C1505" s="217" t="s">
        <v>1034</v>
      </c>
      <c r="D1505" s="53">
        <v>0</v>
      </c>
      <c r="E1505" s="121">
        <f>Saisie!D1505</f>
        <v>0</v>
      </c>
      <c r="F1505" s="51">
        <f t="shared" si="102"/>
        <v>0</v>
      </c>
    </row>
    <row r="1506" spans="1:9" ht="13.2" x14ac:dyDescent="0.25">
      <c r="A1506" s="202" t="s">
        <v>3538</v>
      </c>
      <c r="B1506" s="192" t="s">
        <v>3539</v>
      </c>
      <c r="C1506" s="217" t="s">
        <v>1034</v>
      </c>
      <c r="D1506" s="53">
        <v>0</v>
      </c>
      <c r="E1506" s="121">
        <f>Saisie!D1506</f>
        <v>0</v>
      </c>
      <c r="F1506" s="51">
        <f t="shared" si="102"/>
        <v>0</v>
      </c>
    </row>
    <row r="1507" spans="1:9" ht="13.2" x14ac:dyDescent="0.25">
      <c r="A1507" s="202" t="s">
        <v>3540</v>
      </c>
      <c r="B1507" s="223" t="s">
        <v>3541</v>
      </c>
      <c r="C1507" s="217" t="s">
        <v>1034</v>
      </c>
      <c r="D1507" s="53">
        <v>0</v>
      </c>
      <c r="E1507" s="121">
        <f>Saisie!D1507</f>
        <v>0</v>
      </c>
      <c r="F1507" s="51">
        <f t="shared" si="102"/>
        <v>0</v>
      </c>
      <c r="I1507" s="6"/>
    </row>
    <row r="1508" spans="1:9" ht="26.4" x14ac:dyDescent="0.25">
      <c r="A1508" s="28" t="s">
        <v>3542</v>
      </c>
      <c r="B1508" s="6" t="s">
        <v>3543</v>
      </c>
      <c r="C1508" s="217" t="s">
        <v>1034</v>
      </c>
      <c r="D1508" s="53">
        <v>0</v>
      </c>
      <c r="E1508" s="121">
        <f>Saisie!D1508</f>
        <v>0</v>
      </c>
      <c r="F1508" s="51">
        <f t="shared" si="102"/>
        <v>0</v>
      </c>
      <c r="I1508" s="6"/>
    </row>
    <row r="1509" spans="1:9" ht="26.4" x14ac:dyDescent="0.25">
      <c r="A1509" s="28" t="s">
        <v>3544</v>
      </c>
      <c r="B1509" s="6" t="s">
        <v>3545</v>
      </c>
      <c r="C1509" s="217" t="s">
        <v>1034</v>
      </c>
      <c r="D1509" s="53">
        <v>0</v>
      </c>
      <c r="E1509" s="121">
        <f>Saisie!D1509</f>
        <v>0</v>
      </c>
      <c r="F1509" s="51">
        <f t="shared" si="102"/>
        <v>0</v>
      </c>
      <c r="I1509" s="6"/>
    </row>
    <row r="1510" spans="1:9" ht="26.4" x14ac:dyDescent="0.25">
      <c r="A1510" s="28" t="s">
        <v>3546</v>
      </c>
      <c r="B1510" s="6" t="s">
        <v>3547</v>
      </c>
      <c r="C1510" s="217" t="s">
        <v>1034</v>
      </c>
      <c r="D1510" s="53">
        <v>0</v>
      </c>
      <c r="E1510" s="121">
        <f>Saisie!D1510</f>
        <v>0</v>
      </c>
      <c r="F1510" s="51">
        <f t="shared" si="102"/>
        <v>0</v>
      </c>
      <c r="I1510" s="6"/>
    </row>
    <row r="1511" spans="1:9" ht="13.2" x14ac:dyDescent="0.25">
      <c r="A1511" s="28" t="s">
        <v>3548</v>
      </c>
      <c r="B1511" s="6" t="s">
        <v>3549</v>
      </c>
      <c r="C1511" s="217" t="s">
        <v>1141</v>
      </c>
      <c r="D1511" s="53">
        <v>0</v>
      </c>
      <c r="E1511" s="121">
        <f>Saisie!D1511</f>
        <v>0</v>
      </c>
      <c r="F1511" s="51">
        <f>D1511*E1511</f>
        <v>0</v>
      </c>
      <c r="I1511" s="6"/>
    </row>
    <row r="1512" spans="1:9" ht="26.4" x14ac:dyDescent="0.25">
      <c r="A1512" s="28" t="s">
        <v>3550</v>
      </c>
      <c r="B1512" s="6" t="s">
        <v>3551</v>
      </c>
      <c r="C1512" s="217" t="s">
        <v>1034</v>
      </c>
      <c r="D1512" s="53">
        <v>0</v>
      </c>
      <c r="E1512" s="121">
        <f>Saisie!D1512</f>
        <v>0</v>
      </c>
      <c r="F1512" s="51">
        <f t="shared" si="102"/>
        <v>0</v>
      </c>
    </row>
    <row r="1513" spans="1:9" ht="13.2" x14ac:dyDescent="0.25">
      <c r="A1513" s="202"/>
      <c r="B1513" s="216"/>
      <c r="C1513" s="217"/>
      <c r="D1513" s="217"/>
      <c r="E1513" s="217"/>
      <c r="F1513" s="190"/>
    </row>
    <row r="1514" spans="1:9" ht="13.2" x14ac:dyDescent="0.25">
      <c r="A1514" s="202"/>
      <c r="B1514" s="122" t="s">
        <v>3552</v>
      </c>
      <c r="C1514" s="217"/>
      <c r="D1514" s="217"/>
      <c r="E1514" s="217"/>
      <c r="F1514" s="84">
        <f>SUM(F1380:F1513)</f>
        <v>0</v>
      </c>
    </row>
    <row r="1515" spans="1:9" ht="13.2" x14ac:dyDescent="0.25">
      <c r="A1515" s="202"/>
      <c r="B1515" s="216"/>
      <c r="C1515" s="217"/>
      <c r="D1515" s="217"/>
      <c r="E1515" s="217"/>
      <c r="F1515" s="190"/>
    </row>
    <row r="1516" spans="1:9" ht="13.2" x14ac:dyDescent="0.25">
      <c r="A1516" s="29" t="s">
        <v>3553</v>
      </c>
      <c r="B1516" s="30" t="s">
        <v>3554</v>
      </c>
      <c r="C1516" s="224"/>
      <c r="D1516" s="224"/>
      <c r="E1516" s="224"/>
      <c r="F1516" s="191"/>
    </row>
    <row r="1517" spans="1:9" ht="13.2" x14ac:dyDescent="0.25">
      <c r="A1517" s="27" t="s">
        <v>3555</v>
      </c>
      <c r="B1517" s="3" t="s">
        <v>3556</v>
      </c>
      <c r="C1517" s="217" t="s">
        <v>1883</v>
      </c>
      <c r="D1517" s="217" t="s">
        <v>1883</v>
      </c>
      <c r="E1517" s="217" t="s">
        <v>1883</v>
      </c>
      <c r="F1517" s="190" t="s">
        <v>1883</v>
      </c>
    </row>
    <row r="1518" spans="1:9" ht="13.2" x14ac:dyDescent="0.25">
      <c r="A1518" s="202" t="s">
        <v>842</v>
      </c>
      <c r="B1518" s="216" t="s">
        <v>3557</v>
      </c>
      <c r="C1518" s="227" t="s">
        <v>1011</v>
      </c>
      <c r="D1518" s="53">
        <v>3</v>
      </c>
      <c r="E1518" s="121">
        <f>Saisie!D1518</f>
        <v>0</v>
      </c>
      <c r="F1518" s="51">
        <f>E1518*D1518</f>
        <v>0</v>
      </c>
    </row>
    <row r="1519" spans="1:9" ht="13.2" x14ac:dyDescent="0.25">
      <c r="A1519" s="202" t="s">
        <v>843</v>
      </c>
      <c r="B1519" s="216" t="s">
        <v>3558</v>
      </c>
      <c r="C1519" s="227" t="s">
        <v>1011</v>
      </c>
      <c r="D1519" s="53">
        <v>0</v>
      </c>
      <c r="E1519" s="121">
        <f>Saisie!D1519</f>
        <v>0</v>
      </c>
      <c r="F1519" s="51">
        <f>E1519*D1519</f>
        <v>0</v>
      </c>
    </row>
    <row r="1520" spans="1:9" ht="13.2" x14ac:dyDescent="0.25">
      <c r="A1520" s="202" t="s">
        <v>844</v>
      </c>
      <c r="B1520" s="216" t="s">
        <v>3559</v>
      </c>
      <c r="C1520" s="227" t="s">
        <v>1011</v>
      </c>
      <c r="D1520" s="53">
        <v>0</v>
      </c>
      <c r="E1520" s="121">
        <f>Saisie!D1520</f>
        <v>0</v>
      </c>
      <c r="F1520" s="51">
        <f>E1520*D1520</f>
        <v>0</v>
      </c>
    </row>
    <row r="1521" spans="1:6" ht="13.2" x14ac:dyDescent="0.25">
      <c r="A1521" s="202" t="s">
        <v>845</v>
      </c>
      <c r="B1521" s="216" t="s">
        <v>3560</v>
      </c>
      <c r="C1521" s="227"/>
      <c r="D1521" s="45"/>
      <c r="E1521" s="121"/>
      <c r="F1521" s="51"/>
    </row>
    <row r="1522" spans="1:6" ht="13.2" x14ac:dyDescent="0.25">
      <c r="A1522" s="202" t="s">
        <v>3561</v>
      </c>
      <c r="B1522" s="216" t="s">
        <v>3562</v>
      </c>
      <c r="C1522" s="217" t="s">
        <v>1011</v>
      </c>
      <c r="D1522" s="53">
        <v>32</v>
      </c>
      <c r="E1522" s="121">
        <f>Saisie!D1522</f>
        <v>0</v>
      </c>
      <c r="F1522" s="51">
        <f>E1522*D1522</f>
        <v>0</v>
      </c>
    </row>
    <row r="1523" spans="1:6" ht="13.2" x14ac:dyDescent="0.25">
      <c r="A1523" s="202" t="s">
        <v>3563</v>
      </c>
      <c r="B1523" s="216" t="s">
        <v>3564</v>
      </c>
      <c r="C1523" s="217" t="s">
        <v>1034</v>
      </c>
      <c r="D1523" s="53">
        <v>0</v>
      </c>
      <c r="E1523" s="121">
        <f>Saisie!D1523</f>
        <v>0</v>
      </c>
      <c r="F1523" s="51">
        <f>E1523*D1523</f>
        <v>0</v>
      </c>
    </row>
    <row r="1524" spans="1:6" ht="13.2" x14ac:dyDescent="0.25">
      <c r="A1524" s="202" t="s">
        <v>3565</v>
      </c>
      <c r="B1524" s="216" t="s">
        <v>3566</v>
      </c>
      <c r="C1524" s="217" t="s">
        <v>1011</v>
      </c>
      <c r="D1524" s="53">
        <v>5</v>
      </c>
      <c r="E1524" s="121">
        <f>Saisie!D1524</f>
        <v>0</v>
      </c>
      <c r="F1524" s="51">
        <f>E1524*D1524</f>
        <v>0</v>
      </c>
    </row>
    <row r="1525" spans="1:6" ht="13.2" x14ac:dyDescent="0.25">
      <c r="A1525" s="202" t="s">
        <v>846</v>
      </c>
      <c r="B1525" s="216" t="s">
        <v>3567</v>
      </c>
      <c r="C1525" s="217" t="s">
        <v>2109</v>
      </c>
      <c r="D1525" s="53">
        <v>0</v>
      </c>
      <c r="E1525" s="121">
        <f>Saisie!D1525</f>
        <v>0</v>
      </c>
      <c r="F1525" s="51">
        <f>E1525*D1525</f>
        <v>0</v>
      </c>
    </row>
    <row r="1526" spans="1:6" ht="13.2" x14ac:dyDescent="0.25">
      <c r="A1526" s="27" t="s">
        <v>3568</v>
      </c>
      <c r="B1526" s="3" t="s">
        <v>3569</v>
      </c>
      <c r="C1526" s="217" t="s">
        <v>1883</v>
      </c>
      <c r="D1526" s="45"/>
      <c r="E1526" s="121"/>
      <c r="F1526" s="51"/>
    </row>
    <row r="1527" spans="1:6" ht="13.2" x14ac:dyDescent="0.25">
      <c r="A1527" s="202" t="s">
        <v>855</v>
      </c>
      <c r="B1527" s="216" t="s">
        <v>3570</v>
      </c>
      <c r="C1527" s="217" t="s">
        <v>1883</v>
      </c>
      <c r="D1527" s="45"/>
      <c r="E1527" s="121"/>
      <c r="F1527" s="51"/>
    </row>
    <row r="1528" spans="1:6" ht="13.2" x14ac:dyDescent="0.25">
      <c r="A1528" s="202" t="s">
        <v>3571</v>
      </c>
      <c r="B1528" s="216" t="s">
        <v>3572</v>
      </c>
      <c r="C1528" s="217"/>
      <c r="D1528" s="45"/>
      <c r="E1528" s="121"/>
      <c r="F1528" s="51"/>
    </row>
    <row r="1529" spans="1:6" ht="13.2" x14ac:dyDescent="0.25">
      <c r="A1529" s="202" t="s">
        <v>3573</v>
      </c>
      <c r="B1529" s="216" t="s">
        <v>3574</v>
      </c>
      <c r="C1529" s="217" t="s">
        <v>1011</v>
      </c>
      <c r="D1529" s="53">
        <v>3</v>
      </c>
      <c r="E1529" s="121">
        <f>Saisie!D1529</f>
        <v>0</v>
      </c>
      <c r="F1529" s="51">
        <f t="shared" ref="F1529:F1536" si="103">E1529*D1529</f>
        <v>0</v>
      </c>
    </row>
    <row r="1530" spans="1:6" ht="13.2" x14ac:dyDescent="0.25">
      <c r="A1530" s="202" t="s">
        <v>3575</v>
      </c>
      <c r="B1530" s="216" t="s">
        <v>3576</v>
      </c>
      <c r="C1530" s="217" t="s">
        <v>1011</v>
      </c>
      <c r="D1530" s="53">
        <v>0</v>
      </c>
      <c r="E1530" s="121">
        <f>Saisie!D1530</f>
        <v>0</v>
      </c>
      <c r="F1530" s="51">
        <f t="shared" si="103"/>
        <v>0</v>
      </c>
    </row>
    <row r="1531" spans="1:6" ht="13.2" x14ac:dyDescent="0.25">
      <c r="A1531" s="202" t="s">
        <v>3577</v>
      </c>
      <c r="B1531" s="216" t="s">
        <v>3578</v>
      </c>
      <c r="C1531" s="217"/>
      <c r="D1531" s="45"/>
      <c r="E1531" s="121"/>
      <c r="F1531" s="51"/>
    </row>
    <row r="1532" spans="1:6" ht="13.2" x14ac:dyDescent="0.25">
      <c r="A1532" s="202" t="s">
        <v>3579</v>
      </c>
      <c r="B1532" s="216" t="s">
        <v>3574</v>
      </c>
      <c r="C1532" s="217" t="s">
        <v>1011</v>
      </c>
      <c r="D1532" s="53">
        <v>0</v>
      </c>
      <c r="E1532" s="121">
        <f>Saisie!D1532</f>
        <v>0</v>
      </c>
      <c r="F1532" s="51">
        <f t="shared" si="103"/>
        <v>0</v>
      </c>
    </row>
    <row r="1533" spans="1:6" ht="13.2" x14ac:dyDescent="0.25">
      <c r="A1533" s="202" t="s">
        <v>3580</v>
      </c>
      <c r="B1533" s="216" t="s">
        <v>3576</v>
      </c>
      <c r="C1533" s="217" t="s">
        <v>1011</v>
      </c>
      <c r="D1533" s="53">
        <v>0</v>
      </c>
      <c r="E1533" s="121">
        <f>Saisie!D1533</f>
        <v>0</v>
      </c>
      <c r="F1533" s="51">
        <f t="shared" si="103"/>
        <v>0</v>
      </c>
    </row>
    <row r="1534" spans="1:6" ht="13.2" x14ac:dyDescent="0.25">
      <c r="A1534" s="202" t="s">
        <v>3581</v>
      </c>
      <c r="B1534" s="216" t="s">
        <v>3582</v>
      </c>
      <c r="C1534" s="217"/>
      <c r="D1534" s="45"/>
      <c r="E1534" s="121"/>
      <c r="F1534" s="51"/>
    </row>
    <row r="1535" spans="1:6" ht="13.2" x14ac:dyDescent="0.25">
      <c r="A1535" s="202" t="s">
        <v>3583</v>
      </c>
      <c r="B1535" s="216" t="s">
        <v>3574</v>
      </c>
      <c r="C1535" s="217" t="s">
        <v>1011</v>
      </c>
      <c r="D1535" s="53">
        <v>0</v>
      </c>
      <c r="E1535" s="121">
        <f>Saisie!D1535</f>
        <v>0</v>
      </c>
      <c r="F1535" s="51">
        <f t="shared" si="103"/>
        <v>0</v>
      </c>
    </row>
    <row r="1536" spans="1:6" ht="13.2" x14ac:dyDescent="0.25">
      <c r="A1536" s="202" t="s">
        <v>3584</v>
      </c>
      <c r="B1536" s="216" t="s">
        <v>3576</v>
      </c>
      <c r="C1536" s="217" t="s">
        <v>1011</v>
      </c>
      <c r="D1536" s="53">
        <v>0</v>
      </c>
      <c r="E1536" s="121">
        <f>Saisie!D1536</f>
        <v>0</v>
      </c>
      <c r="F1536" s="51">
        <f t="shared" si="103"/>
        <v>0</v>
      </c>
    </row>
    <row r="1537" spans="1:6" ht="13.2" x14ac:dyDescent="0.25">
      <c r="A1537" s="202" t="s">
        <v>856</v>
      </c>
      <c r="B1537" s="216" t="s">
        <v>3585</v>
      </c>
      <c r="C1537" s="217"/>
      <c r="D1537" s="45"/>
      <c r="E1537" s="121"/>
      <c r="F1537" s="51"/>
    </row>
    <row r="1538" spans="1:6" ht="13.2" x14ac:dyDescent="0.25">
      <c r="A1538" s="202" t="s">
        <v>3586</v>
      </c>
      <c r="B1538" s="216" t="s">
        <v>3587</v>
      </c>
      <c r="C1538" s="217" t="s">
        <v>1011</v>
      </c>
      <c r="D1538" s="53">
        <v>0</v>
      </c>
      <c r="E1538" s="121">
        <f>Saisie!D1538</f>
        <v>0</v>
      </c>
      <c r="F1538" s="51">
        <f>E1538*D1538</f>
        <v>0</v>
      </c>
    </row>
    <row r="1539" spans="1:6" ht="13.2" x14ac:dyDescent="0.25">
      <c r="A1539" s="202" t="s">
        <v>3588</v>
      </c>
      <c r="B1539" s="216" t="s">
        <v>3589</v>
      </c>
      <c r="C1539" s="217" t="s">
        <v>1011</v>
      </c>
      <c r="D1539" s="53">
        <v>0</v>
      </c>
      <c r="E1539" s="121">
        <f>Saisie!D1539</f>
        <v>0</v>
      </c>
      <c r="F1539" s="51">
        <f>E1539*D1539</f>
        <v>0</v>
      </c>
    </row>
    <row r="1540" spans="1:6" ht="13.2" x14ac:dyDescent="0.25">
      <c r="A1540" s="202" t="s">
        <v>3590</v>
      </c>
      <c r="B1540" s="216" t="s">
        <v>3591</v>
      </c>
      <c r="C1540" s="217" t="s">
        <v>1011</v>
      </c>
      <c r="D1540" s="53">
        <v>0</v>
      </c>
      <c r="E1540" s="121">
        <f>Saisie!D1540</f>
        <v>0</v>
      </c>
      <c r="F1540" s="51">
        <f>E1540*D1540</f>
        <v>0</v>
      </c>
    </row>
    <row r="1541" spans="1:6" ht="13.2" x14ac:dyDescent="0.25">
      <c r="A1541" s="202" t="s">
        <v>3592</v>
      </c>
      <c r="B1541" s="216" t="s">
        <v>3593</v>
      </c>
      <c r="C1541" s="217" t="s">
        <v>1011</v>
      </c>
      <c r="D1541" s="53">
        <v>0</v>
      </c>
      <c r="E1541" s="121">
        <f>Saisie!D1541</f>
        <v>0</v>
      </c>
      <c r="F1541" s="51">
        <f>E1541*D1541</f>
        <v>0</v>
      </c>
    </row>
    <row r="1542" spans="1:6" ht="13.2" x14ac:dyDescent="0.25">
      <c r="A1542" s="202" t="s">
        <v>857</v>
      </c>
      <c r="B1542" s="216" t="s">
        <v>3594</v>
      </c>
      <c r="C1542" s="217" t="s">
        <v>1883</v>
      </c>
      <c r="D1542" s="45"/>
      <c r="E1542" s="121"/>
      <c r="F1542" s="51"/>
    </row>
    <row r="1543" spans="1:6" ht="26.4" x14ac:dyDescent="0.25">
      <c r="A1543" s="202" t="s">
        <v>3595</v>
      </c>
      <c r="B1543" s="216" t="s">
        <v>3596</v>
      </c>
      <c r="C1543" s="217" t="s">
        <v>1011</v>
      </c>
      <c r="D1543" s="53">
        <v>0</v>
      </c>
      <c r="E1543" s="121">
        <f>Saisie!D1543</f>
        <v>0</v>
      </c>
      <c r="F1543" s="51">
        <f t="shared" ref="F1543:F1548" si="104">E1543*D1543</f>
        <v>0</v>
      </c>
    </row>
    <row r="1544" spans="1:6" ht="26.4" x14ac:dyDescent="0.25">
      <c r="A1544" s="202" t="s">
        <v>3597</v>
      </c>
      <c r="B1544" s="216" t="s">
        <v>3598</v>
      </c>
      <c r="C1544" s="217" t="s">
        <v>1011</v>
      </c>
      <c r="D1544" s="53">
        <v>0</v>
      </c>
      <c r="E1544" s="121">
        <f>Saisie!D1544</f>
        <v>0</v>
      </c>
      <c r="F1544" s="51">
        <f t="shared" si="104"/>
        <v>0</v>
      </c>
    </row>
    <row r="1545" spans="1:6" ht="26.4" x14ac:dyDescent="0.25">
      <c r="A1545" s="202" t="s">
        <v>3599</v>
      </c>
      <c r="B1545" s="216" t="s">
        <v>3600</v>
      </c>
      <c r="C1545" s="217" t="s">
        <v>1011</v>
      </c>
      <c r="D1545" s="53">
        <v>0</v>
      </c>
      <c r="E1545" s="121">
        <f>Saisie!D1545</f>
        <v>0</v>
      </c>
      <c r="F1545" s="51">
        <f t="shared" si="104"/>
        <v>0</v>
      </c>
    </row>
    <row r="1546" spans="1:6" ht="26.4" x14ac:dyDescent="0.25">
      <c r="A1546" s="202" t="s">
        <v>3601</v>
      </c>
      <c r="B1546" s="216" t="s">
        <v>3602</v>
      </c>
      <c r="C1546" s="217" t="s">
        <v>1011</v>
      </c>
      <c r="D1546" s="53">
        <v>0</v>
      </c>
      <c r="E1546" s="121">
        <f>Saisie!D1546</f>
        <v>0</v>
      </c>
      <c r="F1546" s="51">
        <f t="shared" si="104"/>
        <v>0</v>
      </c>
    </row>
    <row r="1547" spans="1:6" ht="27" x14ac:dyDescent="0.25">
      <c r="A1547" s="202" t="s">
        <v>3603</v>
      </c>
      <c r="B1547" s="216" t="s">
        <v>3604</v>
      </c>
      <c r="C1547" s="217" t="s">
        <v>1011</v>
      </c>
      <c r="D1547" s="53">
        <v>0</v>
      </c>
      <c r="E1547" s="121">
        <f>Saisie!D1547</f>
        <v>0</v>
      </c>
      <c r="F1547" s="51">
        <f t="shared" si="104"/>
        <v>0</v>
      </c>
    </row>
    <row r="1548" spans="1:6" ht="26.4" x14ac:dyDescent="0.25">
      <c r="A1548" s="202" t="s">
        <v>3605</v>
      </c>
      <c r="B1548" s="216" t="s">
        <v>3606</v>
      </c>
      <c r="C1548" s="217" t="s">
        <v>1011</v>
      </c>
      <c r="D1548" s="53">
        <v>0</v>
      </c>
      <c r="E1548" s="121">
        <f>Saisie!D1548</f>
        <v>0</v>
      </c>
      <c r="F1548" s="51">
        <f t="shared" si="104"/>
        <v>0</v>
      </c>
    </row>
    <row r="1549" spans="1:6" ht="26.4" x14ac:dyDescent="0.25">
      <c r="A1549" s="202" t="s">
        <v>3607</v>
      </c>
      <c r="B1549" s="216" t="s">
        <v>3608</v>
      </c>
      <c r="C1549" s="217" t="s">
        <v>1011</v>
      </c>
      <c r="D1549" s="53">
        <v>0</v>
      </c>
      <c r="E1549" s="121">
        <f>Saisie!D1549</f>
        <v>0</v>
      </c>
      <c r="F1549" s="51">
        <f>E1549*D1549</f>
        <v>0</v>
      </c>
    </row>
    <row r="1550" spans="1:6" ht="26.4" x14ac:dyDescent="0.25">
      <c r="A1550" s="202" t="s">
        <v>3609</v>
      </c>
      <c r="B1550" s="216" t="s">
        <v>3610</v>
      </c>
      <c r="C1550" s="217" t="s">
        <v>1011</v>
      </c>
      <c r="D1550" s="53">
        <v>0</v>
      </c>
      <c r="E1550" s="121">
        <f>Saisie!D1550</f>
        <v>0</v>
      </c>
      <c r="F1550" s="51">
        <f>E1550*D1550</f>
        <v>0</v>
      </c>
    </row>
    <row r="1551" spans="1:6" ht="13.2" x14ac:dyDescent="0.25">
      <c r="A1551" s="202" t="s">
        <v>858</v>
      </c>
      <c r="B1551" s="216" t="s">
        <v>3611</v>
      </c>
      <c r="C1551" s="217" t="s">
        <v>1883</v>
      </c>
      <c r="D1551" s="45"/>
      <c r="E1551" s="121"/>
      <c r="F1551" s="51"/>
    </row>
    <row r="1552" spans="1:6" ht="13.2" x14ac:dyDescent="0.25">
      <c r="A1552" s="202" t="s">
        <v>3612</v>
      </c>
      <c r="B1552" s="216" t="s">
        <v>3613</v>
      </c>
      <c r="C1552" s="217" t="s">
        <v>1011</v>
      </c>
      <c r="D1552" s="53">
        <v>0</v>
      </c>
      <c r="E1552" s="121">
        <f>Saisie!D1552</f>
        <v>0</v>
      </c>
      <c r="F1552" s="51">
        <f>E1552*D1552</f>
        <v>0</v>
      </c>
    </row>
    <row r="1553" spans="1:6" ht="13.2" x14ac:dyDescent="0.25">
      <c r="A1553" s="202" t="s">
        <v>3614</v>
      </c>
      <c r="B1553" s="216" t="s">
        <v>3615</v>
      </c>
      <c r="C1553" s="217" t="s">
        <v>1011</v>
      </c>
      <c r="D1553" s="53">
        <v>13</v>
      </c>
      <c r="E1553" s="121">
        <f>Saisie!D1553</f>
        <v>0</v>
      </c>
      <c r="F1553" s="51">
        <f>E1553*D1553</f>
        <v>0</v>
      </c>
    </row>
    <row r="1554" spans="1:6" ht="13.2" x14ac:dyDescent="0.25">
      <c r="A1554" s="202" t="s">
        <v>3616</v>
      </c>
      <c r="B1554" s="216" t="s">
        <v>3617</v>
      </c>
      <c r="C1554" s="217" t="s">
        <v>1011</v>
      </c>
      <c r="D1554" s="53">
        <v>0</v>
      </c>
      <c r="E1554" s="121">
        <f>Saisie!D1554</f>
        <v>0</v>
      </c>
      <c r="F1554" s="51">
        <f>E1554*D1554</f>
        <v>0</v>
      </c>
    </row>
    <row r="1555" spans="1:6" ht="13.2" x14ac:dyDescent="0.25">
      <c r="A1555" s="202" t="s">
        <v>859</v>
      </c>
      <c r="B1555" s="216" t="s">
        <v>3618</v>
      </c>
      <c r="C1555" s="217" t="s">
        <v>1883</v>
      </c>
      <c r="D1555" s="45"/>
      <c r="E1555" s="121"/>
      <c r="F1555" s="51"/>
    </row>
    <row r="1556" spans="1:6" ht="13.2" x14ac:dyDescent="0.25">
      <c r="A1556" s="202" t="s">
        <v>3619</v>
      </c>
      <c r="B1556" s="216" t="s">
        <v>3620</v>
      </c>
      <c r="C1556" s="217" t="s">
        <v>1011</v>
      </c>
      <c r="D1556" s="53">
        <v>0</v>
      </c>
      <c r="E1556" s="121">
        <f>Saisie!D1556</f>
        <v>0</v>
      </c>
      <c r="F1556" s="51">
        <f>E1556*D1556</f>
        <v>0</v>
      </c>
    </row>
    <row r="1557" spans="1:6" ht="13.2" x14ac:dyDescent="0.25">
      <c r="A1557" s="202" t="s">
        <v>3621</v>
      </c>
      <c r="B1557" s="216" t="s">
        <v>3622</v>
      </c>
      <c r="C1557" s="217" t="s">
        <v>1011</v>
      </c>
      <c r="D1557" s="53">
        <v>0</v>
      </c>
      <c r="E1557" s="121">
        <f>Saisie!D1557</f>
        <v>0</v>
      </c>
      <c r="F1557" s="51">
        <f>E1557*D1557</f>
        <v>0</v>
      </c>
    </row>
    <row r="1558" spans="1:6" ht="13.2" x14ac:dyDescent="0.25">
      <c r="A1558" s="202" t="s">
        <v>3623</v>
      </c>
      <c r="B1558" s="216" t="s">
        <v>3624</v>
      </c>
      <c r="C1558" s="217" t="s">
        <v>1011</v>
      </c>
      <c r="D1558" s="53">
        <v>0</v>
      </c>
      <c r="E1558" s="121">
        <f>Saisie!D1558</f>
        <v>0</v>
      </c>
      <c r="F1558" s="51">
        <f>E1558*D1558</f>
        <v>0</v>
      </c>
    </row>
    <row r="1559" spans="1:6" ht="13.2" x14ac:dyDescent="0.25">
      <c r="A1559" s="202" t="s">
        <v>3625</v>
      </c>
      <c r="B1559" s="216" t="s">
        <v>3626</v>
      </c>
      <c r="C1559" s="217" t="s">
        <v>1011</v>
      </c>
      <c r="D1559" s="53">
        <v>0</v>
      </c>
      <c r="E1559" s="121">
        <f>Saisie!D1559</f>
        <v>0</v>
      </c>
      <c r="F1559" s="51">
        <f>E1559*D1559</f>
        <v>0</v>
      </c>
    </row>
    <row r="1560" spans="1:6" ht="13.2" x14ac:dyDescent="0.25">
      <c r="A1560" s="202" t="s">
        <v>3627</v>
      </c>
      <c r="B1560" s="216" t="s">
        <v>3628</v>
      </c>
      <c r="C1560" s="217"/>
      <c r="D1560" s="45"/>
      <c r="E1560" s="121"/>
      <c r="F1560" s="51"/>
    </row>
    <row r="1561" spans="1:6" ht="13.2" x14ac:dyDescent="0.25">
      <c r="A1561" s="202" t="s">
        <v>3629</v>
      </c>
      <c r="B1561" s="216" t="s">
        <v>3630</v>
      </c>
      <c r="C1561" s="217" t="s">
        <v>1011</v>
      </c>
      <c r="D1561" s="53">
        <v>0</v>
      </c>
      <c r="E1561" s="121">
        <f>Saisie!D1561</f>
        <v>0</v>
      </c>
      <c r="F1561" s="51">
        <f>D1561*E1561</f>
        <v>0</v>
      </c>
    </row>
    <row r="1562" spans="1:6" ht="13.2" x14ac:dyDescent="0.25">
      <c r="A1562" s="202" t="s">
        <v>3631</v>
      </c>
      <c r="B1562" s="216" t="s">
        <v>3632</v>
      </c>
      <c r="C1562" s="217" t="s">
        <v>1011</v>
      </c>
      <c r="D1562" s="53">
        <v>0</v>
      </c>
      <c r="E1562" s="121">
        <f>Saisie!D1562</f>
        <v>0</v>
      </c>
      <c r="F1562" s="51">
        <f>D1562*E1562</f>
        <v>0</v>
      </c>
    </row>
    <row r="1563" spans="1:6" ht="13.2" x14ac:dyDescent="0.25">
      <c r="A1563" s="202" t="s">
        <v>3633</v>
      </c>
      <c r="B1563" s="216" t="s">
        <v>3634</v>
      </c>
      <c r="C1563" s="217" t="s">
        <v>1011</v>
      </c>
      <c r="D1563" s="53">
        <v>0</v>
      </c>
      <c r="E1563" s="121">
        <f>Saisie!D1563</f>
        <v>0</v>
      </c>
      <c r="F1563" s="51">
        <f>D1563*E1563</f>
        <v>0</v>
      </c>
    </row>
    <row r="1564" spans="1:6" ht="13.2" x14ac:dyDescent="0.25">
      <c r="A1564" s="202" t="s">
        <v>3635</v>
      </c>
      <c r="B1564" s="216" t="s">
        <v>3636</v>
      </c>
      <c r="C1564" s="217" t="s">
        <v>1011</v>
      </c>
      <c r="D1564" s="53">
        <v>0</v>
      </c>
      <c r="E1564" s="121">
        <f>Saisie!D1564</f>
        <v>0</v>
      </c>
      <c r="F1564" s="51">
        <f>D1564*E1564</f>
        <v>0</v>
      </c>
    </row>
    <row r="1565" spans="1:6" ht="13.2" x14ac:dyDescent="0.25">
      <c r="A1565" s="202" t="s">
        <v>3637</v>
      </c>
      <c r="B1565" s="216" t="s">
        <v>3638</v>
      </c>
      <c r="C1565" s="217"/>
      <c r="D1565" s="45"/>
      <c r="E1565" s="121"/>
      <c r="F1565" s="51"/>
    </row>
    <row r="1566" spans="1:6" ht="13.2" x14ac:dyDescent="0.25">
      <c r="A1566" s="202" t="s">
        <v>3639</v>
      </c>
      <c r="B1566" s="216" t="s">
        <v>3630</v>
      </c>
      <c r="C1566" s="217" t="s">
        <v>1011</v>
      </c>
      <c r="D1566" s="53">
        <v>0</v>
      </c>
      <c r="E1566" s="121">
        <f>Saisie!D1566</f>
        <v>0</v>
      </c>
      <c r="F1566" s="51">
        <f t="shared" ref="F1566:F1578" si="105">E1566*D1566</f>
        <v>0</v>
      </c>
    </row>
    <row r="1567" spans="1:6" ht="13.2" x14ac:dyDescent="0.25">
      <c r="A1567" s="202" t="s">
        <v>3640</v>
      </c>
      <c r="B1567" s="216" t="s">
        <v>3632</v>
      </c>
      <c r="C1567" s="217" t="s">
        <v>1011</v>
      </c>
      <c r="D1567" s="53">
        <v>0</v>
      </c>
      <c r="E1567" s="121">
        <f>Saisie!D1567</f>
        <v>0</v>
      </c>
      <c r="F1567" s="51">
        <f t="shared" si="105"/>
        <v>0</v>
      </c>
    </row>
    <row r="1568" spans="1:6" ht="13.2" x14ac:dyDescent="0.25">
      <c r="A1568" s="202" t="s">
        <v>3641</v>
      </c>
      <c r="B1568" s="216" t="s">
        <v>3634</v>
      </c>
      <c r="C1568" s="217" t="s">
        <v>1011</v>
      </c>
      <c r="D1568" s="53">
        <v>0</v>
      </c>
      <c r="E1568" s="121">
        <f>Saisie!D1568</f>
        <v>0</v>
      </c>
      <c r="F1568" s="51">
        <f t="shared" si="105"/>
        <v>0</v>
      </c>
    </row>
    <row r="1569" spans="1:6" ht="13.2" x14ac:dyDescent="0.25">
      <c r="A1569" s="202" t="s">
        <v>3642</v>
      </c>
      <c r="B1569" s="216" t="s">
        <v>3636</v>
      </c>
      <c r="C1569" s="217" t="s">
        <v>1011</v>
      </c>
      <c r="D1569" s="53">
        <v>0</v>
      </c>
      <c r="E1569" s="121">
        <f>Saisie!D1569</f>
        <v>0</v>
      </c>
      <c r="F1569" s="51">
        <f t="shared" si="105"/>
        <v>0</v>
      </c>
    </row>
    <row r="1570" spans="1:6" ht="13.2" x14ac:dyDescent="0.25">
      <c r="A1570" s="202" t="s">
        <v>860</v>
      </c>
      <c r="B1570" s="216" t="s">
        <v>3643</v>
      </c>
      <c r="C1570" s="217" t="s">
        <v>1011</v>
      </c>
      <c r="D1570" s="53">
        <v>0</v>
      </c>
      <c r="E1570" s="121">
        <f>Saisie!D1570</f>
        <v>0</v>
      </c>
      <c r="F1570" s="51">
        <f t="shared" si="105"/>
        <v>0</v>
      </c>
    </row>
    <row r="1571" spans="1:6" ht="13.2" x14ac:dyDescent="0.25">
      <c r="A1571" s="202" t="s">
        <v>861</v>
      </c>
      <c r="B1571" s="216" t="s">
        <v>3644</v>
      </c>
      <c r="C1571" s="217" t="s">
        <v>1883</v>
      </c>
      <c r="D1571" s="45"/>
      <c r="E1571" s="121"/>
      <c r="F1571" s="51"/>
    </row>
    <row r="1572" spans="1:6" ht="13.2" x14ac:dyDescent="0.25">
      <c r="A1572" s="202" t="s">
        <v>3645</v>
      </c>
      <c r="B1572" s="216" t="s">
        <v>3646</v>
      </c>
      <c r="C1572" s="217" t="s">
        <v>1011</v>
      </c>
      <c r="D1572" s="53">
        <v>0</v>
      </c>
      <c r="E1572" s="121">
        <f>Saisie!D1572</f>
        <v>0</v>
      </c>
      <c r="F1572" s="51">
        <f t="shared" si="105"/>
        <v>0</v>
      </c>
    </row>
    <row r="1573" spans="1:6" ht="13.2" x14ac:dyDescent="0.25">
      <c r="A1573" s="202" t="s">
        <v>3647</v>
      </c>
      <c r="B1573" s="216" t="s">
        <v>3648</v>
      </c>
      <c r="C1573" s="217" t="s">
        <v>1011</v>
      </c>
      <c r="D1573" s="53">
        <v>0</v>
      </c>
      <c r="E1573" s="121">
        <f>Saisie!D1573</f>
        <v>0</v>
      </c>
      <c r="F1573" s="51">
        <f t="shared" si="105"/>
        <v>0</v>
      </c>
    </row>
    <row r="1574" spans="1:6" ht="13.2" x14ac:dyDescent="0.25">
      <c r="A1574" s="202" t="s">
        <v>3649</v>
      </c>
      <c r="B1574" s="216" t="s">
        <v>3650</v>
      </c>
      <c r="C1574" s="217" t="s">
        <v>1011</v>
      </c>
      <c r="D1574" s="53">
        <v>0</v>
      </c>
      <c r="E1574" s="121">
        <f>Saisie!D1574</f>
        <v>0</v>
      </c>
      <c r="F1574" s="51">
        <f t="shared" si="105"/>
        <v>0</v>
      </c>
    </row>
    <row r="1575" spans="1:6" ht="13.2" x14ac:dyDescent="0.25">
      <c r="A1575" s="202" t="s">
        <v>3651</v>
      </c>
      <c r="B1575" s="216" t="s">
        <v>3652</v>
      </c>
      <c r="C1575" s="217" t="s">
        <v>1011</v>
      </c>
      <c r="D1575" s="53">
        <v>0</v>
      </c>
      <c r="E1575" s="121">
        <f>Saisie!D1575</f>
        <v>0</v>
      </c>
      <c r="F1575" s="51">
        <f t="shared" si="105"/>
        <v>0</v>
      </c>
    </row>
    <row r="1576" spans="1:6" ht="13.2" x14ac:dyDescent="0.25">
      <c r="A1576" s="202" t="s">
        <v>3653</v>
      </c>
      <c r="B1576" s="216" t="s">
        <v>3654</v>
      </c>
      <c r="C1576" s="217" t="s">
        <v>1011</v>
      </c>
      <c r="D1576" s="53">
        <v>0</v>
      </c>
      <c r="E1576" s="121">
        <f>Saisie!D1576</f>
        <v>0</v>
      </c>
      <c r="F1576" s="51">
        <f t="shared" si="105"/>
        <v>0</v>
      </c>
    </row>
    <row r="1577" spans="1:6" ht="13.2" x14ac:dyDescent="0.25">
      <c r="A1577" s="202" t="s">
        <v>3655</v>
      </c>
      <c r="B1577" s="216" t="s">
        <v>3656</v>
      </c>
      <c r="C1577" s="217" t="s">
        <v>1011</v>
      </c>
      <c r="D1577" s="53">
        <v>0</v>
      </c>
      <c r="E1577" s="121">
        <f>Saisie!D1577</f>
        <v>0</v>
      </c>
      <c r="F1577" s="51">
        <f t="shared" si="105"/>
        <v>0</v>
      </c>
    </row>
    <row r="1578" spans="1:6" ht="13.2" x14ac:dyDescent="0.25">
      <c r="A1578" s="202" t="s">
        <v>3657</v>
      </c>
      <c r="B1578" s="216" t="s">
        <v>3658</v>
      </c>
      <c r="C1578" s="217" t="s">
        <v>1011</v>
      </c>
      <c r="D1578" s="53">
        <v>0</v>
      </c>
      <c r="E1578" s="121">
        <f>Saisie!D1578</f>
        <v>0</v>
      </c>
      <c r="F1578" s="51">
        <f t="shared" si="105"/>
        <v>0</v>
      </c>
    </row>
    <row r="1579" spans="1:6" ht="13.2" x14ac:dyDescent="0.25">
      <c r="A1579" s="202" t="s">
        <v>862</v>
      </c>
      <c r="B1579" s="216" t="s">
        <v>3659</v>
      </c>
      <c r="C1579" s="217" t="s">
        <v>1883</v>
      </c>
      <c r="D1579" s="45"/>
      <c r="E1579" s="121"/>
      <c r="F1579" s="51"/>
    </row>
    <row r="1580" spans="1:6" ht="13.2" x14ac:dyDescent="0.25">
      <c r="A1580" s="202" t="s">
        <v>3660</v>
      </c>
      <c r="B1580" s="216" t="s">
        <v>3661</v>
      </c>
      <c r="C1580" s="217" t="s">
        <v>1034</v>
      </c>
      <c r="D1580" s="53">
        <v>0</v>
      </c>
      <c r="E1580" s="121">
        <f>Saisie!D1580</f>
        <v>0</v>
      </c>
      <c r="F1580" s="51">
        <f t="shared" ref="F1580:F1586" si="106">E1580*D1580</f>
        <v>0</v>
      </c>
    </row>
    <row r="1581" spans="1:6" ht="13.2" x14ac:dyDescent="0.25">
      <c r="A1581" s="202" t="s">
        <v>3662</v>
      </c>
      <c r="B1581" s="216" t="s">
        <v>3663</v>
      </c>
      <c r="C1581" s="217" t="s">
        <v>1034</v>
      </c>
      <c r="D1581" s="53">
        <v>0</v>
      </c>
      <c r="E1581" s="121">
        <f>Saisie!D1581</f>
        <v>0</v>
      </c>
      <c r="F1581" s="51">
        <f t="shared" si="106"/>
        <v>0</v>
      </c>
    </row>
    <row r="1582" spans="1:6" ht="13.2" x14ac:dyDescent="0.25">
      <c r="A1582" s="202" t="s">
        <v>3664</v>
      </c>
      <c r="B1582" s="216" t="s">
        <v>3665</v>
      </c>
      <c r="C1582" s="217" t="s">
        <v>1034</v>
      </c>
      <c r="D1582" s="53">
        <v>0</v>
      </c>
      <c r="E1582" s="121">
        <f>Saisie!D1582</f>
        <v>0</v>
      </c>
      <c r="F1582" s="51">
        <f t="shared" si="106"/>
        <v>0</v>
      </c>
    </row>
    <row r="1583" spans="1:6" ht="13.8" x14ac:dyDescent="0.25">
      <c r="A1583" s="202" t="s">
        <v>3666</v>
      </c>
      <c r="B1583" s="216" t="s">
        <v>3667</v>
      </c>
      <c r="C1583" s="217" t="s">
        <v>1011</v>
      </c>
      <c r="D1583" s="53">
        <v>0</v>
      </c>
      <c r="E1583" s="121">
        <f>Saisie!D1583</f>
        <v>0</v>
      </c>
      <c r="F1583" s="51">
        <f t="shared" si="106"/>
        <v>0</v>
      </c>
    </row>
    <row r="1584" spans="1:6" ht="13.8" x14ac:dyDescent="0.25">
      <c r="A1584" s="202" t="s">
        <v>3668</v>
      </c>
      <c r="B1584" s="216" t="s">
        <v>3669</v>
      </c>
      <c r="C1584" s="217" t="s">
        <v>1011</v>
      </c>
      <c r="D1584" s="53">
        <v>0</v>
      </c>
      <c r="E1584" s="121">
        <f>Saisie!D1584</f>
        <v>0</v>
      </c>
      <c r="F1584" s="51">
        <f t="shared" si="106"/>
        <v>0</v>
      </c>
    </row>
    <row r="1585" spans="1:6" ht="13.8" x14ac:dyDescent="0.25">
      <c r="A1585" s="202" t="s">
        <v>3670</v>
      </c>
      <c r="B1585" s="216" t="s">
        <v>3671</v>
      </c>
      <c r="C1585" s="217" t="s">
        <v>1011</v>
      </c>
      <c r="D1585" s="53">
        <v>0</v>
      </c>
      <c r="E1585" s="121">
        <f>Saisie!D1585</f>
        <v>0</v>
      </c>
      <c r="F1585" s="51">
        <f t="shared" si="106"/>
        <v>0</v>
      </c>
    </row>
    <row r="1586" spans="1:6" ht="13.8" x14ac:dyDescent="0.25">
      <c r="A1586" s="202" t="s">
        <v>3672</v>
      </c>
      <c r="B1586" s="216" t="s">
        <v>3673</v>
      </c>
      <c r="C1586" s="217" t="s">
        <v>1011</v>
      </c>
      <c r="D1586" s="53">
        <v>0</v>
      </c>
      <c r="E1586" s="121">
        <f>Saisie!D1586</f>
        <v>0</v>
      </c>
      <c r="F1586" s="51">
        <f t="shared" si="106"/>
        <v>0</v>
      </c>
    </row>
    <row r="1587" spans="1:6" ht="13.2" x14ac:dyDescent="0.25">
      <c r="A1587" s="202" t="s">
        <v>863</v>
      </c>
      <c r="B1587" s="192" t="s">
        <v>3674</v>
      </c>
      <c r="C1587" s="217"/>
      <c r="D1587" s="45"/>
      <c r="E1587" s="121"/>
      <c r="F1587" s="51"/>
    </row>
    <row r="1588" spans="1:6" ht="13.2" x14ac:dyDescent="0.25">
      <c r="A1588" s="202" t="s">
        <v>3675</v>
      </c>
      <c r="B1588" s="192" t="s">
        <v>3676</v>
      </c>
      <c r="C1588" s="217" t="s">
        <v>1034</v>
      </c>
      <c r="D1588" s="53">
        <v>0</v>
      </c>
      <c r="E1588" s="121">
        <f>Saisie!D1588</f>
        <v>0</v>
      </c>
      <c r="F1588" s="51">
        <f t="shared" ref="F1588:F1600" si="107">E1588*D1588</f>
        <v>0</v>
      </c>
    </row>
    <row r="1589" spans="1:6" ht="13.2" x14ac:dyDescent="0.25">
      <c r="A1589" s="202" t="s">
        <v>3677</v>
      </c>
      <c r="B1589" s="216" t="s">
        <v>3678</v>
      </c>
      <c r="C1589" s="217" t="s">
        <v>1011</v>
      </c>
      <c r="D1589" s="53">
        <v>0</v>
      </c>
      <c r="E1589" s="121">
        <f>Saisie!D1589</f>
        <v>0</v>
      </c>
      <c r="F1589" s="51">
        <f t="shared" si="107"/>
        <v>0</v>
      </c>
    </row>
    <row r="1590" spans="1:6" ht="13.2" x14ac:dyDescent="0.25">
      <c r="A1590" s="202" t="s">
        <v>3679</v>
      </c>
      <c r="B1590" s="216" t="s">
        <v>3680</v>
      </c>
      <c r="C1590" s="217" t="s">
        <v>1011</v>
      </c>
      <c r="D1590" s="53">
        <v>0</v>
      </c>
      <c r="E1590" s="121">
        <f>Saisie!D1590</f>
        <v>0</v>
      </c>
      <c r="F1590" s="51">
        <f t="shared" si="107"/>
        <v>0</v>
      </c>
    </row>
    <row r="1591" spans="1:6" ht="13.2" x14ac:dyDescent="0.25">
      <c r="A1591" s="202" t="s">
        <v>3681</v>
      </c>
      <c r="B1591" s="216" t="s">
        <v>3682</v>
      </c>
      <c r="C1591" s="217" t="s">
        <v>1034</v>
      </c>
      <c r="D1591" s="53">
        <v>0</v>
      </c>
      <c r="E1591" s="121">
        <f>Saisie!D1591</f>
        <v>0</v>
      </c>
      <c r="F1591" s="51">
        <f t="shared" ref="F1591" si="108">E1591*D1591</f>
        <v>0</v>
      </c>
    </row>
    <row r="1592" spans="1:6" ht="13.2" x14ac:dyDescent="0.25">
      <c r="A1592" s="202" t="s">
        <v>3683</v>
      </c>
      <c r="B1592" s="216" t="s">
        <v>3684</v>
      </c>
      <c r="C1592" s="217" t="s">
        <v>1034</v>
      </c>
      <c r="D1592" s="53">
        <v>0</v>
      </c>
      <c r="E1592" s="121">
        <f>Saisie!D1592</f>
        <v>0</v>
      </c>
      <c r="F1592" s="51">
        <f t="shared" si="107"/>
        <v>0</v>
      </c>
    </row>
    <row r="1593" spans="1:6" ht="13.2" x14ac:dyDescent="0.25">
      <c r="A1593" s="202" t="s">
        <v>3685</v>
      </c>
      <c r="B1593" s="216" t="s">
        <v>3686</v>
      </c>
      <c r="C1593" s="217" t="s">
        <v>1034</v>
      </c>
      <c r="D1593" s="53">
        <v>0</v>
      </c>
      <c r="E1593" s="121">
        <f>Saisie!D1593</f>
        <v>0</v>
      </c>
      <c r="F1593" s="51">
        <f t="shared" si="107"/>
        <v>0</v>
      </c>
    </row>
    <row r="1594" spans="1:6" ht="13.2" x14ac:dyDescent="0.25">
      <c r="A1594" s="202" t="s">
        <v>3687</v>
      </c>
      <c r="B1594" s="216" t="s">
        <v>3688</v>
      </c>
      <c r="C1594" s="217" t="s">
        <v>1034</v>
      </c>
      <c r="D1594" s="53">
        <v>0</v>
      </c>
      <c r="E1594" s="121">
        <f>Saisie!D1594</f>
        <v>0</v>
      </c>
      <c r="F1594" s="51">
        <f t="shared" si="107"/>
        <v>0</v>
      </c>
    </row>
    <row r="1595" spans="1:6" ht="26.4" x14ac:dyDescent="0.25">
      <c r="A1595" s="202" t="s">
        <v>3689</v>
      </c>
      <c r="B1595" s="216" t="s">
        <v>3690</v>
      </c>
      <c r="C1595" s="217" t="s">
        <v>1011</v>
      </c>
      <c r="D1595" s="53">
        <v>0</v>
      </c>
      <c r="E1595" s="121">
        <f>Saisie!D1595</f>
        <v>0</v>
      </c>
      <c r="F1595" s="51">
        <f t="shared" si="107"/>
        <v>0</v>
      </c>
    </row>
    <row r="1596" spans="1:6" ht="13.2" x14ac:dyDescent="0.25">
      <c r="A1596" s="202" t="s">
        <v>3691</v>
      </c>
      <c r="B1596" s="216" t="s">
        <v>3692</v>
      </c>
      <c r="C1596" s="217" t="s">
        <v>1011</v>
      </c>
      <c r="D1596" s="53">
        <v>0</v>
      </c>
      <c r="E1596" s="121">
        <f>Saisie!D1596</f>
        <v>0</v>
      </c>
      <c r="F1596" s="51">
        <f t="shared" si="107"/>
        <v>0</v>
      </c>
    </row>
    <row r="1597" spans="1:6" ht="13.2" x14ac:dyDescent="0.25">
      <c r="A1597" s="202" t="s">
        <v>864</v>
      </c>
      <c r="B1597" s="192" t="s">
        <v>3693</v>
      </c>
      <c r="C1597" s="217"/>
      <c r="D1597" s="45"/>
      <c r="E1597" s="121"/>
      <c r="F1597" s="51"/>
    </row>
    <row r="1598" spans="1:6" ht="13.2" x14ac:dyDescent="0.25">
      <c r="A1598" s="202" t="s">
        <v>3694</v>
      </c>
      <c r="B1598" s="216" t="s">
        <v>3695</v>
      </c>
      <c r="C1598" s="217" t="s">
        <v>1011</v>
      </c>
      <c r="D1598" s="53">
        <v>32</v>
      </c>
      <c r="E1598" s="121">
        <f>Saisie!D1598</f>
        <v>0</v>
      </c>
      <c r="F1598" s="51">
        <f t="shared" si="107"/>
        <v>0</v>
      </c>
    </row>
    <row r="1599" spans="1:6" ht="13.2" x14ac:dyDescent="0.25">
      <c r="A1599" s="202" t="s">
        <v>3696</v>
      </c>
      <c r="B1599" s="216" t="s">
        <v>3697</v>
      </c>
      <c r="C1599" s="217" t="s">
        <v>1034</v>
      </c>
      <c r="D1599" s="53">
        <v>0</v>
      </c>
      <c r="E1599" s="121">
        <f>Saisie!D1599</f>
        <v>0</v>
      </c>
      <c r="F1599" s="51">
        <f t="shared" si="107"/>
        <v>0</v>
      </c>
    </row>
    <row r="1600" spans="1:6" ht="13.2" x14ac:dyDescent="0.25">
      <c r="A1600" s="202" t="s">
        <v>3698</v>
      </c>
      <c r="B1600" s="216" t="s">
        <v>3699</v>
      </c>
      <c r="C1600" s="217" t="s">
        <v>1011</v>
      </c>
      <c r="D1600" s="53">
        <v>5</v>
      </c>
      <c r="E1600" s="121">
        <f>Saisie!D1600</f>
        <v>0</v>
      </c>
      <c r="F1600" s="51">
        <f t="shared" si="107"/>
        <v>0</v>
      </c>
    </row>
    <row r="1601" spans="1:6" ht="13.2" x14ac:dyDescent="0.25">
      <c r="A1601" s="202" t="s">
        <v>3700</v>
      </c>
      <c r="B1601" s="216" t="s">
        <v>3701</v>
      </c>
      <c r="C1601" s="217" t="s">
        <v>2109</v>
      </c>
      <c r="D1601" s="53">
        <v>0</v>
      </c>
      <c r="E1601" s="121">
        <f>Saisie!D1601</f>
        <v>0</v>
      </c>
      <c r="F1601" s="51">
        <f>E1601*D1601</f>
        <v>0</v>
      </c>
    </row>
    <row r="1602" spans="1:6" ht="13.2" x14ac:dyDescent="0.25">
      <c r="A1602" s="202"/>
      <c r="B1602" s="216"/>
      <c r="C1602" s="217"/>
      <c r="D1602" s="217"/>
      <c r="E1602" s="217"/>
      <c r="F1602" s="190"/>
    </row>
    <row r="1603" spans="1:6" ht="13.2" x14ac:dyDescent="0.25">
      <c r="A1603" s="202"/>
      <c r="B1603" s="122" t="s">
        <v>3702</v>
      </c>
      <c r="C1603" s="217"/>
      <c r="D1603" s="217"/>
      <c r="E1603" s="217"/>
      <c r="F1603" s="189">
        <f>SUM(F1517:F1602)</f>
        <v>0</v>
      </c>
    </row>
    <row r="1604" spans="1:6" ht="13.2" x14ac:dyDescent="0.25">
      <c r="A1604" s="202"/>
      <c r="B1604" s="216"/>
      <c r="C1604" s="217"/>
      <c r="D1604" s="217"/>
      <c r="E1604" s="217"/>
      <c r="F1604" s="190"/>
    </row>
    <row r="1605" spans="1:6" ht="13.2" x14ac:dyDescent="0.25">
      <c r="A1605" s="29">
        <v>14</v>
      </c>
      <c r="B1605" s="30" t="s">
        <v>3703</v>
      </c>
      <c r="C1605" s="224"/>
      <c r="D1605" s="224"/>
      <c r="E1605" s="224"/>
      <c r="F1605" s="191"/>
    </row>
    <row r="1606" spans="1:6" ht="13.2" x14ac:dyDescent="0.25">
      <c r="A1606" s="28" t="s">
        <v>3704</v>
      </c>
      <c r="B1606" s="6" t="s">
        <v>3705</v>
      </c>
      <c r="C1606" s="217"/>
      <c r="D1606" s="217"/>
      <c r="E1606" s="217"/>
      <c r="F1606" s="190"/>
    </row>
    <row r="1607" spans="1:6" ht="13.2" x14ac:dyDescent="0.25">
      <c r="A1607" s="235" t="s">
        <v>3706</v>
      </c>
      <c r="B1607" s="223" t="s">
        <v>3707</v>
      </c>
      <c r="C1607" s="217"/>
      <c r="D1607" s="217"/>
      <c r="E1607" s="217"/>
      <c r="F1607" s="190"/>
    </row>
    <row r="1608" spans="1:6" ht="13.2" x14ac:dyDescent="0.25">
      <c r="A1608" s="235" t="s">
        <v>3708</v>
      </c>
      <c r="B1608" s="223" t="s">
        <v>3709</v>
      </c>
      <c r="C1608" s="217" t="s">
        <v>1011</v>
      </c>
      <c r="D1608" s="53">
        <v>0</v>
      </c>
      <c r="E1608" s="121">
        <f>Saisie!D1608</f>
        <v>0</v>
      </c>
      <c r="F1608" s="51">
        <f>E1608*D1608</f>
        <v>0</v>
      </c>
    </row>
    <row r="1609" spans="1:6" ht="13.2" x14ac:dyDescent="0.25">
      <c r="A1609" s="235" t="s">
        <v>3710</v>
      </c>
      <c r="B1609" s="223" t="s">
        <v>3711</v>
      </c>
      <c r="C1609" s="217" t="s">
        <v>1034</v>
      </c>
      <c r="D1609" s="53">
        <v>0</v>
      </c>
      <c r="E1609" s="121">
        <f>Saisie!D1609</f>
        <v>0</v>
      </c>
      <c r="F1609" s="51">
        <f t="shared" ref="F1609:F1671" si="109">E1609*D1609</f>
        <v>0</v>
      </c>
    </row>
    <row r="1610" spans="1:6" ht="13.2" x14ac:dyDescent="0.25">
      <c r="A1610" s="235" t="s">
        <v>3712</v>
      </c>
      <c r="B1610" s="223" t="s">
        <v>3713</v>
      </c>
      <c r="C1610" s="217" t="s">
        <v>1011</v>
      </c>
      <c r="D1610" s="53">
        <v>0</v>
      </c>
      <c r="E1610" s="121">
        <f>Saisie!D1610</f>
        <v>0</v>
      </c>
      <c r="F1610" s="51">
        <f t="shared" si="109"/>
        <v>0</v>
      </c>
    </row>
    <row r="1611" spans="1:6" ht="13.2" x14ac:dyDescent="0.25">
      <c r="A1611" s="235" t="s">
        <v>3714</v>
      </c>
      <c r="B1611" s="223" t="s">
        <v>3715</v>
      </c>
      <c r="C1611" s="217"/>
      <c r="D1611" s="45"/>
      <c r="E1611" s="121"/>
      <c r="F1611" s="51"/>
    </row>
    <row r="1612" spans="1:6" ht="13.2" x14ac:dyDescent="0.25">
      <c r="A1612" s="235" t="s">
        <v>3716</v>
      </c>
      <c r="B1612" s="223" t="s">
        <v>3709</v>
      </c>
      <c r="C1612" s="217" t="s">
        <v>1011</v>
      </c>
      <c r="D1612" s="53">
        <v>0</v>
      </c>
      <c r="E1612" s="121">
        <f>Saisie!D1612</f>
        <v>0</v>
      </c>
      <c r="F1612" s="51">
        <f t="shared" si="109"/>
        <v>0</v>
      </c>
    </row>
    <row r="1613" spans="1:6" ht="13.2" x14ac:dyDescent="0.25">
      <c r="A1613" s="235" t="s">
        <v>3717</v>
      </c>
      <c r="B1613" s="223" t="s">
        <v>3711</v>
      </c>
      <c r="C1613" s="217" t="s">
        <v>1034</v>
      </c>
      <c r="D1613" s="53">
        <v>0</v>
      </c>
      <c r="E1613" s="121">
        <f>Saisie!D1613</f>
        <v>0</v>
      </c>
      <c r="F1613" s="51">
        <f t="shared" si="109"/>
        <v>0</v>
      </c>
    </row>
    <row r="1614" spans="1:6" ht="13.2" x14ac:dyDescent="0.25">
      <c r="A1614" s="235" t="s">
        <v>3718</v>
      </c>
      <c r="B1614" s="223" t="s">
        <v>3713</v>
      </c>
      <c r="C1614" s="217" t="s">
        <v>1011</v>
      </c>
      <c r="D1614" s="53">
        <v>0</v>
      </c>
      <c r="E1614" s="121">
        <f>Saisie!D1614</f>
        <v>0</v>
      </c>
      <c r="F1614" s="51">
        <f t="shared" si="109"/>
        <v>0</v>
      </c>
    </row>
    <row r="1615" spans="1:6" ht="13.2" x14ac:dyDescent="0.25">
      <c r="A1615" s="235" t="s">
        <v>3719</v>
      </c>
      <c r="B1615" s="223" t="s">
        <v>3720</v>
      </c>
      <c r="C1615" s="217"/>
      <c r="D1615" s="217"/>
      <c r="E1615" s="121"/>
      <c r="F1615" s="51"/>
    </row>
    <row r="1616" spans="1:6" ht="13.2" x14ac:dyDescent="0.25">
      <c r="A1616" s="235" t="s">
        <v>3721</v>
      </c>
      <c r="B1616" s="223" t="s">
        <v>3709</v>
      </c>
      <c r="C1616" s="217" t="s">
        <v>1011</v>
      </c>
      <c r="D1616" s="53">
        <v>0</v>
      </c>
      <c r="E1616" s="121">
        <f>Saisie!D1616</f>
        <v>0</v>
      </c>
      <c r="F1616" s="51">
        <f t="shared" si="109"/>
        <v>0</v>
      </c>
    </row>
    <row r="1617" spans="1:6" ht="13.2" x14ac:dyDescent="0.25">
      <c r="A1617" s="235" t="s">
        <v>3722</v>
      </c>
      <c r="B1617" s="223" t="s">
        <v>3711</v>
      </c>
      <c r="C1617" s="217" t="s">
        <v>1034</v>
      </c>
      <c r="D1617" s="53">
        <v>0</v>
      </c>
      <c r="E1617" s="121">
        <f>Saisie!D1617</f>
        <v>0</v>
      </c>
      <c r="F1617" s="51">
        <f t="shared" si="109"/>
        <v>0</v>
      </c>
    </row>
    <row r="1618" spans="1:6" ht="13.2" x14ac:dyDescent="0.25">
      <c r="A1618" s="235" t="s">
        <v>3723</v>
      </c>
      <c r="B1618" s="223" t="s">
        <v>3713</v>
      </c>
      <c r="C1618" s="217" t="s">
        <v>1011</v>
      </c>
      <c r="D1618" s="53">
        <v>0</v>
      </c>
      <c r="E1618" s="121">
        <f>Saisie!D1618</f>
        <v>0</v>
      </c>
      <c r="F1618" s="51">
        <f t="shared" si="109"/>
        <v>0</v>
      </c>
    </row>
    <row r="1619" spans="1:6" ht="13.2" x14ac:dyDescent="0.25">
      <c r="A1619" s="235" t="s">
        <v>3724</v>
      </c>
      <c r="B1619" s="223" t="s">
        <v>3725</v>
      </c>
      <c r="C1619" s="217"/>
      <c r="D1619" s="217"/>
      <c r="E1619" s="121"/>
      <c r="F1619" s="51"/>
    </row>
    <row r="1620" spans="1:6" ht="13.2" x14ac:dyDescent="0.25">
      <c r="A1620" s="235" t="s">
        <v>3726</v>
      </c>
      <c r="B1620" s="223" t="s">
        <v>3709</v>
      </c>
      <c r="C1620" s="217" t="s">
        <v>1011</v>
      </c>
      <c r="D1620" s="53">
        <v>0</v>
      </c>
      <c r="E1620" s="121">
        <f>Saisie!D1620</f>
        <v>0</v>
      </c>
      <c r="F1620" s="51">
        <f t="shared" si="109"/>
        <v>0</v>
      </c>
    </row>
    <row r="1621" spans="1:6" ht="13.2" x14ac:dyDescent="0.25">
      <c r="A1621" s="235" t="s">
        <v>3727</v>
      </c>
      <c r="B1621" s="223" t="s">
        <v>3711</v>
      </c>
      <c r="C1621" s="217" t="s">
        <v>1034</v>
      </c>
      <c r="D1621" s="53">
        <v>0</v>
      </c>
      <c r="E1621" s="121">
        <f>Saisie!D1621</f>
        <v>0</v>
      </c>
      <c r="F1621" s="51">
        <f t="shared" si="109"/>
        <v>0</v>
      </c>
    </row>
    <row r="1622" spans="1:6" ht="13.2" x14ac:dyDescent="0.25">
      <c r="A1622" s="235" t="s">
        <v>3728</v>
      </c>
      <c r="B1622" s="223" t="s">
        <v>3713</v>
      </c>
      <c r="C1622" s="217" t="s">
        <v>1011</v>
      </c>
      <c r="D1622" s="53">
        <v>0</v>
      </c>
      <c r="E1622" s="121">
        <f>Saisie!D1622</f>
        <v>0</v>
      </c>
      <c r="F1622" s="51">
        <f t="shared" si="109"/>
        <v>0</v>
      </c>
    </row>
    <row r="1623" spans="1:6" ht="13.2" x14ac:dyDescent="0.25">
      <c r="A1623" s="235" t="s">
        <v>3729</v>
      </c>
      <c r="B1623" s="223" t="s">
        <v>3730</v>
      </c>
      <c r="C1623" s="217"/>
      <c r="D1623" s="45"/>
      <c r="E1623" s="121"/>
      <c r="F1623" s="51"/>
    </row>
    <row r="1624" spans="1:6" ht="13.2" x14ac:dyDescent="0.25">
      <c r="A1624" s="235" t="s">
        <v>3731</v>
      </c>
      <c r="B1624" s="223" t="s">
        <v>3709</v>
      </c>
      <c r="C1624" s="217" t="s">
        <v>1011</v>
      </c>
      <c r="D1624" s="53">
        <v>0</v>
      </c>
      <c r="E1624" s="121">
        <f>Saisie!D1624</f>
        <v>0</v>
      </c>
      <c r="F1624" s="51">
        <f t="shared" si="109"/>
        <v>0</v>
      </c>
    </row>
    <row r="1625" spans="1:6" ht="13.2" x14ac:dyDescent="0.25">
      <c r="A1625" s="235" t="s">
        <v>3732</v>
      </c>
      <c r="B1625" s="223" t="s">
        <v>3711</v>
      </c>
      <c r="C1625" s="217" t="s">
        <v>1034</v>
      </c>
      <c r="D1625" s="53">
        <v>0</v>
      </c>
      <c r="E1625" s="121">
        <f>Saisie!D1625</f>
        <v>0</v>
      </c>
      <c r="F1625" s="51">
        <f t="shared" si="109"/>
        <v>0</v>
      </c>
    </row>
    <row r="1626" spans="1:6" ht="13.2" x14ac:dyDescent="0.25">
      <c r="A1626" s="235" t="s">
        <v>3733</v>
      </c>
      <c r="B1626" s="223" t="s">
        <v>3713</v>
      </c>
      <c r="C1626" s="217" t="s">
        <v>1011</v>
      </c>
      <c r="D1626" s="53">
        <v>0</v>
      </c>
      <c r="E1626" s="121">
        <f>Saisie!D1626</f>
        <v>0</v>
      </c>
      <c r="F1626" s="51">
        <f t="shared" si="109"/>
        <v>0</v>
      </c>
    </row>
    <row r="1627" spans="1:6" ht="13.2" x14ac:dyDescent="0.25">
      <c r="A1627" s="235" t="s">
        <v>3734</v>
      </c>
      <c r="B1627" s="223" t="s">
        <v>3735</v>
      </c>
      <c r="C1627" s="217"/>
      <c r="D1627" s="45"/>
      <c r="E1627" s="121"/>
      <c r="F1627" s="51"/>
    </row>
    <row r="1628" spans="1:6" ht="13.2" x14ac:dyDescent="0.25">
      <c r="A1628" s="235" t="s">
        <v>3736</v>
      </c>
      <c r="B1628" s="223" t="s">
        <v>3709</v>
      </c>
      <c r="C1628" s="217" t="s">
        <v>1011</v>
      </c>
      <c r="D1628" s="53">
        <v>0</v>
      </c>
      <c r="E1628" s="121">
        <f>Saisie!D1628</f>
        <v>0</v>
      </c>
      <c r="F1628" s="51">
        <f t="shared" si="109"/>
        <v>0</v>
      </c>
    </row>
    <row r="1629" spans="1:6" ht="13.2" x14ac:dyDescent="0.25">
      <c r="A1629" s="235" t="s">
        <v>3737</v>
      </c>
      <c r="B1629" s="223" t="s">
        <v>3711</v>
      </c>
      <c r="C1629" s="217" t="s">
        <v>1034</v>
      </c>
      <c r="D1629" s="53">
        <v>0</v>
      </c>
      <c r="E1629" s="121">
        <f>Saisie!D1629</f>
        <v>0</v>
      </c>
      <c r="F1629" s="51">
        <f t="shared" si="109"/>
        <v>0</v>
      </c>
    </row>
    <row r="1630" spans="1:6" ht="13.2" x14ac:dyDescent="0.25">
      <c r="A1630" s="235" t="s">
        <v>3738</v>
      </c>
      <c r="B1630" s="223" t="s">
        <v>3713</v>
      </c>
      <c r="C1630" s="217" t="s">
        <v>1011</v>
      </c>
      <c r="D1630" s="53">
        <v>0</v>
      </c>
      <c r="E1630" s="121">
        <f>Saisie!D1630</f>
        <v>0</v>
      </c>
      <c r="F1630" s="51">
        <f t="shared" si="109"/>
        <v>0</v>
      </c>
    </row>
    <row r="1631" spans="1:6" ht="13.2" x14ac:dyDescent="0.25">
      <c r="A1631" s="28" t="s">
        <v>3739</v>
      </c>
      <c r="B1631" s="6" t="s">
        <v>3740</v>
      </c>
      <c r="C1631" s="217"/>
      <c r="D1631" s="45"/>
      <c r="E1631" s="121"/>
      <c r="F1631" s="51"/>
    </row>
    <row r="1632" spans="1:6" ht="13.2" x14ac:dyDescent="0.25">
      <c r="A1632" s="235" t="s">
        <v>3741</v>
      </c>
      <c r="B1632" s="223" t="s">
        <v>3742</v>
      </c>
      <c r="C1632" s="217"/>
      <c r="D1632" s="45"/>
      <c r="E1632" s="121"/>
      <c r="F1632" s="51"/>
    </row>
    <row r="1633" spans="1:6" ht="13.2" x14ac:dyDescent="0.25">
      <c r="A1633" s="235" t="s">
        <v>3743</v>
      </c>
      <c r="B1633" s="223" t="s">
        <v>3709</v>
      </c>
      <c r="C1633" s="217" t="s">
        <v>1011</v>
      </c>
      <c r="D1633" s="53">
        <v>0</v>
      </c>
      <c r="E1633" s="121">
        <f>Saisie!D1633</f>
        <v>0</v>
      </c>
      <c r="F1633" s="51">
        <f t="shared" si="109"/>
        <v>0</v>
      </c>
    </row>
    <row r="1634" spans="1:6" ht="13.2" x14ac:dyDescent="0.25">
      <c r="A1634" s="235" t="s">
        <v>3744</v>
      </c>
      <c r="B1634" s="223" t="s">
        <v>3711</v>
      </c>
      <c r="C1634" s="217" t="s">
        <v>1034</v>
      </c>
      <c r="D1634" s="53">
        <v>0</v>
      </c>
      <c r="E1634" s="121">
        <f>Saisie!D1634</f>
        <v>0</v>
      </c>
      <c r="F1634" s="51">
        <f t="shared" si="109"/>
        <v>0</v>
      </c>
    </row>
    <row r="1635" spans="1:6" ht="13.2" x14ac:dyDescent="0.25">
      <c r="A1635" s="235" t="s">
        <v>3745</v>
      </c>
      <c r="B1635" s="223" t="s">
        <v>3713</v>
      </c>
      <c r="C1635" s="217" t="s">
        <v>1011</v>
      </c>
      <c r="D1635" s="53">
        <v>0</v>
      </c>
      <c r="E1635" s="121">
        <f>Saisie!D1635</f>
        <v>0</v>
      </c>
      <c r="F1635" s="51">
        <f t="shared" si="109"/>
        <v>0</v>
      </c>
    </row>
    <row r="1636" spans="1:6" ht="13.2" x14ac:dyDescent="0.25">
      <c r="A1636" s="235" t="s">
        <v>3746</v>
      </c>
      <c r="B1636" s="223" t="s">
        <v>3747</v>
      </c>
      <c r="C1636" s="217"/>
      <c r="D1636" s="45"/>
      <c r="E1636" s="121"/>
      <c r="F1636" s="51"/>
    </row>
    <row r="1637" spans="1:6" ht="13.2" x14ac:dyDescent="0.25">
      <c r="A1637" s="235" t="s">
        <v>3748</v>
      </c>
      <c r="B1637" s="223" t="s">
        <v>3709</v>
      </c>
      <c r="C1637" s="217" t="s">
        <v>1011</v>
      </c>
      <c r="D1637" s="53">
        <v>0</v>
      </c>
      <c r="E1637" s="121">
        <f>Saisie!D1637</f>
        <v>0</v>
      </c>
      <c r="F1637" s="51">
        <f t="shared" si="109"/>
        <v>0</v>
      </c>
    </row>
    <row r="1638" spans="1:6" ht="13.2" x14ac:dyDescent="0.25">
      <c r="A1638" s="235" t="s">
        <v>3749</v>
      </c>
      <c r="B1638" s="223" t="s">
        <v>3711</v>
      </c>
      <c r="C1638" s="217" t="s">
        <v>1034</v>
      </c>
      <c r="D1638" s="53">
        <v>0</v>
      </c>
      <c r="E1638" s="121">
        <f>Saisie!D1638</f>
        <v>0</v>
      </c>
      <c r="F1638" s="51">
        <f t="shared" si="109"/>
        <v>0</v>
      </c>
    </row>
    <row r="1639" spans="1:6" ht="13.2" x14ac:dyDescent="0.25">
      <c r="A1639" s="235" t="s">
        <v>3750</v>
      </c>
      <c r="B1639" s="223" t="s">
        <v>3713</v>
      </c>
      <c r="C1639" s="217" t="s">
        <v>1011</v>
      </c>
      <c r="D1639" s="53">
        <v>0</v>
      </c>
      <c r="E1639" s="121">
        <f>Saisie!D1639</f>
        <v>0</v>
      </c>
      <c r="F1639" s="51">
        <f t="shared" si="109"/>
        <v>0</v>
      </c>
    </row>
    <row r="1640" spans="1:6" ht="13.2" x14ac:dyDescent="0.25">
      <c r="A1640" s="235" t="s">
        <v>3751</v>
      </c>
      <c r="B1640" s="223" t="s">
        <v>3752</v>
      </c>
      <c r="C1640" s="217"/>
      <c r="D1640" s="45"/>
      <c r="E1640" s="121"/>
      <c r="F1640" s="51"/>
    </row>
    <row r="1641" spans="1:6" ht="13.2" x14ac:dyDescent="0.25">
      <c r="A1641" s="235" t="s">
        <v>3753</v>
      </c>
      <c r="B1641" s="223" t="s">
        <v>3709</v>
      </c>
      <c r="C1641" s="217" t="s">
        <v>1011</v>
      </c>
      <c r="D1641" s="53">
        <v>0</v>
      </c>
      <c r="E1641" s="121">
        <f>Saisie!D1641</f>
        <v>0</v>
      </c>
      <c r="F1641" s="51">
        <f t="shared" si="109"/>
        <v>0</v>
      </c>
    </row>
    <row r="1642" spans="1:6" ht="13.2" x14ac:dyDescent="0.25">
      <c r="A1642" s="235" t="s">
        <v>3754</v>
      </c>
      <c r="B1642" s="223" t="s">
        <v>3711</v>
      </c>
      <c r="C1642" s="217" t="s">
        <v>1034</v>
      </c>
      <c r="D1642" s="53">
        <v>0</v>
      </c>
      <c r="E1642" s="121">
        <f>Saisie!D1642</f>
        <v>0</v>
      </c>
      <c r="F1642" s="51">
        <f t="shared" si="109"/>
        <v>0</v>
      </c>
    </row>
    <row r="1643" spans="1:6" ht="13.2" x14ac:dyDescent="0.25">
      <c r="A1643" s="235" t="s">
        <v>3755</v>
      </c>
      <c r="B1643" s="223" t="s">
        <v>3713</v>
      </c>
      <c r="C1643" s="217" t="s">
        <v>1011</v>
      </c>
      <c r="D1643" s="53">
        <v>0</v>
      </c>
      <c r="E1643" s="121">
        <f>Saisie!D1643</f>
        <v>0</v>
      </c>
      <c r="F1643" s="51">
        <f t="shared" si="109"/>
        <v>0</v>
      </c>
    </row>
    <row r="1644" spans="1:6" ht="13.2" x14ac:dyDescent="0.25">
      <c r="A1644" s="235" t="s">
        <v>3756</v>
      </c>
      <c r="B1644" s="223" t="s">
        <v>3757</v>
      </c>
      <c r="C1644" s="217"/>
      <c r="D1644" s="45"/>
      <c r="E1644" s="121"/>
      <c r="F1644" s="51"/>
    </row>
    <row r="1645" spans="1:6" ht="13.2" x14ac:dyDescent="0.25">
      <c r="A1645" s="235" t="s">
        <v>3758</v>
      </c>
      <c r="B1645" s="223" t="s">
        <v>3709</v>
      </c>
      <c r="C1645" s="217" t="s">
        <v>1011</v>
      </c>
      <c r="D1645" s="53">
        <v>0</v>
      </c>
      <c r="E1645" s="121">
        <f>Saisie!D1645</f>
        <v>0</v>
      </c>
      <c r="F1645" s="51">
        <f t="shared" si="109"/>
        <v>0</v>
      </c>
    </row>
    <row r="1646" spans="1:6" ht="13.2" x14ac:dyDescent="0.25">
      <c r="A1646" s="235" t="s">
        <v>3759</v>
      </c>
      <c r="B1646" s="223" t="s">
        <v>3711</v>
      </c>
      <c r="C1646" s="217" t="s">
        <v>1034</v>
      </c>
      <c r="D1646" s="53">
        <v>0</v>
      </c>
      <c r="E1646" s="121">
        <f>Saisie!D1646</f>
        <v>0</v>
      </c>
      <c r="F1646" s="51">
        <f t="shared" si="109"/>
        <v>0</v>
      </c>
    </row>
    <row r="1647" spans="1:6" ht="13.2" x14ac:dyDescent="0.25">
      <c r="A1647" s="235" t="s">
        <v>3760</v>
      </c>
      <c r="B1647" s="223" t="s">
        <v>3713</v>
      </c>
      <c r="C1647" s="217" t="s">
        <v>1011</v>
      </c>
      <c r="D1647" s="53">
        <v>0</v>
      </c>
      <c r="E1647" s="121">
        <f>Saisie!D1647</f>
        <v>0</v>
      </c>
      <c r="F1647" s="51">
        <f t="shared" si="109"/>
        <v>0</v>
      </c>
    </row>
    <row r="1648" spans="1:6" ht="13.2" x14ac:dyDescent="0.25">
      <c r="A1648" s="235" t="s">
        <v>3761</v>
      </c>
      <c r="B1648" s="223" t="s">
        <v>3762</v>
      </c>
      <c r="C1648" s="217"/>
      <c r="D1648" s="45"/>
      <c r="E1648" s="121"/>
      <c r="F1648" s="51"/>
    </row>
    <row r="1649" spans="1:6" ht="13.2" x14ac:dyDescent="0.25">
      <c r="A1649" s="235" t="s">
        <v>3763</v>
      </c>
      <c r="B1649" s="223" t="s">
        <v>3709</v>
      </c>
      <c r="C1649" s="217" t="s">
        <v>1011</v>
      </c>
      <c r="D1649" s="53">
        <v>0</v>
      </c>
      <c r="E1649" s="121">
        <f>Saisie!D1649</f>
        <v>0</v>
      </c>
      <c r="F1649" s="51">
        <f t="shared" si="109"/>
        <v>0</v>
      </c>
    </row>
    <row r="1650" spans="1:6" ht="13.2" x14ac:dyDescent="0.25">
      <c r="A1650" s="235" t="s">
        <v>3764</v>
      </c>
      <c r="B1650" s="223" t="s">
        <v>3711</v>
      </c>
      <c r="C1650" s="217" t="s">
        <v>1034</v>
      </c>
      <c r="D1650" s="53">
        <v>0</v>
      </c>
      <c r="E1650" s="121">
        <f>Saisie!D1650</f>
        <v>0</v>
      </c>
      <c r="F1650" s="51">
        <f t="shared" si="109"/>
        <v>0</v>
      </c>
    </row>
    <row r="1651" spans="1:6" ht="13.2" x14ac:dyDescent="0.25">
      <c r="A1651" s="235" t="s">
        <v>3765</v>
      </c>
      <c r="B1651" s="223" t="s">
        <v>3713</v>
      </c>
      <c r="C1651" s="217" t="s">
        <v>1011</v>
      </c>
      <c r="D1651" s="53">
        <v>0</v>
      </c>
      <c r="E1651" s="121">
        <f>Saisie!D1651</f>
        <v>0</v>
      </c>
      <c r="F1651" s="51">
        <f t="shared" si="109"/>
        <v>0</v>
      </c>
    </row>
    <row r="1652" spans="1:6" ht="13.2" x14ac:dyDescent="0.25">
      <c r="A1652" s="235" t="s">
        <v>3766</v>
      </c>
      <c r="B1652" s="223" t="s">
        <v>3767</v>
      </c>
      <c r="C1652" s="217"/>
      <c r="D1652" s="45"/>
      <c r="E1652" s="121"/>
      <c r="F1652" s="51"/>
    </row>
    <row r="1653" spans="1:6" ht="13.2" x14ac:dyDescent="0.25">
      <c r="A1653" s="235" t="s">
        <v>3768</v>
      </c>
      <c r="B1653" s="223" t="s">
        <v>3709</v>
      </c>
      <c r="C1653" s="217" t="s">
        <v>1011</v>
      </c>
      <c r="D1653" s="53">
        <v>0</v>
      </c>
      <c r="E1653" s="121">
        <f>Saisie!D1653</f>
        <v>0</v>
      </c>
      <c r="F1653" s="51">
        <f t="shared" si="109"/>
        <v>0</v>
      </c>
    </row>
    <row r="1654" spans="1:6" ht="13.2" x14ac:dyDescent="0.25">
      <c r="A1654" s="235" t="s">
        <v>3769</v>
      </c>
      <c r="B1654" s="223" t="s">
        <v>3711</v>
      </c>
      <c r="C1654" s="217" t="s">
        <v>1034</v>
      </c>
      <c r="D1654" s="53">
        <v>0</v>
      </c>
      <c r="E1654" s="121">
        <f>Saisie!D1654</f>
        <v>0</v>
      </c>
      <c r="F1654" s="51">
        <f t="shared" si="109"/>
        <v>0</v>
      </c>
    </row>
    <row r="1655" spans="1:6" ht="13.2" x14ac:dyDescent="0.25">
      <c r="A1655" s="235" t="s">
        <v>3770</v>
      </c>
      <c r="B1655" s="223" t="s">
        <v>3713</v>
      </c>
      <c r="C1655" s="217" t="s">
        <v>1011</v>
      </c>
      <c r="D1655" s="53">
        <v>0</v>
      </c>
      <c r="E1655" s="121">
        <f>Saisie!D1655</f>
        <v>0</v>
      </c>
      <c r="F1655" s="51">
        <f t="shared" si="109"/>
        <v>0</v>
      </c>
    </row>
    <row r="1656" spans="1:6" ht="13.2" x14ac:dyDescent="0.25">
      <c r="A1656" s="235" t="s">
        <v>3771</v>
      </c>
      <c r="B1656" s="223" t="s">
        <v>3772</v>
      </c>
      <c r="C1656" s="217"/>
      <c r="D1656" s="45"/>
      <c r="E1656" s="121"/>
      <c r="F1656" s="51"/>
    </row>
    <row r="1657" spans="1:6" ht="13.2" x14ac:dyDescent="0.25">
      <c r="A1657" s="235" t="s">
        <v>3773</v>
      </c>
      <c r="B1657" s="223" t="s">
        <v>3709</v>
      </c>
      <c r="C1657" s="217" t="s">
        <v>1011</v>
      </c>
      <c r="D1657" s="53">
        <v>0</v>
      </c>
      <c r="E1657" s="121">
        <f>Saisie!D1657</f>
        <v>0</v>
      </c>
      <c r="F1657" s="51">
        <f t="shared" si="109"/>
        <v>0</v>
      </c>
    </row>
    <row r="1658" spans="1:6" ht="13.2" x14ac:dyDescent="0.25">
      <c r="A1658" s="235" t="s">
        <v>3774</v>
      </c>
      <c r="B1658" s="223" t="s">
        <v>3711</v>
      </c>
      <c r="C1658" s="217" t="s">
        <v>1034</v>
      </c>
      <c r="D1658" s="53">
        <v>0</v>
      </c>
      <c r="E1658" s="121">
        <f>Saisie!D1658</f>
        <v>0</v>
      </c>
      <c r="F1658" s="51">
        <f t="shared" si="109"/>
        <v>0</v>
      </c>
    </row>
    <row r="1659" spans="1:6" ht="13.2" x14ac:dyDescent="0.25">
      <c r="A1659" s="235" t="s">
        <v>3775</v>
      </c>
      <c r="B1659" s="223" t="s">
        <v>3713</v>
      </c>
      <c r="C1659" s="217" t="s">
        <v>1011</v>
      </c>
      <c r="D1659" s="53">
        <v>0</v>
      </c>
      <c r="E1659" s="121">
        <f>Saisie!D1659</f>
        <v>0</v>
      </c>
      <c r="F1659" s="51">
        <f t="shared" si="109"/>
        <v>0</v>
      </c>
    </row>
    <row r="1660" spans="1:6" ht="13.2" x14ac:dyDescent="0.25">
      <c r="A1660" s="28" t="s">
        <v>3776</v>
      </c>
      <c r="B1660" s="6" t="s">
        <v>3777</v>
      </c>
      <c r="C1660" s="217"/>
      <c r="D1660" s="45"/>
      <c r="E1660" s="121"/>
      <c r="F1660" s="51"/>
    </row>
    <row r="1661" spans="1:6" ht="13.8" x14ac:dyDescent="0.25">
      <c r="A1661" s="235" t="s">
        <v>3778</v>
      </c>
      <c r="B1661" s="223" t="s">
        <v>3779</v>
      </c>
      <c r="C1661" s="217" t="s">
        <v>1011</v>
      </c>
      <c r="D1661" s="53">
        <v>0</v>
      </c>
      <c r="E1661" s="121">
        <f>Saisie!D1661</f>
        <v>0</v>
      </c>
      <c r="F1661" s="51">
        <f t="shared" si="109"/>
        <v>0</v>
      </c>
    </row>
    <row r="1662" spans="1:6" ht="13.8" x14ac:dyDescent="0.25">
      <c r="A1662" s="235" t="s">
        <v>3780</v>
      </c>
      <c r="B1662" s="223" t="s">
        <v>3781</v>
      </c>
      <c r="C1662" s="217" t="s">
        <v>1011</v>
      </c>
      <c r="D1662" s="53">
        <v>0</v>
      </c>
      <c r="E1662" s="121">
        <f>Saisie!D1662</f>
        <v>0</v>
      </c>
      <c r="F1662" s="51">
        <f t="shared" si="109"/>
        <v>0</v>
      </c>
    </row>
    <row r="1663" spans="1:6" ht="13.8" x14ac:dyDescent="0.25">
      <c r="A1663" s="235" t="s">
        <v>3782</v>
      </c>
      <c r="B1663" s="223" t="s">
        <v>3783</v>
      </c>
      <c r="C1663" s="217" t="s">
        <v>1011</v>
      </c>
      <c r="D1663" s="53">
        <v>0</v>
      </c>
      <c r="E1663" s="121">
        <f>Saisie!D1663</f>
        <v>0</v>
      </c>
      <c r="F1663" s="51">
        <f t="shared" si="109"/>
        <v>0</v>
      </c>
    </row>
    <row r="1664" spans="1:6" ht="13.8" x14ac:dyDescent="0.25">
      <c r="A1664" s="235" t="s">
        <v>3784</v>
      </c>
      <c r="B1664" s="223" t="s">
        <v>3785</v>
      </c>
      <c r="C1664" s="217" t="s">
        <v>1011</v>
      </c>
      <c r="D1664" s="53">
        <v>0</v>
      </c>
      <c r="E1664" s="121">
        <f>Saisie!D1664</f>
        <v>0</v>
      </c>
      <c r="F1664" s="51">
        <f t="shared" si="109"/>
        <v>0</v>
      </c>
    </row>
    <row r="1665" spans="1:6" ht="13.8" x14ac:dyDescent="0.25">
      <c r="A1665" s="235" t="s">
        <v>3786</v>
      </c>
      <c r="B1665" s="223" t="s">
        <v>3787</v>
      </c>
      <c r="C1665" s="217" t="s">
        <v>1011</v>
      </c>
      <c r="D1665" s="53">
        <v>0</v>
      </c>
      <c r="E1665" s="121">
        <f>Saisie!D1665</f>
        <v>0</v>
      </c>
      <c r="F1665" s="51">
        <f t="shared" si="109"/>
        <v>0</v>
      </c>
    </row>
    <row r="1666" spans="1:6" ht="13.2" x14ac:dyDescent="0.25">
      <c r="A1666" s="28" t="s">
        <v>3788</v>
      </c>
      <c r="B1666" s="6" t="s">
        <v>3789</v>
      </c>
      <c r="C1666" s="217"/>
      <c r="D1666" s="45"/>
      <c r="E1666" s="121"/>
      <c r="F1666" s="51"/>
    </row>
    <row r="1667" spans="1:6" ht="13.2" x14ac:dyDescent="0.25">
      <c r="A1667" s="235" t="s">
        <v>3790</v>
      </c>
      <c r="B1667" s="223" t="s">
        <v>3791</v>
      </c>
      <c r="C1667" s="217"/>
      <c r="D1667" s="45"/>
      <c r="E1667" s="121"/>
      <c r="F1667" s="51"/>
    </row>
    <row r="1668" spans="1:6" ht="13.2" x14ac:dyDescent="0.25">
      <c r="A1668" s="235" t="s">
        <v>3792</v>
      </c>
      <c r="B1668" s="223" t="s">
        <v>3793</v>
      </c>
      <c r="C1668" s="217" t="s">
        <v>1034</v>
      </c>
      <c r="D1668" s="53">
        <v>0</v>
      </c>
      <c r="E1668" s="121">
        <f>Saisie!D1668</f>
        <v>0</v>
      </c>
      <c r="F1668" s="51">
        <f t="shared" si="109"/>
        <v>0</v>
      </c>
    </row>
    <row r="1669" spans="1:6" ht="13.2" x14ac:dyDescent="0.25">
      <c r="A1669" s="235" t="s">
        <v>3794</v>
      </c>
      <c r="B1669" s="223" t="s">
        <v>3795</v>
      </c>
      <c r="C1669" s="217" t="s">
        <v>1034</v>
      </c>
      <c r="D1669" s="53">
        <v>0</v>
      </c>
      <c r="E1669" s="121">
        <f>Saisie!D1669</f>
        <v>0</v>
      </c>
      <c r="F1669" s="51">
        <f t="shared" si="109"/>
        <v>0</v>
      </c>
    </row>
    <row r="1670" spans="1:6" ht="13.2" x14ac:dyDescent="0.25">
      <c r="A1670" s="235" t="s">
        <v>3796</v>
      </c>
      <c r="B1670" s="223" t="s">
        <v>3797</v>
      </c>
      <c r="C1670" s="217" t="s">
        <v>1034</v>
      </c>
      <c r="D1670" s="53">
        <v>0</v>
      </c>
      <c r="E1670" s="121">
        <f>Saisie!D1670</f>
        <v>0</v>
      </c>
      <c r="F1670" s="51">
        <f t="shared" si="109"/>
        <v>0</v>
      </c>
    </row>
    <row r="1671" spans="1:6" ht="13.2" x14ac:dyDescent="0.25">
      <c r="A1671" s="235" t="s">
        <v>3798</v>
      </c>
      <c r="B1671" s="223" t="s">
        <v>3799</v>
      </c>
      <c r="C1671" s="217" t="s">
        <v>1034</v>
      </c>
      <c r="D1671" s="53">
        <v>0</v>
      </c>
      <c r="E1671" s="121">
        <f>Saisie!D1671</f>
        <v>0</v>
      </c>
      <c r="F1671" s="51">
        <f t="shared" si="109"/>
        <v>0</v>
      </c>
    </row>
    <row r="1672" spans="1:6" ht="13.2" x14ac:dyDescent="0.25">
      <c r="A1672" s="235" t="s">
        <v>3800</v>
      </c>
      <c r="B1672" s="223" t="s">
        <v>3801</v>
      </c>
      <c r="C1672" s="217"/>
      <c r="D1672" s="45"/>
      <c r="E1672" s="121"/>
      <c r="F1672" s="51"/>
    </row>
    <row r="1673" spans="1:6" ht="13.2" x14ac:dyDescent="0.25">
      <c r="A1673" s="235" t="s">
        <v>3802</v>
      </c>
      <c r="B1673" s="223" t="s">
        <v>3793</v>
      </c>
      <c r="C1673" s="217" t="s">
        <v>1034</v>
      </c>
      <c r="D1673" s="53">
        <v>0</v>
      </c>
      <c r="E1673" s="121">
        <f>Saisie!D1673</f>
        <v>0</v>
      </c>
      <c r="F1673" s="51">
        <f t="shared" ref="F1673:F1736" si="110">E1673*D1673</f>
        <v>0</v>
      </c>
    </row>
    <row r="1674" spans="1:6" ht="13.2" x14ac:dyDescent="0.25">
      <c r="A1674" s="235" t="s">
        <v>3803</v>
      </c>
      <c r="B1674" s="223" t="s">
        <v>3795</v>
      </c>
      <c r="C1674" s="217" t="s">
        <v>1034</v>
      </c>
      <c r="D1674" s="53">
        <v>0</v>
      </c>
      <c r="E1674" s="121">
        <f>Saisie!D1674</f>
        <v>0</v>
      </c>
      <c r="F1674" s="51">
        <f t="shared" si="110"/>
        <v>0</v>
      </c>
    </row>
    <row r="1675" spans="1:6" ht="13.2" x14ac:dyDescent="0.25">
      <c r="A1675" s="235" t="s">
        <v>3804</v>
      </c>
      <c r="B1675" s="223" t="s">
        <v>3797</v>
      </c>
      <c r="C1675" s="217" t="s">
        <v>1034</v>
      </c>
      <c r="D1675" s="53">
        <v>0</v>
      </c>
      <c r="E1675" s="121">
        <f>Saisie!D1675</f>
        <v>0</v>
      </c>
      <c r="F1675" s="51">
        <f t="shared" si="110"/>
        <v>0</v>
      </c>
    </row>
    <row r="1676" spans="1:6" ht="13.2" x14ac:dyDescent="0.25">
      <c r="A1676" s="235" t="s">
        <v>3805</v>
      </c>
      <c r="B1676" s="223" t="s">
        <v>3799</v>
      </c>
      <c r="C1676" s="217" t="s">
        <v>1034</v>
      </c>
      <c r="D1676" s="53">
        <v>0</v>
      </c>
      <c r="E1676" s="121">
        <f>Saisie!D1676</f>
        <v>0</v>
      </c>
      <c r="F1676" s="51">
        <f t="shared" si="110"/>
        <v>0</v>
      </c>
    </row>
    <row r="1677" spans="1:6" ht="13.2" x14ac:dyDescent="0.25">
      <c r="A1677" s="235" t="s">
        <v>3806</v>
      </c>
      <c r="B1677" s="223" t="s">
        <v>3807</v>
      </c>
      <c r="C1677" s="217"/>
      <c r="D1677" s="45"/>
      <c r="E1677" s="121"/>
      <c r="F1677" s="51"/>
    </row>
    <row r="1678" spans="1:6" ht="13.2" x14ac:dyDescent="0.25">
      <c r="A1678" s="235" t="s">
        <v>3808</v>
      </c>
      <c r="B1678" s="223" t="s">
        <v>3793</v>
      </c>
      <c r="C1678" s="217" t="s">
        <v>1034</v>
      </c>
      <c r="D1678" s="53">
        <v>0</v>
      </c>
      <c r="E1678" s="121">
        <f>Saisie!D1678</f>
        <v>0</v>
      </c>
      <c r="F1678" s="51">
        <f t="shared" si="110"/>
        <v>0</v>
      </c>
    </row>
    <row r="1679" spans="1:6" ht="13.2" x14ac:dyDescent="0.25">
      <c r="A1679" s="235" t="s">
        <v>3809</v>
      </c>
      <c r="B1679" s="223" t="s">
        <v>3795</v>
      </c>
      <c r="C1679" s="217" t="s">
        <v>1034</v>
      </c>
      <c r="D1679" s="53">
        <v>0</v>
      </c>
      <c r="E1679" s="121">
        <f>Saisie!D1679</f>
        <v>0</v>
      </c>
      <c r="F1679" s="51">
        <f t="shared" si="110"/>
        <v>0</v>
      </c>
    </row>
    <row r="1680" spans="1:6" ht="13.2" x14ac:dyDescent="0.25">
      <c r="A1680" s="235" t="s">
        <v>3810</v>
      </c>
      <c r="B1680" s="223" t="s">
        <v>3797</v>
      </c>
      <c r="C1680" s="217" t="s">
        <v>1034</v>
      </c>
      <c r="D1680" s="53">
        <v>0</v>
      </c>
      <c r="E1680" s="121">
        <f>Saisie!D1680</f>
        <v>0</v>
      </c>
      <c r="F1680" s="51">
        <f t="shared" si="110"/>
        <v>0</v>
      </c>
    </row>
    <row r="1681" spans="1:6" ht="13.2" x14ac:dyDescent="0.25">
      <c r="A1681" s="235" t="s">
        <v>3811</v>
      </c>
      <c r="B1681" s="223" t="s">
        <v>3799</v>
      </c>
      <c r="C1681" s="217" t="s">
        <v>1034</v>
      </c>
      <c r="D1681" s="53">
        <v>0</v>
      </c>
      <c r="E1681" s="121">
        <f>Saisie!D1681</f>
        <v>0</v>
      </c>
      <c r="F1681" s="51">
        <f t="shared" si="110"/>
        <v>0</v>
      </c>
    </row>
    <row r="1682" spans="1:6" ht="13.2" x14ac:dyDescent="0.25">
      <c r="A1682" s="235" t="s">
        <v>3812</v>
      </c>
      <c r="B1682" s="223" t="s">
        <v>3813</v>
      </c>
      <c r="C1682" s="217"/>
      <c r="D1682" s="45"/>
      <c r="E1682" s="121"/>
      <c r="F1682" s="51"/>
    </row>
    <row r="1683" spans="1:6" ht="13.2" x14ac:dyDescent="0.25">
      <c r="A1683" s="235" t="s">
        <v>3814</v>
      </c>
      <c r="B1683" s="223" t="s">
        <v>3793</v>
      </c>
      <c r="C1683" s="217" t="s">
        <v>1034</v>
      </c>
      <c r="D1683" s="53">
        <v>0</v>
      </c>
      <c r="E1683" s="121">
        <f>Saisie!D1683</f>
        <v>0</v>
      </c>
      <c r="F1683" s="51">
        <f t="shared" si="110"/>
        <v>0</v>
      </c>
    </row>
    <row r="1684" spans="1:6" ht="13.2" x14ac:dyDescent="0.25">
      <c r="A1684" s="235" t="s">
        <v>3815</v>
      </c>
      <c r="B1684" s="223" t="s">
        <v>3795</v>
      </c>
      <c r="C1684" s="217" t="s">
        <v>1034</v>
      </c>
      <c r="D1684" s="53">
        <v>0</v>
      </c>
      <c r="E1684" s="121">
        <f>Saisie!D1684</f>
        <v>0</v>
      </c>
      <c r="F1684" s="51">
        <f t="shared" si="110"/>
        <v>0</v>
      </c>
    </row>
    <row r="1685" spans="1:6" ht="13.2" x14ac:dyDescent="0.25">
      <c r="A1685" s="235" t="s">
        <v>3816</v>
      </c>
      <c r="B1685" s="223" t="s">
        <v>3797</v>
      </c>
      <c r="C1685" s="217" t="s">
        <v>1034</v>
      </c>
      <c r="D1685" s="53">
        <v>0</v>
      </c>
      <c r="E1685" s="121">
        <f>Saisie!D1685</f>
        <v>0</v>
      </c>
      <c r="F1685" s="51">
        <f t="shared" si="110"/>
        <v>0</v>
      </c>
    </row>
    <row r="1686" spans="1:6" ht="13.2" x14ac:dyDescent="0.25">
      <c r="A1686" s="235" t="s">
        <v>3817</v>
      </c>
      <c r="B1686" s="223" t="s">
        <v>3799</v>
      </c>
      <c r="C1686" s="217" t="s">
        <v>1034</v>
      </c>
      <c r="D1686" s="53">
        <v>0</v>
      </c>
      <c r="E1686" s="121">
        <f>Saisie!D1686</f>
        <v>0</v>
      </c>
      <c r="F1686" s="51">
        <f t="shared" si="110"/>
        <v>0</v>
      </c>
    </row>
    <row r="1687" spans="1:6" ht="13.2" x14ac:dyDescent="0.25">
      <c r="A1687" s="235" t="s">
        <v>3818</v>
      </c>
      <c r="B1687" s="223" t="s">
        <v>3819</v>
      </c>
      <c r="C1687" s="217"/>
      <c r="D1687" s="45"/>
      <c r="E1687" s="121"/>
      <c r="F1687" s="51"/>
    </row>
    <row r="1688" spans="1:6" ht="13.2" x14ac:dyDescent="0.25">
      <c r="A1688" s="235" t="s">
        <v>3820</v>
      </c>
      <c r="B1688" s="223" t="s">
        <v>3793</v>
      </c>
      <c r="C1688" s="217" t="s">
        <v>1034</v>
      </c>
      <c r="D1688" s="53">
        <v>0</v>
      </c>
      <c r="E1688" s="121">
        <f>Saisie!D1688</f>
        <v>0</v>
      </c>
      <c r="F1688" s="51">
        <f t="shared" si="110"/>
        <v>0</v>
      </c>
    </row>
    <row r="1689" spans="1:6" ht="13.2" x14ac:dyDescent="0.25">
      <c r="A1689" s="235" t="s">
        <v>3821</v>
      </c>
      <c r="B1689" s="223" t="s">
        <v>3795</v>
      </c>
      <c r="C1689" s="217" t="s">
        <v>1034</v>
      </c>
      <c r="D1689" s="53">
        <v>0</v>
      </c>
      <c r="E1689" s="121">
        <f>Saisie!D1689</f>
        <v>0</v>
      </c>
      <c r="F1689" s="51">
        <f t="shared" si="110"/>
        <v>0</v>
      </c>
    </row>
    <row r="1690" spans="1:6" ht="13.2" x14ac:dyDescent="0.25">
      <c r="A1690" s="235" t="s">
        <v>3822</v>
      </c>
      <c r="B1690" s="223" t="s">
        <v>3797</v>
      </c>
      <c r="C1690" s="217" t="s">
        <v>1034</v>
      </c>
      <c r="D1690" s="53">
        <v>0</v>
      </c>
      <c r="E1690" s="121">
        <f>Saisie!D1690</f>
        <v>0</v>
      </c>
      <c r="F1690" s="51">
        <f t="shared" si="110"/>
        <v>0</v>
      </c>
    </row>
    <row r="1691" spans="1:6" ht="13.2" x14ac:dyDescent="0.25">
      <c r="A1691" s="235" t="s">
        <v>3823</v>
      </c>
      <c r="B1691" s="223" t="s">
        <v>3799</v>
      </c>
      <c r="C1691" s="217" t="s">
        <v>1034</v>
      </c>
      <c r="D1691" s="53">
        <v>0</v>
      </c>
      <c r="E1691" s="121">
        <f>Saisie!D1691</f>
        <v>0</v>
      </c>
      <c r="F1691" s="51">
        <f t="shared" si="110"/>
        <v>0</v>
      </c>
    </row>
    <row r="1692" spans="1:6" ht="13.2" x14ac:dyDescent="0.25">
      <c r="A1692" s="235" t="s">
        <v>3824</v>
      </c>
      <c r="B1692" s="223" t="s">
        <v>3825</v>
      </c>
      <c r="C1692" s="217"/>
      <c r="D1692" s="45"/>
      <c r="E1692" s="121"/>
      <c r="F1692" s="51"/>
    </row>
    <row r="1693" spans="1:6" ht="13.2" x14ac:dyDescent="0.25">
      <c r="A1693" s="235" t="s">
        <v>3826</v>
      </c>
      <c r="B1693" s="223" t="s">
        <v>3793</v>
      </c>
      <c r="C1693" s="217" t="s">
        <v>1034</v>
      </c>
      <c r="D1693" s="53">
        <v>0</v>
      </c>
      <c r="E1693" s="121">
        <f>Saisie!D1693</f>
        <v>0</v>
      </c>
      <c r="F1693" s="51">
        <f t="shared" si="110"/>
        <v>0</v>
      </c>
    </row>
    <row r="1694" spans="1:6" ht="13.2" x14ac:dyDescent="0.25">
      <c r="A1694" s="235" t="s">
        <v>3827</v>
      </c>
      <c r="B1694" s="223" t="s">
        <v>3795</v>
      </c>
      <c r="C1694" s="217" t="s">
        <v>1034</v>
      </c>
      <c r="D1694" s="53">
        <v>0</v>
      </c>
      <c r="E1694" s="121">
        <f>Saisie!D1694</f>
        <v>0</v>
      </c>
      <c r="F1694" s="51">
        <f t="shared" si="110"/>
        <v>0</v>
      </c>
    </row>
    <row r="1695" spans="1:6" ht="13.2" x14ac:dyDescent="0.25">
      <c r="A1695" s="235" t="s">
        <v>3828</v>
      </c>
      <c r="B1695" s="223" t="s">
        <v>3797</v>
      </c>
      <c r="C1695" s="217" t="s">
        <v>1034</v>
      </c>
      <c r="D1695" s="53">
        <v>0</v>
      </c>
      <c r="E1695" s="121">
        <f>Saisie!D1695</f>
        <v>0</v>
      </c>
      <c r="F1695" s="51">
        <f t="shared" si="110"/>
        <v>0</v>
      </c>
    </row>
    <row r="1696" spans="1:6" ht="13.2" x14ac:dyDescent="0.25">
      <c r="A1696" s="235" t="s">
        <v>3829</v>
      </c>
      <c r="B1696" s="223" t="s">
        <v>3799</v>
      </c>
      <c r="C1696" s="217" t="s">
        <v>1034</v>
      </c>
      <c r="D1696" s="53">
        <v>0</v>
      </c>
      <c r="E1696" s="121">
        <f>Saisie!D1696</f>
        <v>0</v>
      </c>
      <c r="F1696" s="51">
        <f t="shared" si="110"/>
        <v>0</v>
      </c>
    </row>
    <row r="1697" spans="1:6" ht="13.2" x14ac:dyDescent="0.25">
      <c r="A1697" s="28" t="s">
        <v>3830</v>
      </c>
      <c r="B1697" s="6" t="s">
        <v>3831</v>
      </c>
      <c r="C1697" s="217"/>
      <c r="D1697" s="45"/>
      <c r="E1697" s="121"/>
      <c r="F1697" s="51"/>
    </row>
    <row r="1698" spans="1:6" ht="13.2" x14ac:dyDescent="0.25">
      <c r="A1698" s="235" t="s">
        <v>3832</v>
      </c>
      <c r="B1698" s="223" t="s">
        <v>3791</v>
      </c>
      <c r="C1698" s="217"/>
      <c r="D1698" s="45"/>
      <c r="E1698" s="121"/>
      <c r="F1698" s="51"/>
    </row>
    <row r="1699" spans="1:6" ht="13.2" x14ac:dyDescent="0.25">
      <c r="A1699" s="235" t="s">
        <v>3833</v>
      </c>
      <c r="B1699" s="223" t="s">
        <v>3793</v>
      </c>
      <c r="C1699" s="217" t="s">
        <v>1034</v>
      </c>
      <c r="D1699" s="53">
        <v>0</v>
      </c>
      <c r="E1699" s="121">
        <f>Saisie!D1699</f>
        <v>0</v>
      </c>
      <c r="F1699" s="51">
        <f t="shared" si="110"/>
        <v>0</v>
      </c>
    </row>
    <row r="1700" spans="1:6" ht="13.2" x14ac:dyDescent="0.25">
      <c r="A1700" s="235" t="s">
        <v>3834</v>
      </c>
      <c r="B1700" s="223" t="s">
        <v>3795</v>
      </c>
      <c r="C1700" s="217" t="s">
        <v>1034</v>
      </c>
      <c r="D1700" s="53">
        <v>0</v>
      </c>
      <c r="E1700" s="121">
        <f>Saisie!D1700</f>
        <v>0</v>
      </c>
      <c r="F1700" s="51">
        <f t="shared" si="110"/>
        <v>0</v>
      </c>
    </row>
    <row r="1701" spans="1:6" ht="13.2" x14ac:dyDescent="0.25">
      <c r="A1701" s="235" t="s">
        <v>3835</v>
      </c>
      <c r="B1701" s="223" t="s">
        <v>3797</v>
      </c>
      <c r="C1701" s="217" t="s">
        <v>1034</v>
      </c>
      <c r="D1701" s="53">
        <v>0</v>
      </c>
      <c r="E1701" s="121">
        <f>Saisie!D1701</f>
        <v>0</v>
      </c>
      <c r="F1701" s="51">
        <f t="shared" si="110"/>
        <v>0</v>
      </c>
    </row>
    <row r="1702" spans="1:6" ht="13.2" x14ac:dyDescent="0.25">
      <c r="A1702" s="235" t="s">
        <v>3836</v>
      </c>
      <c r="B1702" s="223" t="s">
        <v>3799</v>
      </c>
      <c r="C1702" s="217" t="s">
        <v>1034</v>
      </c>
      <c r="D1702" s="53">
        <v>0</v>
      </c>
      <c r="E1702" s="121">
        <f>Saisie!D1702</f>
        <v>0</v>
      </c>
      <c r="F1702" s="51">
        <f t="shared" si="110"/>
        <v>0</v>
      </c>
    </row>
    <row r="1703" spans="1:6" ht="13.2" x14ac:dyDescent="0.25">
      <c r="A1703" s="235" t="s">
        <v>3837</v>
      </c>
      <c r="B1703" s="223" t="s">
        <v>3838</v>
      </c>
      <c r="C1703" s="217" t="s">
        <v>1034</v>
      </c>
      <c r="D1703" s="53">
        <v>0</v>
      </c>
      <c r="E1703" s="121">
        <f>Saisie!D1703</f>
        <v>0</v>
      </c>
      <c r="F1703" s="51">
        <f t="shared" si="110"/>
        <v>0</v>
      </c>
    </row>
    <row r="1704" spans="1:6" ht="13.2" x14ac:dyDescent="0.25">
      <c r="A1704" s="235" t="s">
        <v>3839</v>
      </c>
      <c r="B1704" s="223" t="s">
        <v>3801</v>
      </c>
      <c r="C1704" s="217"/>
      <c r="D1704" s="45"/>
      <c r="E1704" s="121"/>
      <c r="F1704" s="51"/>
    </row>
    <row r="1705" spans="1:6" ht="13.2" x14ac:dyDescent="0.25">
      <c r="A1705" s="235" t="s">
        <v>3840</v>
      </c>
      <c r="B1705" s="223" t="s">
        <v>3793</v>
      </c>
      <c r="C1705" s="217" t="s">
        <v>1034</v>
      </c>
      <c r="D1705" s="53">
        <v>0</v>
      </c>
      <c r="E1705" s="121">
        <f>Saisie!D1705</f>
        <v>0</v>
      </c>
      <c r="F1705" s="51">
        <f t="shared" si="110"/>
        <v>0</v>
      </c>
    </row>
    <row r="1706" spans="1:6" ht="13.2" x14ac:dyDescent="0.25">
      <c r="A1706" s="235" t="s">
        <v>3841</v>
      </c>
      <c r="B1706" s="223" t="s">
        <v>3795</v>
      </c>
      <c r="C1706" s="217" t="s">
        <v>1034</v>
      </c>
      <c r="D1706" s="53">
        <v>0</v>
      </c>
      <c r="E1706" s="121">
        <f>Saisie!D1706</f>
        <v>0</v>
      </c>
      <c r="F1706" s="51">
        <f t="shared" si="110"/>
        <v>0</v>
      </c>
    </row>
    <row r="1707" spans="1:6" ht="13.2" x14ac:dyDescent="0.25">
      <c r="A1707" s="235" t="s">
        <v>3842</v>
      </c>
      <c r="B1707" s="223" t="s">
        <v>3797</v>
      </c>
      <c r="C1707" s="217" t="s">
        <v>1034</v>
      </c>
      <c r="D1707" s="53">
        <v>0</v>
      </c>
      <c r="E1707" s="121">
        <f>Saisie!D1707</f>
        <v>0</v>
      </c>
      <c r="F1707" s="51">
        <f t="shared" si="110"/>
        <v>0</v>
      </c>
    </row>
    <row r="1708" spans="1:6" ht="13.2" x14ac:dyDescent="0.25">
      <c r="A1708" s="235" t="s">
        <v>3843</v>
      </c>
      <c r="B1708" s="223" t="s">
        <v>3799</v>
      </c>
      <c r="C1708" s="217" t="s">
        <v>1034</v>
      </c>
      <c r="D1708" s="53">
        <v>0</v>
      </c>
      <c r="E1708" s="121">
        <f>Saisie!D1708</f>
        <v>0</v>
      </c>
      <c r="F1708" s="51">
        <f t="shared" si="110"/>
        <v>0</v>
      </c>
    </row>
    <row r="1709" spans="1:6" ht="13.2" x14ac:dyDescent="0.25">
      <c r="A1709" s="235" t="s">
        <v>3844</v>
      </c>
      <c r="B1709" s="223" t="s">
        <v>3838</v>
      </c>
      <c r="C1709" s="217" t="s">
        <v>1034</v>
      </c>
      <c r="D1709" s="53">
        <v>0</v>
      </c>
      <c r="E1709" s="121">
        <f>Saisie!D1709</f>
        <v>0</v>
      </c>
      <c r="F1709" s="51">
        <f t="shared" si="110"/>
        <v>0</v>
      </c>
    </row>
    <row r="1710" spans="1:6" ht="13.2" x14ac:dyDescent="0.25">
      <c r="A1710" s="235" t="s">
        <v>3845</v>
      </c>
      <c r="B1710" s="223" t="s">
        <v>3807</v>
      </c>
      <c r="C1710" s="217"/>
      <c r="D1710" s="45"/>
      <c r="E1710" s="121"/>
      <c r="F1710" s="51"/>
    </row>
    <row r="1711" spans="1:6" ht="13.2" x14ac:dyDescent="0.25">
      <c r="A1711" s="235" t="s">
        <v>3846</v>
      </c>
      <c r="B1711" s="223" t="s">
        <v>3793</v>
      </c>
      <c r="C1711" s="217" t="s">
        <v>1034</v>
      </c>
      <c r="D1711" s="53">
        <v>0</v>
      </c>
      <c r="E1711" s="121">
        <f>Saisie!D1711</f>
        <v>0</v>
      </c>
      <c r="F1711" s="51">
        <f t="shared" si="110"/>
        <v>0</v>
      </c>
    </row>
    <row r="1712" spans="1:6" ht="13.2" x14ac:dyDescent="0.25">
      <c r="A1712" s="235" t="s">
        <v>3847</v>
      </c>
      <c r="B1712" s="223" t="s">
        <v>3795</v>
      </c>
      <c r="C1712" s="217" t="s">
        <v>1034</v>
      </c>
      <c r="D1712" s="53">
        <v>0</v>
      </c>
      <c r="E1712" s="121">
        <f>Saisie!D1712</f>
        <v>0</v>
      </c>
      <c r="F1712" s="51">
        <f t="shared" si="110"/>
        <v>0</v>
      </c>
    </row>
    <row r="1713" spans="1:6" ht="13.2" x14ac:dyDescent="0.25">
      <c r="A1713" s="235" t="s">
        <v>3848</v>
      </c>
      <c r="B1713" s="223" t="s">
        <v>3797</v>
      </c>
      <c r="C1713" s="217" t="s">
        <v>1034</v>
      </c>
      <c r="D1713" s="53">
        <v>0</v>
      </c>
      <c r="E1713" s="121">
        <f>Saisie!D1713</f>
        <v>0</v>
      </c>
      <c r="F1713" s="51">
        <f t="shared" si="110"/>
        <v>0</v>
      </c>
    </row>
    <row r="1714" spans="1:6" ht="13.2" x14ac:dyDescent="0.25">
      <c r="A1714" s="235" t="s">
        <v>3849</v>
      </c>
      <c r="B1714" s="223" t="s">
        <v>3799</v>
      </c>
      <c r="C1714" s="217" t="s">
        <v>1034</v>
      </c>
      <c r="D1714" s="53">
        <v>0</v>
      </c>
      <c r="E1714" s="121">
        <f>Saisie!D1714</f>
        <v>0</v>
      </c>
      <c r="F1714" s="51">
        <f t="shared" si="110"/>
        <v>0</v>
      </c>
    </row>
    <row r="1715" spans="1:6" ht="13.2" x14ac:dyDescent="0.25">
      <c r="A1715" s="235" t="s">
        <v>3850</v>
      </c>
      <c r="B1715" s="223" t="s">
        <v>3838</v>
      </c>
      <c r="C1715" s="217" t="s">
        <v>1034</v>
      </c>
      <c r="D1715" s="53">
        <v>0</v>
      </c>
      <c r="E1715" s="121">
        <f>Saisie!D1715</f>
        <v>0</v>
      </c>
      <c r="F1715" s="51">
        <f t="shared" si="110"/>
        <v>0</v>
      </c>
    </row>
    <row r="1716" spans="1:6" ht="13.2" x14ac:dyDescent="0.25">
      <c r="A1716" s="235" t="s">
        <v>3851</v>
      </c>
      <c r="B1716" s="223" t="s">
        <v>3813</v>
      </c>
      <c r="C1716" s="217"/>
      <c r="D1716" s="45"/>
      <c r="E1716" s="121"/>
      <c r="F1716" s="51"/>
    </row>
    <row r="1717" spans="1:6" ht="13.2" x14ac:dyDescent="0.25">
      <c r="A1717" s="235" t="s">
        <v>3852</v>
      </c>
      <c r="B1717" s="223" t="s">
        <v>3793</v>
      </c>
      <c r="C1717" s="217" t="s">
        <v>1034</v>
      </c>
      <c r="D1717" s="53">
        <v>0</v>
      </c>
      <c r="E1717" s="121">
        <f>Saisie!D1717</f>
        <v>0</v>
      </c>
      <c r="F1717" s="51">
        <f t="shared" si="110"/>
        <v>0</v>
      </c>
    </row>
    <row r="1718" spans="1:6" ht="13.2" x14ac:dyDescent="0.25">
      <c r="A1718" s="235" t="s">
        <v>3853</v>
      </c>
      <c r="B1718" s="223" t="s">
        <v>3795</v>
      </c>
      <c r="C1718" s="217" t="s">
        <v>1034</v>
      </c>
      <c r="D1718" s="53">
        <v>0</v>
      </c>
      <c r="E1718" s="121">
        <f>Saisie!D1718</f>
        <v>0</v>
      </c>
      <c r="F1718" s="51">
        <f t="shared" si="110"/>
        <v>0</v>
      </c>
    </row>
    <row r="1719" spans="1:6" ht="13.2" x14ac:dyDescent="0.25">
      <c r="A1719" s="235" t="s">
        <v>3854</v>
      </c>
      <c r="B1719" s="223" t="s">
        <v>3797</v>
      </c>
      <c r="C1719" s="217" t="s">
        <v>1034</v>
      </c>
      <c r="D1719" s="53">
        <v>0</v>
      </c>
      <c r="E1719" s="121">
        <f>Saisie!D1719</f>
        <v>0</v>
      </c>
      <c r="F1719" s="51">
        <f t="shared" si="110"/>
        <v>0</v>
      </c>
    </row>
    <row r="1720" spans="1:6" ht="13.2" x14ac:dyDescent="0.25">
      <c r="A1720" s="235" t="s">
        <v>3855</v>
      </c>
      <c r="B1720" s="223" t="s">
        <v>3799</v>
      </c>
      <c r="C1720" s="217" t="s">
        <v>1034</v>
      </c>
      <c r="D1720" s="53">
        <v>0</v>
      </c>
      <c r="E1720" s="121">
        <f>Saisie!D1720</f>
        <v>0</v>
      </c>
      <c r="F1720" s="51">
        <f t="shared" si="110"/>
        <v>0</v>
      </c>
    </row>
    <row r="1721" spans="1:6" ht="13.2" x14ac:dyDescent="0.25">
      <c r="A1721" s="235" t="s">
        <v>3856</v>
      </c>
      <c r="B1721" s="223" t="s">
        <v>3838</v>
      </c>
      <c r="C1721" s="217" t="s">
        <v>1034</v>
      </c>
      <c r="D1721" s="53">
        <v>0</v>
      </c>
      <c r="E1721" s="121">
        <f>Saisie!D1721</f>
        <v>0</v>
      </c>
      <c r="F1721" s="51">
        <f t="shared" si="110"/>
        <v>0</v>
      </c>
    </row>
    <row r="1722" spans="1:6" ht="13.2" x14ac:dyDescent="0.25">
      <c r="A1722" s="235" t="s">
        <v>3857</v>
      </c>
      <c r="B1722" s="223" t="s">
        <v>3858</v>
      </c>
      <c r="C1722" s="217"/>
      <c r="D1722" s="45"/>
      <c r="E1722" s="121"/>
      <c r="F1722" s="51"/>
    </row>
    <row r="1723" spans="1:6" ht="13.2" x14ac:dyDescent="0.25">
      <c r="A1723" s="235" t="s">
        <v>3859</v>
      </c>
      <c r="B1723" s="223" t="s">
        <v>3793</v>
      </c>
      <c r="C1723" s="217" t="s">
        <v>1034</v>
      </c>
      <c r="D1723" s="53">
        <v>0</v>
      </c>
      <c r="E1723" s="121">
        <f>Saisie!D1723</f>
        <v>0</v>
      </c>
      <c r="F1723" s="51">
        <f t="shared" si="110"/>
        <v>0</v>
      </c>
    </row>
    <row r="1724" spans="1:6" ht="13.2" x14ac:dyDescent="0.25">
      <c r="A1724" s="235" t="s">
        <v>3860</v>
      </c>
      <c r="B1724" s="223" t="s">
        <v>3795</v>
      </c>
      <c r="C1724" s="217" t="s">
        <v>1034</v>
      </c>
      <c r="D1724" s="53">
        <v>0</v>
      </c>
      <c r="E1724" s="121">
        <f>Saisie!D1724</f>
        <v>0</v>
      </c>
      <c r="F1724" s="51">
        <f t="shared" si="110"/>
        <v>0</v>
      </c>
    </row>
    <row r="1725" spans="1:6" ht="13.2" x14ac:dyDescent="0.25">
      <c r="A1725" s="235" t="s">
        <v>3861</v>
      </c>
      <c r="B1725" s="223" t="s">
        <v>3797</v>
      </c>
      <c r="C1725" s="217" t="s">
        <v>1034</v>
      </c>
      <c r="D1725" s="53">
        <v>0</v>
      </c>
      <c r="E1725" s="121">
        <f>Saisie!D1725</f>
        <v>0</v>
      </c>
      <c r="F1725" s="51">
        <f t="shared" si="110"/>
        <v>0</v>
      </c>
    </row>
    <row r="1726" spans="1:6" ht="13.2" x14ac:dyDescent="0.25">
      <c r="A1726" s="235" t="s">
        <v>3862</v>
      </c>
      <c r="B1726" s="223" t="s">
        <v>3863</v>
      </c>
      <c r="C1726" s="217" t="s">
        <v>1034</v>
      </c>
      <c r="D1726" s="53">
        <v>0</v>
      </c>
      <c r="E1726" s="121">
        <f>Saisie!D1726</f>
        <v>0</v>
      </c>
      <c r="F1726" s="51">
        <f t="shared" si="110"/>
        <v>0</v>
      </c>
    </row>
    <row r="1727" spans="1:6" ht="13.2" x14ac:dyDescent="0.25">
      <c r="A1727" s="235" t="s">
        <v>3864</v>
      </c>
      <c r="B1727" s="223" t="s">
        <v>3838</v>
      </c>
      <c r="C1727" s="217" t="s">
        <v>1034</v>
      </c>
      <c r="D1727" s="53">
        <v>0</v>
      </c>
      <c r="E1727" s="121">
        <f>Saisie!D1727</f>
        <v>0</v>
      </c>
      <c r="F1727" s="51">
        <f t="shared" si="110"/>
        <v>0</v>
      </c>
    </row>
    <row r="1728" spans="1:6" ht="13.2" x14ac:dyDescent="0.25">
      <c r="A1728" s="235" t="s">
        <v>3865</v>
      </c>
      <c r="B1728" s="223" t="s">
        <v>3866</v>
      </c>
      <c r="C1728" s="217"/>
      <c r="D1728" s="45"/>
      <c r="E1728" s="121"/>
      <c r="F1728" s="51"/>
    </row>
    <row r="1729" spans="1:6" ht="13.2" x14ac:dyDescent="0.25">
      <c r="A1729" s="235" t="s">
        <v>3867</v>
      </c>
      <c r="B1729" s="223" t="s">
        <v>3793</v>
      </c>
      <c r="C1729" s="217" t="s">
        <v>1034</v>
      </c>
      <c r="D1729" s="53">
        <v>0</v>
      </c>
      <c r="E1729" s="121">
        <f>Saisie!D1729</f>
        <v>0</v>
      </c>
      <c r="F1729" s="51">
        <f t="shared" si="110"/>
        <v>0</v>
      </c>
    </row>
    <row r="1730" spans="1:6" ht="13.2" x14ac:dyDescent="0.25">
      <c r="A1730" s="235" t="s">
        <v>3868</v>
      </c>
      <c r="B1730" s="223" t="s">
        <v>3795</v>
      </c>
      <c r="C1730" s="217" t="s">
        <v>1034</v>
      </c>
      <c r="D1730" s="53">
        <v>0</v>
      </c>
      <c r="E1730" s="121">
        <f>Saisie!D1730</f>
        <v>0</v>
      </c>
      <c r="F1730" s="51">
        <f t="shared" si="110"/>
        <v>0</v>
      </c>
    </row>
    <row r="1731" spans="1:6" ht="13.2" x14ac:dyDescent="0.25">
      <c r="A1731" s="235" t="s">
        <v>3869</v>
      </c>
      <c r="B1731" s="223" t="s">
        <v>3797</v>
      </c>
      <c r="C1731" s="217" t="s">
        <v>1034</v>
      </c>
      <c r="D1731" s="53">
        <v>0</v>
      </c>
      <c r="E1731" s="121">
        <f>Saisie!D1731</f>
        <v>0</v>
      </c>
      <c r="F1731" s="51">
        <f>E1731*D1731</f>
        <v>0</v>
      </c>
    </row>
    <row r="1732" spans="1:6" ht="13.2" x14ac:dyDescent="0.25">
      <c r="A1732" s="235" t="s">
        <v>3870</v>
      </c>
      <c r="B1732" s="223" t="s">
        <v>3863</v>
      </c>
      <c r="C1732" s="217" t="s">
        <v>1034</v>
      </c>
      <c r="D1732" s="53">
        <v>0</v>
      </c>
      <c r="E1732" s="121">
        <f>Saisie!D1732</f>
        <v>0</v>
      </c>
      <c r="F1732" s="51">
        <f t="shared" si="110"/>
        <v>0</v>
      </c>
    </row>
    <row r="1733" spans="1:6" ht="13.2" x14ac:dyDescent="0.25">
      <c r="A1733" s="235" t="s">
        <v>3871</v>
      </c>
      <c r="B1733" s="223" t="s">
        <v>3838</v>
      </c>
      <c r="C1733" s="217" t="s">
        <v>1034</v>
      </c>
      <c r="D1733" s="53">
        <v>0</v>
      </c>
      <c r="E1733" s="121">
        <f>Saisie!D1733</f>
        <v>0</v>
      </c>
      <c r="F1733" s="51">
        <f t="shared" si="110"/>
        <v>0</v>
      </c>
    </row>
    <row r="1734" spans="1:6" ht="13.2" x14ac:dyDescent="0.25">
      <c r="A1734" s="28" t="s">
        <v>3872</v>
      </c>
      <c r="B1734" s="6" t="s">
        <v>3873</v>
      </c>
      <c r="C1734" s="217"/>
      <c r="D1734" s="45"/>
      <c r="E1734" s="121"/>
      <c r="F1734" s="51"/>
    </row>
    <row r="1735" spans="1:6" ht="13.2" x14ac:dyDescent="0.25">
      <c r="A1735" s="235" t="s">
        <v>3874</v>
      </c>
      <c r="B1735" s="223" t="s">
        <v>3875</v>
      </c>
      <c r="C1735" s="217"/>
      <c r="D1735" s="45"/>
      <c r="E1735" s="121"/>
      <c r="F1735" s="51"/>
    </row>
    <row r="1736" spans="1:6" ht="13.2" x14ac:dyDescent="0.25">
      <c r="A1736" s="235" t="s">
        <v>3876</v>
      </c>
      <c r="B1736" s="223" t="s">
        <v>3877</v>
      </c>
      <c r="C1736" s="217" t="s">
        <v>1011</v>
      </c>
      <c r="D1736" s="53">
        <v>0</v>
      </c>
      <c r="E1736" s="121">
        <f>Saisie!D1736</f>
        <v>0</v>
      </c>
      <c r="F1736" s="51">
        <f t="shared" si="110"/>
        <v>0</v>
      </c>
    </row>
    <row r="1737" spans="1:6" ht="13.2" x14ac:dyDescent="0.25">
      <c r="A1737" s="235" t="s">
        <v>3878</v>
      </c>
      <c r="B1737" s="223" t="s">
        <v>3879</v>
      </c>
      <c r="C1737" s="217" t="s">
        <v>1011</v>
      </c>
      <c r="D1737" s="53">
        <v>0</v>
      </c>
      <c r="E1737" s="121">
        <f>Saisie!D1737</f>
        <v>0</v>
      </c>
      <c r="F1737" s="51">
        <f t="shared" ref="F1737:F1799" si="111">E1737*D1737</f>
        <v>0</v>
      </c>
    </row>
    <row r="1738" spans="1:6" ht="13.2" x14ac:dyDescent="0.25">
      <c r="A1738" s="235" t="s">
        <v>3880</v>
      </c>
      <c r="B1738" s="223" t="s">
        <v>3881</v>
      </c>
      <c r="C1738" s="217" t="s">
        <v>1011</v>
      </c>
      <c r="D1738" s="53">
        <v>0</v>
      </c>
      <c r="E1738" s="121">
        <f>Saisie!D1738</f>
        <v>0</v>
      </c>
      <c r="F1738" s="51">
        <f t="shared" si="111"/>
        <v>0</v>
      </c>
    </row>
    <row r="1739" spans="1:6" ht="13.2" x14ac:dyDescent="0.25">
      <c r="A1739" s="235" t="s">
        <v>3882</v>
      </c>
      <c r="B1739" s="223" t="s">
        <v>3883</v>
      </c>
      <c r="C1739" s="217" t="s">
        <v>1011</v>
      </c>
      <c r="D1739" s="53">
        <v>0</v>
      </c>
      <c r="E1739" s="121">
        <f>Saisie!D1739</f>
        <v>0</v>
      </c>
      <c r="F1739" s="51">
        <f t="shared" si="111"/>
        <v>0</v>
      </c>
    </row>
    <row r="1740" spans="1:6" ht="13.2" x14ac:dyDescent="0.25">
      <c r="A1740" s="235" t="s">
        <v>3884</v>
      </c>
      <c r="B1740" s="223" t="s">
        <v>3885</v>
      </c>
      <c r="C1740" s="217" t="s">
        <v>1011</v>
      </c>
      <c r="D1740" s="53">
        <v>0</v>
      </c>
      <c r="E1740" s="121">
        <f>Saisie!D1740</f>
        <v>0</v>
      </c>
      <c r="F1740" s="51">
        <f t="shared" si="111"/>
        <v>0</v>
      </c>
    </row>
    <row r="1741" spans="1:6" ht="13.2" x14ac:dyDescent="0.25">
      <c r="A1741" s="235" t="s">
        <v>3886</v>
      </c>
      <c r="B1741" s="223" t="s">
        <v>3887</v>
      </c>
      <c r="C1741" s="217"/>
      <c r="D1741" s="45"/>
      <c r="E1741" s="121"/>
      <c r="F1741" s="51"/>
    </row>
    <row r="1742" spans="1:6" ht="13.2" x14ac:dyDescent="0.25">
      <c r="A1742" s="235" t="s">
        <v>3888</v>
      </c>
      <c r="B1742" s="223" t="s">
        <v>3889</v>
      </c>
      <c r="C1742" s="217" t="s">
        <v>1011</v>
      </c>
      <c r="D1742" s="53">
        <v>2</v>
      </c>
      <c r="E1742" s="121">
        <f>Saisie!D1742</f>
        <v>0</v>
      </c>
      <c r="F1742" s="51">
        <f t="shared" si="111"/>
        <v>0</v>
      </c>
    </row>
    <row r="1743" spans="1:6" ht="13.2" x14ac:dyDescent="0.25">
      <c r="A1743" s="235" t="s">
        <v>3890</v>
      </c>
      <c r="B1743" s="223" t="s">
        <v>3891</v>
      </c>
      <c r="C1743" s="217" t="s">
        <v>1011</v>
      </c>
      <c r="D1743" s="53">
        <v>0</v>
      </c>
      <c r="E1743" s="121">
        <f>Saisie!D1743</f>
        <v>0</v>
      </c>
      <c r="F1743" s="51">
        <f t="shared" si="111"/>
        <v>0</v>
      </c>
    </row>
    <row r="1744" spans="1:6" ht="13.2" x14ac:dyDescent="0.25">
      <c r="A1744" s="235" t="s">
        <v>3892</v>
      </c>
      <c r="B1744" s="223" t="s">
        <v>3893</v>
      </c>
      <c r="C1744" s="217" t="s">
        <v>1011</v>
      </c>
      <c r="D1744" s="53">
        <v>0</v>
      </c>
      <c r="E1744" s="121">
        <f>Saisie!D1744</f>
        <v>0</v>
      </c>
      <c r="F1744" s="51">
        <f t="shared" si="111"/>
        <v>0</v>
      </c>
    </row>
    <row r="1745" spans="1:6" ht="13.2" x14ac:dyDescent="0.25">
      <c r="A1745" s="235" t="s">
        <v>3894</v>
      </c>
      <c r="B1745" s="223" t="s">
        <v>3895</v>
      </c>
      <c r="C1745" s="217" t="s">
        <v>1011</v>
      </c>
      <c r="D1745" s="53">
        <v>0</v>
      </c>
      <c r="E1745" s="121">
        <f>Saisie!D1745</f>
        <v>0</v>
      </c>
      <c r="F1745" s="51">
        <f t="shared" si="111"/>
        <v>0</v>
      </c>
    </row>
    <row r="1746" spans="1:6" ht="13.2" x14ac:dyDescent="0.25">
      <c r="A1746" s="235" t="s">
        <v>3896</v>
      </c>
      <c r="B1746" s="223" t="s">
        <v>3885</v>
      </c>
      <c r="C1746" s="217" t="s">
        <v>1011</v>
      </c>
      <c r="D1746" s="53">
        <v>0</v>
      </c>
      <c r="E1746" s="121">
        <f>Saisie!D1746</f>
        <v>0</v>
      </c>
      <c r="F1746" s="51">
        <f t="shared" si="111"/>
        <v>0</v>
      </c>
    </row>
    <row r="1747" spans="1:6" ht="13.2" x14ac:dyDescent="0.25">
      <c r="A1747" s="235" t="s">
        <v>3897</v>
      </c>
      <c r="B1747" s="223" t="s">
        <v>3898</v>
      </c>
      <c r="C1747" s="217"/>
      <c r="D1747" s="45"/>
      <c r="E1747" s="121"/>
      <c r="F1747" s="51"/>
    </row>
    <row r="1748" spans="1:6" ht="13.2" x14ac:dyDescent="0.25">
      <c r="A1748" s="235" t="s">
        <v>3899</v>
      </c>
      <c r="B1748" s="223" t="s">
        <v>3889</v>
      </c>
      <c r="C1748" s="217" t="s">
        <v>1011</v>
      </c>
      <c r="D1748" s="53">
        <v>0</v>
      </c>
      <c r="E1748" s="121">
        <f>Saisie!D1748</f>
        <v>0</v>
      </c>
      <c r="F1748" s="51">
        <f t="shared" si="111"/>
        <v>0</v>
      </c>
    </row>
    <row r="1749" spans="1:6" ht="13.2" x14ac:dyDescent="0.25">
      <c r="A1749" s="235" t="s">
        <v>3900</v>
      </c>
      <c r="B1749" s="223" t="s">
        <v>3891</v>
      </c>
      <c r="C1749" s="217" t="s">
        <v>1011</v>
      </c>
      <c r="D1749" s="53">
        <v>0</v>
      </c>
      <c r="E1749" s="121">
        <f>Saisie!D1749</f>
        <v>0</v>
      </c>
      <c r="F1749" s="51">
        <f t="shared" si="111"/>
        <v>0</v>
      </c>
    </row>
    <row r="1750" spans="1:6" ht="13.2" x14ac:dyDescent="0.25">
      <c r="A1750" s="235" t="s">
        <v>3901</v>
      </c>
      <c r="B1750" s="223" t="s">
        <v>3893</v>
      </c>
      <c r="C1750" s="217" t="s">
        <v>1011</v>
      </c>
      <c r="D1750" s="53">
        <v>0</v>
      </c>
      <c r="E1750" s="121">
        <f>Saisie!D1750</f>
        <v>0</v>
      </c>
      <c r="F1750" s="51">
        <f t="shared" si="111"/>
        <v>0</v>
      </c>
    </row>
    <row r="1751" spans="1:6" ht="13.2" x14ac:dyDescent="0.25">
      <c r="A1751" s="235" t="s">
        <v>3902</v>
      </c>
      <c r="B1751" s="223" t="s">
        <v>3895</v>
      </c>
      <c r="C1751" s="217" t="s">
        <v>1011</v>
      </c>
      <c r="D1751" s="53">
        <v>0</v>
      </c>
      <c r="E1751" s="121">
        <f>Saisie!D1751</f>
        <v>0</v>
      </c>
      <c r="F1751" s="51">
        <f t="shared" si="111"/>
        <v>0</v>
      </c>
    </row>
    <row r="1752" spans="1:6" ht="13.2" x14ac:dyDescent="0.25">
      <c r="A1752" s="235" t="s">
        <v>3903</v>
      </c>
      <c r="B1752" s="223" t="s">
        <v>3885</v>
      </c>
      <c r="C1752" s="217" t="s">
        <v>1011</v>
      </c>
      <c r="D1752" s="53">
        <v>0</v>
      </c>
      <c r="E1752" s="121">
        <f>Saisie!D1752</f>
        <v>0</v>
      </c>
      <c r="F1752" s="51">
        <f t="shared" si="111"/>
        <v>0</v>
      </c>
    </row>
    <row r="1753" spans="1:6" ht="13.2" x14ac:dyDescent="0.25">
      <c r="A1753" s="235" t="s">
        <v>3904</v>
      </c>
      <c r="B1753" s="223" t="s">
        <v>3905</v>
      </c>
      <c r="C1753" s="217"/>
      <c r="D1753" s="45"/>
      <c r="E1753" s="121"/>
      <c r="F1753" s="51"/>
    </row>
    <row r="1754" spans="1:6" ht="13.2" x14ac:dyDescent="0.25">
      <c r="A1754" s="235" t="s">
        <v>3906</v>
      </c>
      <c r="B1754" s="223" t="s">
        <v>3889</v>
      </c>
      <c r="C1754" s="217" t="s">
        <v>1011</v>
      </c>
      <c r="D1754" s="53">
        <v>0</v>
      </c>
      <c r="E1754" s="121">
        <f>Saisie!D1754</f>
        <v>0</v>
      </c>
      <c r="F1754" s="51">
        <f t="shared" si="111"/>
        <v>0</v>
      </c>
    </row>
    <row r="1755" spans="1:6" ht="13.2" x14ac:dyDescent="0.25">
      <c r="A1755" s="235" t="s">
        <v>3907</v>
      </c>
      <c r="B1755" s="223" t="s">
        <v>3891</v>
      </c>
      <c r="C1755" s="217" t="s">
        <v>1011</v>
      </c>
      <c r="D1755" s="53">
        <v>0</v>
      </c>
      <c r="E1755" s="121">
        <f>Saisie!D1755</f>
        <v>0</v>
      </c>
      <c r="F1755" s="51">
        <f t="shared" si="111"/>
        <v>0</v>
      </c>
    </row>
    <row r="1756" spans="1:6" ht="13.2" x14ac:dyDescent="0.25">
      <c r="A1756" s="235" t="s">
        <v>3908</v>
      </c>
      <c r="B1756" s="223" t="s">
        <v>3893</v>
      </c>
      <c r="C1756" s="217" t="s">
        <v>1011</v>
      </c>
      <c r="D1756" s="53">
        <v>0</v>
      </c>
      <c r="E1756" s="121">
        <f>Saisie!D1756</f>
        <v>0</v>
      </c>
      <c r="F1756" s="51">
        <f t="shared" si="111"/>
        <v>0</v>
      </c>
    </row>
    <row r="1757" spans="1:6" ht="13.2" x14ac:dyDescent="0.25">
      <c r="A1757" s="235" t="s">
        <v>3909</v>
      </c>
      <c r="B1757" s="223" t="s">
        <v>3895</v>
      </c>
      <c r="C1757" s="217" t="s">
        <v>1011</v>
      </c>
      <c r="D1757" s="53">
        <v>0</v>
      </c>
      <c r="E1757" s="121">
        <f>Saisie!D1757</f>
        <v>0</v>
      </c>
      <c r="F1757" s="51">
        <f t="shared" si="111"/>
        <v>0</v>
      </c>
    </row>
    <row r="1758" spans="1:6" ht="13.2" x14ac:dyDescent="0.25">
      <c r="A1758" s="235" t="s">
        <v>3910</v>
      </c>
      <c r="B1758" s="223" t="s">
        <v>3885</v>
      </c>
      <c r="C1758" s="217" t="s">
        <v>1011</v>
      </c>
      <c r="D1758" s="53">
        <v>0</v>
      </c>
      <c r="E1758" s="121">
        <f>Saisie!D1758</f>
        <v>0</v>
      </c>
      <c r="F1758" s="51">
        <f t="shared" si="111"/>
        <v>0</v>
      </c>
    </row>
    <row r="1759" spans="1:6" ht="13.2" x14ac:dyDescent="0.25">
      <c r="A1759" s="235" t="s">
        <v>3911</v>
      </c>
      <c r="B1759" s="223" t="s">
        <v>3912</v>
      </c>
      <c r="C1759" s="217"/>
      <c r="D1759" s="45"/>
      <c r="E1759" s="121"/>
      <c r="F1759" s="51"/>
    </row>
    <row r="1760" spans="1:6" ht="13.2" x14ac:dyDescent="0.25">
      <c r="A1760" s="235" t="s">
        <v>3913</v>
      </c>
      <c r="B1760" s="223" t="s">
        <v>3889</v>
      </c>
      <c r="C1760" s="217" t="s">
        <v>1011</v>
      </c>
      <c r="D1760" s="53">
        <v>0</v>
      </c>
      <c r="E1760" s="121">
        <f>Saisie!D1760</f>
        <v>0</v>
      </c>
      <c r="F1760" s="51">
        <f t="shared" si="111"/>
        <v>0</v>
      </c>
    </row>
    <row r="1761" spans="1:6" ht="13.2" x14ac:dyDescent="0.25">
      <c r="A1761" s="235" t="s">
        <v>3914</v>
      </c>
      <c r="B1761" s="223" t="s">
        <v>3891</v>
      </c>
      <c r="C1761" s="217" t="s">
        <v>1011</v>
      </c>
      <c r="D1761" s="53">
        <v>0</v>
      </c>
      <c r="E1761" s="121">
        <f>Saisie!D1761</f>
        <v>0</v>
      </c>
      <c r="F1761" s="51">
        <f t="shared" si="111"/>
        <v>0</v>
      </c>
    </row>
    <row r="1762" spans="1:6" ht="13.2" x14ac:dyDescent="0.25">
      <c r="A1762" s="235" t="s">
        <v>3915</v>
      </c>
      <c r="B1762" s="223" t="s">
        <v>3893</v>
      </c>
      <c r="C1762" s="217" t="s">
        <v>1011</v>
      </c>
      <c r="D1762" s="53">
        <v>0</v>
      </c>
      <c r="E1762" s="121">
        <f>Saisie!D1762</f>
        <v>0</v>
      </c>
      <c r="F1762" s="51">
        <f t="shared" si="111"/>
        <v>0</v>
      </c>
    </row>
    <row r="1763" spans="1:6" ht="13.2" x14ac:dyDescent="0.25">
      <c r="A1763" s="235" t="s">
        <v>3916</v>
      </c>
      <c r="B1763" s="223" t="s">
        <v>3895</v>
      </c>
      <c r="C1763" s="217" t="s">
        <v>1011</v>
      </c>
      <c r="D1763" s="53">
        <v>0</v>
      </c>
      <c r="E1763" s="121">
        <f>Saisie!D1763</f>
        <v>0</v>
      </c>
      <c r="F1763" s="51">
        <f t="shared" si="111"/>
        <v>0</v>
      </c>
    </row>
    <row r="1764" spans="1:6" ht="13.2" x14ac:dyDescent="0.25">
      <c r="A1764" s="235" t="s">
        <v>3917</v>
      </c>
      <c r="B1764" s="223" t="s">
        <v>3885</v>
      </c>
      <c r="C1764" s="217" t="s">
        <v>1011</v>
      </c>
      <c r="D1764" s="53">
        <v>0</v>
      </c>
      <c r="E1764" s="121">
        <f>Saisie!D1764</f>
        <v>0</v>
      </c>
      <c r="F1764" s="51">
        <f t="shared" si="111"/>
        <v>0</v>
      </c>
    </row>
    <row r="1765" spans="1:6" ht="13.2" x14ac:dyDescent="0.25">
      <c r="A1765" s="235" t="s">
        <v>3918</v>
      </c>
      <c r="B1765" s="223" t="s">
        <v>3919</v>
      </c>
      <c r="C1765" s="217"/>
      <c r="D1765" s="45"/>
      <c r="E1765" s="121"/>
      <c r="F1765" s="51"/>
    </row>
    <row r="1766" spans="1:6" ht="13.2" x14ac:dyDescent="0.25">
      <c r="A1766" s="235" t="s">
        <v>3920</v>
      </c>
      <c r="B1766" s="223" t="s">
        <v>3889</v>
      </c>
      <c r="C1766" s="217" t="s">
        <v>1011</v>
      </c>
      <c r="D1766" s="53">
        <v>0</v>
      </c>
      <c r="E1766" s="121">
        <f>Saisie!D1766</f>
        <v>0</v>
      </c>
      <c r="F1766" s="51">
        <f t="shared" si="111"/>
        <v>0</v>
      </c>
    </row>
    <row r="1767" spans="1:6" ht="13.2" x14ac:dyDescent="0.25">
      <c r="A1767" s="235" t="s">
        <v>3921</v>
      </c>
      <c r="B1767" s="223" t="s">
        <v>3891</v>
      </c>
      <c r="C1767" s="217" t="s">
        <v>1011</v>
      </c>
      <c r="D1767" s="53">
        <v>0</v>
      </c>
      <c r="E1767" s="121">
        <f>Saisie!D1767</f>
        <v>0</v>
      </c>
      <c r="F1767" s="51">
        <f t="shared" si="111"/>
        <v>0</v>
      </c>
    </row>
    <row r="1768" spans="1:6" ht="13.2" x14ac:dyDescent="0.25">
      <c r="A1768" s="235" t="s">
        <v>3922</v>
      </c>
      <c r="B1768" s="223" t="s">
        <v>3893</v>
      </c>
      <c r="C1768" s="217" t="s">
        <v>1011</v>
      </c>
      <c r="D1768" s="53">
        <v>0</v>
      </c>
      <c r="E1768" s="121">
        <f>Saisie!D1768</f>
        <v>0</v>
      </c>
      <c r="F1768" s="51">
        <f t="shared" si="111"/>
        <v>0</v>
      </c>
    </row>
    <row r="1769" spans="1:6" ht="13.2" x14ac:dyDescent="0.25">
      <c r="A1769" s="235" t="s">
        <v>3923</v>
      </c>
      <c r="B1769" s="223" t="s">
        <v>3895</v>
      </c>
      <c r="C1769" s="217" t="s">
        <v>1011</v>
      </c>
      <c r="D1769" s="53">
        <v>0</v>
      </c>
      <c r="E1769" s="121">
        <f>Saisie!D1769</f>
        <v>0</v>
      </c>
      <c r="F1769" s="51">
        <f t="shared" si="111"/>
        <v>0</v>
      </c>
    </row>
    <row r="1770" spans="1:6" ht="13.2" x14ac:dyDescent="0.25">
      <c r="A1770" s="235" t="s">
        <v>3924</v>
      </c>
      <c r="B1770" s="223" t="s">
        <v>3885</v>
      </c>
      <c r="C1770" s="217" t="s">
        <v>1011</v>
      </c>
      <c r="D1770" s="53">
        <v>0</v>
      </c>
      <c r="E1770" s="121">
        <f>Saisie!D1770</f>
        <v>0</v>
      </c>
      <c r="F1770" s="51">
        <f t="shared" si="111"/>
        <v>0</v>
      </c>
    </row>
    <row r="1771" spans="1:6" ht="26.4" x14ac:dyDescent="0.25">
      <c r="A1771" s="235" t="s">
        <v>3925</v>
      </c>
      <c r="B1771" s="223" t="s">
        <v>3926</v>
      </c>
      <c r="C1771" s="217"/>
      <c r="D1771" s="45"/>
      <c r="E1771" s="121"/>
      <c r="F1771" s="51"/>
    </row>
    <row r="1772" spans="1:6" ht="13.2" x14ac:dyDescent="0.25">
      <c r="A1772" s="235" t="s">
        <v>3927</v>
      </c>
      <c r="B1772" s="223" t="s">
        <v>3928</v>
      </c>
      <c r="C1772" s="217" t="s">
        <v>1011</v>
      </c>
      <c r="D1772" s="53">
        <v>0</v>
      </c>
      <c r="E1772" s="121">
        <f>Saisie!D1772</f>
        <v>0</v>
      </c>
      <c r="F1772" s="51">
        <f t="shared" si="111"/>
        <v>0</v>
      </c>
    </row>
    <row r="1773" spans="1:6" ht="13.2" x14ac:dyDescent="0.25">
      <c r="A1773" s="235" t="s">
        <v>3929</v>
      </c>
      <c r="B1773" s="223" t="s">
        <v>3930</v>
      </c>
      <c r="C1773" s="217" t="s">
        <v>1011</v>
      </c>
      <c r="D1773" s="53">
        <v>0</v>
      </c>
      <c r="E1773" s="121">
        <f>Saisie!D1773</f>
        <v>0</v>
      </c>
      <c r="F1773" s="51">
        <f t="shared" si="111"/>
        <v>0</v>
      </c>
    </row>
    <row r="1774" spans="1:6" ht="13.2" x14ac:dyDescent="0.25">
      <c r="A1774" s="235" t="s">
        <v>3931</v>
      </c>
      <c r="B1774" s="223" t="s">
        <v>3932</v>
      </c>
      <c r="C1774" s="217" t="s">
        <v>1011</v>
      </c>
      <c r="D1774" s="53">
        <v>0</v>
      </c>
      <c r="E1774" s="121">
        <f>Saisie!D1774</f>
        <v>0</v>
      </c>
      <c r="F1774" s="51">
        <f t="shared" si="111"/>
        <v>0</v>
      </c>
    </row>
    <row r="1775" spans="1:6" ht="13.2" x14ac:dyDescent="0.25">
      <c r="A1775" s="235" t="s">
        <v>3933</v>
      </c>
      <c r="B1775" s="223" t="s">
        <v>3934</v>
      </c>
      <c r="C1775" s="217" t="s">
        <v>1011</v>
      </c>
      <c r="D1775" s="53">
        <v>0</v>
      </c>
      <c r="E1775" s="121">
        <f>Saisie!D1775</f>
        <v>0</v>
      </c>
      <c r="F1775" s="51">
        <f t="shared" si="111"/>
        <v>0</v>
      </c>
    </row>
    <row r="1776" spans="1:6" ht="13.2" x14ac:dyDescent="0.25">
      <c r="A1776" s="235" t="s">
        <v>3935</v>
      </c>
      <c r="B1776" s="223" t="s">
        <v>3936</v>
      </c>
      <c r="C1776" s="217" t="s">
        <v>1011</v>
      </c>
      <c r="D1776" s="53">
        <v>0</v>
      </c>
      <c r="E1776" s="121">
        <f>Saisie!D1776</f>
        <v>0</v>
      </c>
      <c r="F1776" s="51">
        <f t="shared" si="111"/>
        <v>0</v>
      </c>
    </row>
    <row r="1777" spans="1:6" ht="13.2" x14ac:dyDescent="0.25">
      <c r="A1777" s="28" t="s">
        <v>3937</v>
      </c>
      <c r="B1777" s="6" t="s">
        <v>3938</v>
      </c>
      <c r="C1777" s="217"/>
      <c r="D1777" s="45"/>
      <c r="E1777" s="121"/>
      <c r="F1777" s="51"/>
    </row>
    <row r="1778" spans="1:6" ht="26.4" x14ac:dyDescent="0.25">
      <c r="A1778" s="235" t="s">
        <v>3939</v>
      </c>
      <c r="B1778" s="223" t="s">
        <v>3940</v>
      </c>
      <c r="C1778" s="217" t="s">
        <v>1011</v>
      </c>
      <c r="D1778" s="53">
        <v>0</v>
      </c>
      <c r="E1778" s="121">
        <f>Saisie!D1778</f>
        <v>0</v>
      </c>
      <c r="F1778" s="51">
        <f t="shared" si="111"/>
        <v>0</v>
      </c>
    </row>
    <row r="1779" spans="1:6" ht="26.4" x14ac:dyDescent="0.25">
      <c r="A1779" s="235" t="s">
        <v>3941</v>
      </c>
      <c r="B1779" s="223" t="s">
        <v>3942</v>
      </c>
      <c r="C1779" s="217" t="s">
        <v>1011</v>
      </c>
      <c r="D1779" s="53">
        <v>0</v>
      </c>
      <c r="E1779" s="121">
        <f>Saisie!D1779</f>
        <v>0</v>
      </c>
      <c r="F1779" s="51">
        <f t="shared" si="111"/>
        <v>0</v>
      </c>
    </row>
    <row r="1780" spans="1:6" ht="26.4" x14ac:dyDescent="0.25">
      <c r="A1780" s="235" t="s">
        <v>3943</v>
      </c>
      <c r="B1780" s="223" t="s">
        <v>3944</v>
      </c>
      <c r="C1780" s="217" t="s">
        <v>1011</v>
      </c>
      <c r="D1780" s="53">
        <v>0</v>
      </c>
      <c r="E1780" s="121">
        <f>Saisie!D1780</f>
        <v>0</v>
      </c>
      <c r="F1780" s="51">
        <f t="shared" si="111"/>
        <v>0</v>
      </c>
    </row>
    <row r="1781" spans="1:6" ht="25.95" customHeight="1" x14ac:dyDescent="0.25">
      <c r="A1781" s="28" t="s">
        <v>3945</v>
      </c>
      <c r="B1781" s="6" t="s">
        <v>3946</v>
      </c>
      <c r="C1781" s="217"/>
      <c r="D1781" s="45"/>
      <c r="E1781" s="121"/>
      <c r="F1781" s="51"/>
    </row>
    <row r="1782" spans="1:6" ht="13.2" x14ac:dyDescent="0.25">
      <c r="A1782" s="235" t="s">
        <v>3947</v>
      </c>
      <c r="B1782" s="223" t="s">
        <v>3948</v>
      </c>
      <c r="C1782" s="217" t="s">
        <v>1011</v>
      </c>
      <c r="D1782" s="53">
        <v>0</v>
      </c>
      <c r="E1782" s="121">
        <f>Saisie!D1782</f>
        <v>0</v>
      </c>
      <c r="F1782" s="51">
        <f t="shared" si="111"/>
        <v>0</v>
      </c>
    </row>
    <row r="1783" spans="1:6" ht="13.2" x14ac:dyDescent="0.25">
      <c r="A1783" s="235" t="s">
        <v>3949</v>
      </c>
      <c r="B1783" s="223" t="s">
        <v>3950</v>
      </c>
      <c r="C1783" s="217"/>
      <c r="D1783" s="45"/>
      <c r="E1783" s="121"/>
      <c r="F1783" s="51"/>
    </row>
    <row r="1784" spans="1:6" ht="13.2" x14ac:dyDescent="0.25">
      <c r="A1784" s="235" t="s">
        <v>3951</v>
      </c>
      <c r="B1784" s="223" t="s">
        <v>3952</v>
      </c>
      <c r="C1784" s="217" t="s">
        <v>1011</v>
      </c>
      <c r="D1784" s="53">
        <v>0</v>
      </c>
      <c r="E1784" s="121">
        <f>Saisie!D1784</f>
        <v>0</v>
      </c>
      <c r="F1784" s="51">
        <f t="shared" si="111"/>
        <v>0</v>
      </c>
    </row>
    <row r="1785" spans="1:6" ht="13.2" x14ac:dyDescent="0.25">
      <c r="A1785" s="235" t="s">
        <v>3953</v>
      </c>
      <c r="B1785" s="223" t="s">
        <v>3954</v>
      </c>
      <c r="C1785" s="217" t="s">
        <v>1011</v>
      </c>
      <c r="D1785" s="53">
        <v>0</v>
      </c>
      <c r="E1785" s="121">
        <f>Saisie!D1785</f>
        <v>0</v>
      </c>
      <c r="F1785" s="51">
        <f t="shared" si="111"/>
        <v>0</v>
      </c>
    </row>
    <row r="1786" spans="1:6" ht="13.2" x14ac:dyDescent="0.25">
      <c r="A1786" s="235" t="s">
        <v>3955</v>
      </c>
      <c r="B1786" s="223" t="s">
        <v>3956</v>
      </c>
      <c r="C1786" s="217" t="s">
        <v>1011</v>
      </c>
      <c r="D1786" s="53">
        <v>0</v>
      </c>
      <c r="E1786" s="121">
        <f>Saisie!D1786</f>
        <v>0</v>
      </c>
      <c r="F1786" s="51">
        <f t="shared" si="111"/>
        <v>0</v>
      </c>
    </row>
    <row r="1787" spans="1:6" ht="13.2" x14ac:dyDescent="0.25">
      <c r="A1787" s="235" t="s">
        <v>3957</v>
      </c>
      <c r="B1787" s="223" t="s">
        <v>3958</v>
      </c>
      <c r="C1787" s="217" t="s">
        <v>1011</v>
      </c>
      <c r="D1787" s="53">
        <v>0</v>
      </c>
      <c r="E1787" s="121">
        <f>Saisie!D1787</f>
        <v>0</v>
      </c>
      <c r="F1787" s="51">
        <f t="shared" si="111"/>
        <v>0</v>
      </c>
    </row>
    <row r="1788" spans="1:6" ht="13.2" x14ac:dyDescent="0.25">
      <c r="A1788" s="28" t="s">
        <v>3959</v>
      </c>
      <c r="B1788" s="6" t="s">
        <v>3960</v>
      </c>
      <c r="C1788" s="217"/>
      <c r="D1788" s="45"/>
      <c r="E1788" s="121"/>
      <c r="F1788" s="51"/>
    </row>
    <row r="1789" spans="1:6" ht="13.2" x14ac:dyDescent="0.25">
      <c r="A1789" s="235" t="s">
        <v>3961</v>
      </c>
      <c r="B1789" s="223" t="s">
        <v>3962</v>
      </c>
      <c r="C1789" s="217"/>
      <c r="D1789" s="45"/>
      <c r="E1789" s="121"/>
      <c r="F1789" s="51"/>
    </row>
    <row r="1790" spans="1:6" ht="13.2" x14ac:dyDescent="0.25">
      <c r="A1790" s="235" t="s">
        <v>3963</v>
      </c>
      <c r="B1790" s="223" t="s">
        <v>3964</v>
      </c>
      <c r="C1790" s="217" t="s">
        <v>984</v>
      </c>
      <c r="D1790" s="53">
        <v>0</v>
      </c>
      <c r="E1790" s="121">
        <f>Saisie!D1790</f>
        <v>0</v>
      </c>
      <c r="F1790" s="51">
        <f t="shared" si="111"/>
        <v>0</v>
      </c>
    </row>
    <row r="1791" spans="1:6" ht="13.2" x14ac:dyDescent="0.25">
      <c r="A1791" s="235" t="s">
        <v>3965</v>
      </c>
      <c r="B1791" s="223" t="s">
        <v>3966</v>
      </c>
      <c r="C1791" s="217" t="s">
        <v>984</v>
      </c>
      <c r="D1791" s="53">
        <v>0</v>
      </c>
      <c r="E1791" s="121">
        <f>Saisie!D1791</f>
        <v>0</v>
      </c>
      <c r="F1791" s="51">
        <f t="shared" si="111"/>
        <v>0</v>
      </c>
    </row>
    <row r="1792" spans="1:6" ht="13.2" x14ac:dyDescent="0.25">
      <c r="A1792" s="235" t="s">
        <v>3967</v>
      </c>
      <c r="B1792" s="223" t="s">
        <v>3968</v>
      </c>
      <c r="C1792" s="217" t="s">
        <v>984</v>
      </c>
      <c r="D1792" s="53">
        <v>0</v>
      </c>
      <c r="E1792" s="121">
        <f>Saisie!D1792</f>
        <v>0</v>
      </c>
      <c r="F1792" s="51">
        <f t="shared" si="111"/>
        <v>0</v>
      </c>
    </row>
    <row r="1793" spans="1:9" ht="13.2" x14ac:dyDescent="0.25">
      <c r="A1793" s="235" t="s">
        <v>3969</v>
      </c>
      <c r="B1793" s="223" t="s">
        <v>3970</v>
      </c>
      <c r="C1793" s="217" t="s">
        <v>984</v>
      </c>
      <c r="D1793" s="53">
        <v>0</v>
      </c>
      <c r="E1793" s="121">
        <f>Saisie!D1793</f>
        <v>0</v>
      </c>
      <c r="F1793" s="51">
        <f t="shared" si="111"/>
        <v>0</v>
      </c>
    </row>
    <row r="1794" spans="1:9" ht="13.2" x14ac:dyDescent="0.25">
      <c r="A1794" s="235" t="s">
        <v>3971</v>
      </c>
      <c r="B1794" s="223" t="s">
        <v>3972</v>
      </c>
      <c r="C1794" s="217" t="s">
        <v>984</v>
      </c>
      <c r="D1794" s="53">
        <v>0</v>
      </c>
      <c r="E1794" s="121">
        <f>Saisie!D1794</f>
        <v>0</v>
      </c>
      <c r="F1794" s="51">
        <f t="shared" si="111"/>
        <v>0</v>
      </c>
    </row>
    <row r="1795" spans="1:9" ht="13.2" x14ac:dyDescent="0.25">
      <c r="A1795" s="235" t="s">
        <v>3973</v>
      </c>
      <c r="B1795" s="223" t="s">
        <v>3974</v>
      </c>
      <c r="C1795" s="217" t="s">
        <v>984</v>
      </c>
      <c r="D1795" s="53">
        <v>0</v>
      </c>
      <c r="E1795" s="121">
        <f>Saisie!D1795</f>
        <v>0</v>
      </c>
      <c r="F1795" s="51">
        <f t="shared" si="111"/>
        <v>0</v>
      </c>
    </row>
    <row r="1796" spans="1:9" ht="13.2" x14ac:dyDescent="0.25">
      <c r="A1796" s="235" t="s">
        <v>3975</v>
      </c>
      <c r="B1796" s="223" t="s">
        <v>3976</v>
      </c>
      <c r="C1796" s="217"/>
      <c r="D1796" s="45"/>
      <c r="E1796" s="121"/>
      <c r="F1796" s="51"/>
    </row>
    <row r="1797" spans="1:9" ht="13.2" x14ac:dyDescent="0.25">
      <c r="A1797" s="235" t="s">
        <v>3977</v>
      </c>
      <c r="B1797" s="223" t="s">
        <v>3978</v>
      </c>
      <c r="C1797" s="217" t="s">
        <v>1034</v>
      </c>
      <c r="D1797" s="53">
        <v>0</v>
      </c>
      <c r="E1797" s="121">
        <f>Saisie!D1797</f>
        <v>0</v>
      </c>
      <c r="F1797" s="51">
        <f t="shared" si="111"/>
        <v>0</v>
      </c>
    </row>
    <row r="1798" spans="1:9" ht="13.2" x14ac:dyDescent="0.25">
      <c r="A1798" s="235" t="s">
        <v>3979</v>
      </c>
      <c r="B1798" s="223" t="s">
        <v>3980</v>
      </c>
      <c r="C1798" s="217" t="s">
        <v>1034</v>
      </c>
      <c r="D1798" s="53">
        <v>0</v>
      </c>
      <c r="E1798" s="121">
        <f>Saisie!D1798</f>
        <v>0</v>
      </c>
      <c r="F1798" s="51">
        <f t="shared" si="111"/>
        <v>0</v>
      </c>
    </row>
    <row r="1799" spans="1:9" ht="13.2" x14ac:dyDescent="0.25">
      <c r="A1799" s="235" t="s">
        <v>3981</v>
      </c>
      <c r="B1799" s="223" t="s">
        <v>3982</v>
      </c>
      <c r="C1799" s="217" t="s">
        <v>1034</v>
      </c>
      <c r="D1799" s="53">
        <v>0</v>
      </c>
      <c r="E1799" s="121">
        <f>Saisie!D1799</f>
        <v>0</v>
      </c>
      <c r="F1799" s="51">
        <f t="shared" si="111"/>
        <v>0</v>
      </c>
    </row>
    <row r="1800" spans="1:9" ht="13.2" x14ac:dyDescent="0.25">
      <c r="A1800" s="235" t="s">
        <v>3983</v>
      </c>
      <c r="B1800" s="223" t="s">
        <v>3984</v>
      </c>
      <c r="C1800" s="217"/>
      <c r="D1800" s="45"/>
      <c r="E1800" s="121"/>
      <c r="F1800" s="51"/>
    </row>
    <row r="1801" spans="1:9" ht="13.2" x14ac:dyDescent="0.25">
      <c r="A1801" s="235" t="s">
        <v>3985</v>
      </c>
      <c r="B1801" s="223" t="s">
        <v>3986</v>
      </c>
      <c r="C1801" s="217" t="s">
        <v>1034</v>
      </c>
      <c r="D1801" s="53">
        <v>0</v>
      </c>
      <c r="E1801" s="121">
        <f>Saisie!D1801</f>
        <v>0</v>
      </c>
      <c r="F1801" s="51">
        <f t="shared" ref="F1801:F1817" si="112">E1801*D1801</f>
        <v>0</v>
      </c>
    </row>
    <row r="1802" spans="1:9" ht="13.2" x14ac:dyDescent="0.25">
      <c r="A1802" s="235" t="s">
        <v>3987</v>
      </c>
      <c r="B1802" s="223" t="s">
        <v>3988</v>
      </c>
      <c r="C1802" s="217" t="s">
        <v>1034</v>
      </c>
      <c r="D1802" s="53">
        <v>0</v>
      </c>
      <c r="E1802" s="121">
        <f>Saisie!D1802</f>
        <v>0</v>
      </c>
      <c r="F1802" s="51">
        <f t="shared" si="112"/>
        <v>0</v>
      </c>
      <c r="I1802" s="25"/>
    </row>
    <row r="1803" spans="1:9" ht="13.2" x14ac:dyDescent="0.25">
      <c r="A1803" s="235" t="s">
        <v>3989</v>
      </c>
      <c r="B1803" s="223" t="s">
        <v>3990</v>
      </c>
      <c r="C1803" s="217" t="s">
        <v>1034</v>
      </c>
      <c r="D1803" s="53">
        <v>0</v>
      </c>
      <c r="E1803" s="121">
        <f>Saisie!D1803</f>
        <v>0</v>
      </c>
      <c r="F1803" s="51">
        <f t="shared" si="112"/>
        <v>0</v>
      </c>
    </row>
    <row r="1804" spans="1:9" ht="13.2" x14ac:dyDescent="0.25">
      <c r="A1804" s="235" t="s">
        <v>3991</v>
      </c>
      <c r="B1804" s="223" t="s">
        <v>3992</v>
      </c>
      <c r="C1804" s="217" t="s">
        <v>1034</v>
      </c>
      <c r="D1804" s="53">
        <v>0</v>
      </c>
      <c r="E1804" s="121">
        <f>Saisie!D1804</f>
        <v>0</v>
      </c>
      <c r="F1804" s="51">
        <f t="shared" si="112"/>
        <v>0</v>
      </c>
    </row>
    <row r="1805" spans="1:9" ht="13.2" x14ac:dyDescent="0.25">
      <c r="A1805" s="235" t="s">
        <v>3993</v>
      </c>
      <c r="B1805" s="223" t="s">
        <v>3994</v>
      </c>
      <c r="C1805" s="217" t="s">
        <v>1034</v>
      </c>
      <c r="D1805" s="53">
        <v>0</v>
      </c>
      <c r="E1805" s="121">
        <f>Saisie!D1805</f>
        <v>0</v>
      </c>
      <c r="F1805" s="51">
        <f t="shared" si="112"/>
        <v>0</v>
      </c>
    </row>
    <row r="1806" spans="1:9" ht="13.2" x14ac:dyDescent="0.25">
      <c r="A1806" s="235" t="s">
        <v>3995</v>
      </c>
      <c r="B1806" s="223" t="s">
        <v>3996</v>
      </c>
      <c r="C1806" s="217" t="s">
        <v>1034</v>
      </c>
      <c r="D1806" s="53">
        <v>0</v>
      </c>
      <c r="E1806" s="121">
        <f>Saisie!D1806</f>
        <v>0</v>
      </c>
      <c r="F1806" s="51">
        <f t="shared" si="112"/>
        <v>0</v>
      </c>
    </row>
    <row r="1807" spans="1:9" ht="13.2" x14ac:dyDescent="0.25">
      <c r="A1807" s="235" t="s">
        <v>3997</v>
      </c>
      <c r="B1807" s="223" t="s">
        <v>3998</v>
      </c>
      <c r="C1807" s="217" t="s">
        <v>1034</v>
      </c>
      <c r="D1807" s="53">
        <v>0</v>
      </c>
      <c r="E1807" s="121">
        <f>Saisie!D1807</f>
        <v>0</v>
      </c>
      <c r="F1807" s="51">
        <f t="shared" si="112"/>
        <v>0</v>
      </c>
    </row>
    <row r="1808" spans="1:9" ht="13.2" x14ac:dyDescent="0.25">
      <c r="A1808" s="28" t="s">
        <v>3999</v>
      </c>
      <c r="B1808" s="6" t="s">
        <v>4000</v>
      </c>
      <c r="C1808" s="217"/>
      <c r="D1808" s="45"/>
      <c r="E1808" s="121"/>
      <c r="F1808" s="51"/>
    </row>
    <row r="1809" spans="1:6" ht="13.2" x14ac:dyDescent="0.25">
      <c r="A1809" s="235" t="s">
        <v>4001</v>
      </c>
      <c r="B1809" s="223" t="s">
        <v>4002</v>
      </c>
      <c r="C1809" s="217"/>
      <c r="D1809" s="45"/>
      <c r="E1809" s="121"/>
      <c r="F1809" s="51"/>
    </row>
    <row r="1810" spans="1:6" ht="13.2" x14ac:dyDescent="0.25">
      <c r="A1810" s="235" t="s">
        <v>4003</v>
      </c>
      <c r="B1810" s="223" t="s">
        <v>4004</v>
      </c>
      <c r="C1810" s="217" t="s">
        <v>1141</v>
      </c>
      <c r="D1810" s="53">
        <v>0</v>
      </c>
      <c r="E1810" s="121">
        <f>Saisie!D1810</f>
        <v>0</v>
      </c>
      <c r="F1810" s="51">
        <f t="shared" si="112"/>
        <v>0</v>
      </c>
    </row>
    <row r="1811" spans="1:6" ht="13.2" x14ac:dyDescent="0.25">
      <c r="A1811" s="235" t="s">
        <v>4005</v>
      </c>
      <c r="B1811" s="223" t="s">
        <v>4006</v>
      </c>
      <c r="C1811" s="217" t="s">
        <v>1141</v>
      </c>
      <c r="D1811" s="53">
        <v>0</v>
      </c>
      <c r="E1811" s="121">
        <f>Saisie!D1811</f>
        <v>0</v>
      </c>
      <c r="F1811" s="51">
        <f t="shared" si="112"/>
        <v>0</v>
      </c>
    </row>
    <row r="1812" spans="1:6" ht="13.2" x14ac:dyDescent="0.25">
      <c r="A1812" s="235" t="s">
        <v>4007</v>
      </c>
      <c r="B1812" s="223" t="s">
        <v>4008</v>
      </c>
      <c r="C1812" s="217" t="s">
        <v>1141</v>
      </c>
      <c r="D1812" s="53">
        <v>0</v>
      </c>
      <c r="E1812" s="121">
        <f>Saisie!D1812</f>
        <v>0</v>
      </c>
      <c r="F1812" s="51">
        <f t="shared" si="112"/>
        <v>0</v>
      </c>
    </row>
    <row r="1813" spans="1:6" ht="13.2" x14ac:dyDescent="0.25">
      <c r="A1813" s="235" t="s">
        <v>4009</v>
      </c>
      <c r="B1813" s="223" t="s">
        <v>4010</v>
      </c>
      <c r="C1813" s="217"/>
      <c r="D1813" s="45"/>
      <c r="E1813" s="121"/>
      <c r="F1813" s="51"/>
    </row>
    <row r="1814" spans="1:6" ht="13.2" x14ac:dyDescent="0.25">
      <c r="A1814" s="235" t="s">
        <v>4011</v>
      </c>
      <c r="B1814" s="223" t="s">
        <v>4004</v>
      </c>
      <c r="C1814" s="217" t="s">
        <v>1141</v>
      </c>
      <c r="D1814" s="53">
        <v>0</v>
      </c>
      <c r="E1814" s="121">
        <f>Saisie!D1814</f>
        <v>0</v>
      </c>
      <c r="F1814" s="51">
        <f t="shared" si="112"/>
        <v>0</v>
      </c>
    </row>
    <row r="1815" spans="1:6" ht="13.2" x14ac:dyDescent="0.25">
      <c r="A1815" s="235" t="s">
        <v>4012</v>
      </c>
      <c r="B1815" s="223" t="s">
        <v>4006</v>
      </c>
      <c r="C1815" s="217" t="s">
        <v>1141</v>
      </c>
      <c r="D1815" s="53">
        <v>0</v>
      </c>
      <c r="E1815" s="121">
        <f>Saisie!D1815</f>
        <v>0</v>
      </c>
      <c r="F1815" s="51">
        <f t="shared" si="112"/>
        <v>0</v>
      </c>
    </row>
    <row r="1816" spans="1:6" ht="13.2" x14ac:dyDescent="0.25">
      <c r="A1816" s="235" t="s">
        <v>4013</v>
      </c>
      <c r="B1816" s="223" t="s">
        <v>4008</v>
      </c>
      <c r="C1816" s="217" t="s">
        <v>1141</v>
      </c>
      <c r="D1816" s="53">
        <v>0</v>
      </c>
      <c r="E1816" s="121">
        <f>Saisie!D1816</f>
        <v>0</v>
      </c>
      <c r="F1816" s="51">
        <f t="shared" si="112"/>
        <v>0</v>
      </c>
    </row>
    <row r="1817" spans="1:6" ht="13.2" x14ac:dyDescent="0.25">
      <c r="A1817" s="28" t="s">
        <v>4014</v>
      </c>
      <c r="B1817" s="6" t="s">
        <v>4015</v>
      </c>
      <c r="C1817" s="217" t="s">
        <v>1141</v>
      </c>
      <c r="D1817" s="53">
        <v>0</v>
      </c>
      <c r="E1817" s="121">
        <f>Saisie!D1817</f>
        <v>0</v>
      </c>
      <c r="F1817" s="51">
        <f t="shared" si="112"/>
        <v>0</v>
      </c>
    </row>
    <row r="1818" spans="1:6" ht="13.2" x14ac:dyDescent="0.25">
      <c r="A1818" s="202"/>
      <c r="B1818" s="216"/>
      <c r="C1818" s="217"/>
      <c r="D1818" s="217"/>
      <c r="E1818" s="217"/>
      <c r="F1818" s="217"/>
    </row>
    <row r="1819" spans="1:6" ht="13.2" x14ac:dyDescent="0.25">
      <c r="A1819" s="202"/>
      <c r="B1819" s="122" t="s">
        <v>4016</v>
      </c>
      <c r="C1819" s="217"/>
      <c r="D1819" s="217"/>
      <c r="E1819" s="217"/>
      <c r="F1819" s="84">
        <f>SUM(F1606:F1818)</f>
        <v>0</v>
      </c>
    </row>
    <row r="1820" spans="1:6" ht="13.2" x14ac:dyDescent="0.25">
      <c r="A1820" s="202"/>
      <c r="B1820" s="122"/>
      <c r="C1820" s="217"/>
      <c r="D1820" s="217"/>
      <c r="E1820" s="217"/>
      <c r="F1820" s="217"/>
    </row>
    <row r="1821" spans="1:6" ht="13.2" x14ac:dyDescent="0.25">
      <c r="A1821" s="29" t="s">
        <v>4017</v>
      </c>
      <c r="B1821" s="30" t="s">
        <v>4018</v>
      </c>
      <c r="C1821" s="224"/>
      <c r="D1821" s="224"/>
      <c r="E1821" s="224"/>
      <c r="F1821" s="224"/>
    </row>
    <row r="1822" spans="1:6" ht="13.2" x14ac:dyDescent="0.25">
      <c r="A1822" s="27" t="s">
        <v>4019</v>
      </c>
      <c r="B1822" s="6" t="s">
        <v>4020</v>
      </c>
      <c r="C1822" s="217"/>
      <c r="D1822" s="217"/>
      <c r="E1822" s="217"/>
      <c r="F1822" s="217"/>
    </row>
    <row r="1823" spans="1:6" ht="26.4" x14ac:dyDescent="0.25">
      <c r="A1823" s="202" t="s">
        <v>4021</v>
      </c>
      <c r="B1823" s="216" t="s">
        <v>4022</v>
      </c>
      <c r="C1823" s="217" t="s">
        <v>984</v>
      </c>
      <c r="D1823" s="53">
        <v>2</v>
      </c>
      <c r="E1823" s="121">
        <f>Saisie!D1823</f>
        <v>0</v>
      </c>
      <c r="F1823" s="51">
        <f>D1823*E1823</f>
        <v>0</v>
      </c>
    </row>
    <row r="1824" spans="1:6" ht="26.4" x14ac:dyDescent="0.25">
      <c r="A1824" s="202" t="s">
        <v>4023</v>
      </c>
      <c r="B1824" s="216" t="s">
        <v>4024</v>
      </c>
      <c r="C1824" s="217" t="s">
        <v>984</v>
      </c>
      <c r="D1824" s="53">
        <v>0</v>
      </c>
      <c r="E1824" s="121">
        <f>Saisie!D1824</f>
        <v>0</v>
      </c>
      <c r="F1824" s="51">
        <f t="shared" ref="F1824:F1872" si="113">D1824*E1824</f>
        <v>0</v>
      </c>
    </row>
    <row r="1825" spans="1:6" ht="26.4" x14ac:dyDescent="0.25">
      <c r="A1825" s="202" t="s">
        <v>4025</v>
      </c>
      <c r="B1825" s="216" t="s">
        <v>4026</v>
      </c>
      <c r="C1825" s="217" t="s">
        <v>984</v>
      </c>
      <c r="D1825" s="53">
        <v>0</v>
      </c>
      <c r="E1825" s="121">
        <f>Saisie!D1825</f>
        <v>0</v>
      </c>
      <c r="F1825" s="51">
        <f t="shared" si="113"/>
        <v>0</v>
      </c>
    </row>
    <row r="1826" spans="1:6" ht="13.2" x14ac:dyDescent="0.25">
      <c r="A1826" s="202" t="s">
        <v>4027</v>
      </c>
      <c r="B1826" s="192" t="s">
        <v>4028</v>
      </c>
      <c r="C1826" s="217" t="s">
        <v>1026</v>
      </c>
      <c r="D1826" s="53">
        <v>25</v>
      </c>
      <c r="E1826" s="121">
        <f>Saisie!D1826</f>
        <v>0</v>
      </c>
      <c r="F1826" s="51">
        <f t="shared" si="113"/>
        <v>0</v>
      </c>
    </row>
    <row r="1827" spans="1:6" ht="26.4" x14ac:dyDescent="0.25">
      <c r="A1827" s="202" t="s">
        <v>4029</v>
      </c>
      <c r="B1827" s="192" t="s">
        <v>4030</v>
      </c>
      <c r="C1827" s="217" t="s">
        <v>1026</v>
      </c>
      <c r="D1827" s="53">
        <v>100</v>
      </c>
      <c r="E1827" s="121">
        <f>Saisie!D1827</f>
        <v>0</v>
      </c>
      <c r="F1827" s="51">
        <f t="shared" si="113"/>
        <v>0</v>
      </c>
    </row>
    <row r="1828" spans="1:6" ht="26.4" x14ac:dyDescent="0.25">
      <c r="A1828" s="202" t="s">
        <v>4031</v>
      </c>
      <c r="B1828" s="192" t="s">
        <v>4032</v>
      </c>
      <c r="C1828" s="217" t="s">
        <v>1026</v>
      </c>
      <c r="D1828" s="53">
        <v>0</v>
      </c>
      <c r="E1828" s="121">
        <f>Saisie!D1828</f>
        <v>0</v>
      </c>
      <c r="F1828" s="51">
        <f t="shared" si="113"/>
        <v>0</v>
      </c>
    </row>
    <row r="1829" spans="1:6" ht="13.2" x14ac:dyDescent="0.25">
      <c r="A1829" s="202" t="s">
        <v>4033</v>
      </c>
      <c r="B1829" s="216" t="s">
        <v>4034</v>
      </c>
      <c r="C1829" s="217" t="s">
        <v>2879</v>
      </c>
      <c r="D1829" s="53">
        <v>80</v>
      </c>
      <c r="E1829" s="121">
        <f>Saisie!D1829</f>
        <v>0</v>
      </c>
      <c r="F1829" s="51">
        <f t="shared" si="113"/>
        <v>0</v>
      </c>
    </row>
    <row r="1830" spans="1:6" ht="13.2" x14ac:dyDescent="0.25">
      <c r="A1830" s="202" t="s">
        <v>4035</v>
      </c>
      <c r="B1830" s="216" t="s">
        <v>4036</v>
      </c>
      <c r="C1830" s="217" t="s">
        <v>2879</v>
      </c>
      <c r="D1830" s="53">
        <v>0</v>
      </c>
      <c r="E1830" s="121">
        <f>Saisie!D1830</f>
        <v>0</v>
      </c>
      <c r="F1830" s="51">
        <f t="shared" si="113"/>
        <v>0</v>
      </c>
    </row>
    <row r="1831" spans="1:6" ht="13.2" x14ac:dyDescent="0.25">
      <c r="A1831" s="202" t="s">
        <v>4037</v>
      </c>
      <c r="B1831" s="216" t="s">
        <v>4038</v>
      </c>
      <c r="C1831" s="217" t="s">
        <v>2879</v>
      </c>
      <c r="D1831" s="53">
        <v>0</v>
      </c>
      <c r="E1831" s="121">
        <f>Saisie!D1831</f>
        <v>0</v>
      </c>
      <c r="F1831" s="51">
        <f t="shared" si="113"/>
        <v>0</v>
      </c>
    </row>
    <row r="1832" spans="1:6" ht="13.2" x14ac:dyDescent="0.25">
      <c r="A1832" s="202" t="s">
        <v>4039</v>
      </c>
      <c r="B1832" s="216" t="s">
        <v>4040</v>
      </c>
      <c r="C1832" s="217"/>
      <c r="D1832" s="45"/>
      <c r="E1832" s="121"/>
      <c r="F1832" s="51"/>
    </row>
    <row r="1833" spans="1:6" ht="13.2" x14ac:dyDescent="0.25">
      <c r="A1833" s="202" t="s">
        <v>4041</v>
      </c>
      <c r="B1833" s="216" t="s">
        <v>3793</v>
      </c>
      <c r="C1833" s="217" t="s">
        <v>1034</v>
      </c>
      <c r="D1833" s="53">
        <v>110</v>
      </c>
      <c r="E1833" s="121">
        <f>Saisie!D1833</f>
        <v>0</v>
      </c>
      <c r="F1833" s="51">
        <f t="shared" si="113"/>
        <v>0</v>
      </c>
    </row>
    <row r="1834" spans="1:6" ht="13.2" x14ac:dyDescent="0.25">
      <c r="A1834" s="202" t="s">
        <v>4042</v>
      </c>
      <c r="B1834" s="216" t="s">
        <v>3795</v>
      </c>
      <c r="C1834" s="217" t="s">
        <v>1034</v>
      </c>
      <c r="D1834" s="53">
        <v>0</v>
      </c>
      <c r="E1834" s="121">
        <f>Saisie!D1834</f>
        <v>0</v>
      </c>
      <c r="F1834" s="51">
        <f t="shared" si="113"/>
        <v>0</v>
      </c>
    </row>
    <row r="1835" spans="1:6" ht="13.2" x14ac:dyDescent="0.25">
      <c r="A1835" s="202" t="s">
        <v>4043</v>
      </c>
      <c r="B1835" s="216" t="s">
        <v>3797</v>
      </c>
      <c r="C1835" s="217" t="s">
        <v>1034</v>
      </c>
      <c r="D1835" s="53">
        <v>0</v>
      </c>
      <c r="E1835" s="121">
        <f>Saisie!D1835</f>
        <v>0</v>
      </c>
      <c r="F1835" s="51">
        <f t="shared" si="113"/>
        <v>0</v>
      </c>
    </row>
    <row r="1836" spans="1:6" ht="13.2" x14ac:dyDescent="0.25">
      <c r="A1836" s="27" t="s">
        <v>4044</v>
      </c>
      <c r="B1836" s="6" t="s">
        <v>4045</v>
      </c>
      <c r="C1836" s="217"/>
      <c r="D1836" s="45"/>
      <c r="E1836" s="121"/>
      <c r="F1836" s="51"/>
    </row>
    <row r="1837" spans="1:6" ht="13.2" x14ac:dyDescent="0.25">
      <c r="A1837" s="202" t="s">
        <v>4046</v>
      </c>
      <c r="B1837" s="216" t="s">
        <v>4047</v>
      </c>
      <c r="C1837" s="217" t="s">
        <v>1141</v>
      </c>
      <c r="D1837" s="53">
        <v>2</v>
      </c>
      <c r="E1837" s="121">
        <f>Saisie!D1837</f>
        <v>0</v>
      </c>
      <c r="F1837" s="51">
        <f t="shared" si="113"/>
        <v>0</v>
      </c>
    </row>
    <row r="1838" spans="1:6" ht="13.2" x14ac:dyDescent="0.25">
      <c r="A1838" s="202" t="s">
        <v>4048</v>
      </c>
      <c r="B1838" s="216" t="s">
        <v>4049</v>
      </c>
      <c r="C1838" s="217" t="s">
        <v>1141</v>
      </c>
      <c r="D1838" s="53">
        <v>0</v>
      </c>
      <c r="E1838" s="121">
        <f>Saisie!D1838</f>
        <v>0</v>
      </c>
      <c r="F1838" s="51">
        <f t="shared" si="113"/>
        <v>0</v>
      </c>
    </row>
    <row r="1839" spans="1:6" ht="13.2" x14ac:dyDescent="0.25">
      <c r="A1839" s="27" t="s">
        <v>4050</v>
      </c>
      <c r="B1839" s="6" t="s">
        <v>4051</v>
      </c>
      <c r="C1839" s="217"/>
      <c r="D1839" s="45"/>
      <c r="E1839" s="121"/>
      <c r="F1839" s="51"/>
    </row>
    <row r="1840" spans="1:6" ht="13.2" x14ac:dyDescent="0.25">
      <c r="A1840" s="202" t="s">
        <v>4052</v>
      </c>
      <c r="B1840" s="216" t="s">
        <v>4053</v>
      </c>
      <c r="C1840" s="217" t="s">
        <v>1034</v>
      </c>
      <c r="D1840" s="53">
        <v>0</v>
      </c>
      <c r="E1840" s="121">
        <f>Saisie!D1840</f>
        <v>0</v>
      </c>
      <c r="F1840" s="51">
        <f t="shared" si="113"/>
        <v>0</v>
      </c>
    </row>
    <row r="1841" spans="1:6" ht="13.2" x14ac:dyDescent="0.25">
      <c r="A1841" s="202" t="s">
        <v>4054</v>
      </c>
      <c r="B1841" s="216" t="s">
        <v>4055</v>
      </c>
      <c r="C1841" s="217" t="s">
        <v>1034</v>
      </c>
      <c r="D1841" s="53">
        <v>60</v>
      </c>
      <c r="E1841" s="121">
        <f>Saisie!D1841</f>
        <v>0</v>
      </c>
      <c r="F1841" s="51">
        <f t="shared" si="113"/>
        <v>0</v>
      </c>
    </row>
    <row r="1842" spans="1:6" ht="13.2" x14ac:dyDescent="0.25">
      <c r="A1842" s="202" t="s">
        <v>4056</v>
      </c>
      <c r="B1842" s="216" t="s">
        <v>4057</v>
      </c>
      <c r="C1842" s="217" t="s">
        <v>1034</v>
      </c>
      <c r="D1842" s="53">
        <v>0</v>
      </c>
      <c r="E1842" s="121">
        <f>Saisie!D1842</f>
        <v>0</v>
      </c>
      <c r="F1842" s="51">
        <f t="shared" si="113"/>
        <v>0</v>
      </c>
    </row>
    <row r="1843" spans="1:6" ht="26.4" x14ac:dyDescent="0.25">
      <c r="A1843" s="27" t="s">
        <v>4058</v>
      </c>
      <c r="B1843" s="6" t="s">
        <v>4059</v>
      </c>
      <c r="C1843" s="217"/>
      <c r="D1843" s="45"/>
      <c r="E1843" s="121"/>
      <c r="F1843" s="51"/>
    </row>
    <row r="1844" spans="1:6" ht="13.2" x14ac:dyDescent="0.25">
      <c r="A1844" s="202" t="s">
        <v>4060</v>
      </c>
      <c r="B1844" s="216" t="s">
        <v>4061</v>
      </c>
      <c r="C1844" s="217" t="s">
        <v>1011</v>
      </c>
      <c r="D1844" s="53">
        <v>3</v>
      </c>
      <c r="E1844" s="121">
        <f>Saisie!D1844</f>
        <v>0</v>
      </c>
      <c r="F1844" s="51">
        <f>D1844*E1844</f>
        <v>0</v>
      </c>
    </row>
    <row r="1845" spans="1:6" ht="13.2" x14ac:dyDescent="0.25">
      <c r="A1845" s="202" t="s">
        <v>4062</v>
      </c>
      <c r="B1845" s="216" t="s">
        <v>4063</v>
      </c>
      <c r="C1845" s="217" t="s">
        <v>1011</v>
      </c>
      <c r="D1845" s="53">
        <v>0</v>
      </c>
      <c r="E1845" s="121">
        <f>Saisie!D1845</f>
        <v>0</v>
      </c>
      <c r="F1845" s="51">
        <f>D1845*E1845</f>
        <v>0</v>
      </c>
    </row>
    <row r="1846" spans="1:6" ht="13.2" x14ac:dyDescent="0.25">
      <c r="A1846" s="202" t="s">
        <v>4064</v>
      </c>
      <c r="B1846" s="216" t="s">
        <v>4065</v>
      </c>
      <c r="C1846" s="217" t="s">
        <v>1011</v>
      </c>
      <c r="D1846" s="53">
        <v>0</v>
      </c>
      <c r="E1846" s="121">
        <f>Saisie!D1846</f>
        <v>0</v>
      </c>
      <c r="F1846" s="51">
        <f>D1846*E1846</f>
        <v>0</v>
      </c>
    </row>
    <row r="1847" spans="1:6" ht="13.2" x14ac:dyDescent="0.25">
      <c r="A1847" s="27" t="s">
        <v>4066</v>
      </c>
      <c r="B1847" s="6" t="s">
        <v>4067</v>
      </c>
      <c r="C1847" s="217"/>
      <c r="D1847" s="45"/>
      <c r="E1847" s="121"/>
      <c r="F1847" s="51"/>
    </row>
    <row r="1848" spans="1:6" ht="13.2" x14ac:dyDescent="0.25">
      <c r="A1848" s="202" t="s">
        <v>4068</v>
      </c>
      <c r="B1848" s="216" t="s">
        <v>4053</v>
      </c>
      <c r="C1848" s="217" t="s">
        <v>1037</v>
      </c>
      <c r="D1848" s="53">
        <v>0</v>
      </c>
      <c r="E1848" s="121">
        <f>Saisie!D1848</f>
        <v>0</v>
      </c>
      <c r="F1848" s="51">
        <f t="shared" si="113"/>
        <v>0</v>
      </c>
    </row>
    <row r="1849" spans="1:6" ht="13.2" x14ac:dyDescent="0.25">
      <c r="A1849" s="202" t="s">
        <v>4069</v>
      </c>
      <c r="B1849" s="216" t="s">
        <v>4055</v>
      </c>
      <c r="C1849" s="217" t="s">
        <v>1037</v>
      </c>
      <c r="D1849" s="53">
        <v>0</v>
      </c>
      <c r="E1849" s="121">
        <f>Saisie!D1849</f>
        <v>0</v>
      </c>
      <c r="F1849" s="51">
        <f t="shared" si="113"/>
        <v>0</v>
      </c>
    </row>
    <row r="1850" spans="1:6" ht="13.2" x14ac:dyDescent="0.25">
      <c r="A1850" s="202" t="s">
        <v>4070</v>
      </c>
      <c r="B1850" s="216" t="s">
        <v>4057</v>
      </c>
      <c r="C1850" s="217" t="s">
        <v>1037</v>
      </c>
      <c r="D1850" s="53">
        <v>0</v>
      </c>
      <c r="E1850" s="121">
        <f>Saisie!D1850</f>
        <v>0</v>
      </c>
      <c r="F1850" s="51">
        <f t="shared" si="113"/>
        <v>0</v>
      </c>
    </row>
    <row r="1851" spans="1:6" ht="13.2" x14ac:dyDescent="0.25">
      <c r="A1851" s="27" t="s">
        <v>4071</v>
      </c>
      <c r="B1851" s="3" t="s">
        <v>4072</v>
      </c>
      <c r="C1851" s="217"/>
      <c r="D1851" s="45"/>
      <c r="E1851" s="121"/>
      <c r="F1851" s="51"/>
    </row>
    <row r="1852" spans="1:6" ht="13.2" x14ac:dyDescent="0.25">
      <c r="A1852" s="202" t="s">
        <v>4073</v>
      </c>
      <c r="B1852" s="216" t="s">
        <v>4053</v>
      </c>
      <c r="C1852" s="217" t="s">
        <v>1034</v>
      </c>
      <c r="D1852" s="53">
        <v>0</v>
      </c>
      <c r="E1852" s="121">
        <f>Saisie!D1852</f>
        <v>0</v>
      </c>
      <c r="F1852" s="51">
        <f t="shared" si="113"/>
        <v>0</v>
      </c>
    </row>
    <row r="1853" spans="1:6" ht="13.2" x14ac:dyDescent="0.25">
      <c r="A1853" s="202" t="s">
        <v>4074</v>
      </c>
      <c r="B1853" s="216" t="s">
        <v>4055</v>
      </c>
      <c r="C1853" s="217" t="s">
        <v>1034</v>
      </c>
      <c r="D1853" s="53">
        <v>0</v>
      </c>
      <c r="E1853" s="121">
        <f>Saisie!D1853</f>
        <v>0</v>
      </c>
      <c r="F1853" s="51">
        <f t="shared" si="113"/>
        <v>0</v>
      </c>
    </row>
    <row r="1854" spans="1:6" ht="13.2" x14ac:dyDescent="0.25">
      <c r="A1854" s="202" t="s">
        <v>4075</v>
      </c>
      <c r="B1854" s="216" t="s">
        <v>4057</v>
      </c>
      <c r="C1854" s="217" t="s">
        <v>1034</v>
      </c>
      <c r="D1854" s="53">
        <v>0</v>
      </c>
      <c r="E1854" s="121">
        <f>Saisie!D1854</f>
        <v>0</v>
      </c>
      <c r="F1854" s="51">
        <f t="shared" si="113"/>
        <v>0</v>
      </c>
    </row>
    <row r="1855" spans="1:6" ht="13.2" x14ac:dyDescent="0.25">
      <c r="A1855" s="27" t="s">
        <v>4076</v>
      </c>
      <c r="B1855" s="3" t="s">
        <v>4077</v>
      </c>
      <c r="C1855" s="217" t="s">
        <v>1883</v>
      </c>
      <c r="D1855" s="45"/>
      <c r="E1855" s="121"/>
      <c r="F1855" s="51"/>
    </row>
    <row r="1856" spans="1:6" ht="13.2" x14ac:dyDescent="0.25">
      <c r="A1856" s="202" t="s">
        <v>4078</v>
      </c>
      <c r="B1856" s="216" t="s">
        <v>4079</v>
      </c>
      <c r="C1856" s="217" t="s">
        <v>2923</v>
      </c>
      <c r="D1856" s="53">
        <v>2</v>
      </c>
      <c r="E1856" s="121">
        <f>Saisie!D1856</f>
        <v>0</v>
      </c>
      <c r="F1856" s="51">
        <f t="shared" si="113"/>
        <v>0</v>
      </c>
    </row>
    <row r="1857" spans="1:6" ht="13.2" x14ac:dyDescent="0.25">
      <c r="A1857" s="202" t="s">
        <v>4080</v>
      </c>
      <c r="B1857" s="216" t="s">
        <v>4081</v>
      </c>
      <c r="C1857" s="217" t="s">
        <v>2923</v>
      </c>
      <c r="D1857" s="53">
        <v>1</v>
      </c>
      <c r="E1857" s="121">
        <f>Saisie!D1857</f>
        <v>0</v>
      </c>
      <c r="F1857" s="51">
        <f t="shared" si="113"/>
        <v>0</v>
      </c>
    </row>
    <row r="1858" spans="1:6" ht="13.2" x14ac:dyDescent="0.25">
      <c r="A1858" s="202" t="s">
        <v>4082</v>
      </c>
      <c r="B1858" s="216" t="s">
        <v>4083</v>
      </c>
      <c r="C1858" s="217" t="s">
        <v>2923</v>
      </c>
      <c r="D1858" s="53">
        <v>0</v>
      </c>
      <c r="E1858" s="121">
        <f>Saisie!D1858</f>
        <v>0</v>
      </c>
      <c r="F1858" s="51">
        <f t="shared" si="113"/>
        <v>0</v>
      </c>
    </row>
    <row r="1859" spans="1:6" ht="13.2" x14ac:dyDescent="0.25">
      <c r="A1859" s="202" t="s">
        <v>4084</v>
      </c>
      <c r="B1859" s="216" t="s">
        <v>4085</v>
      </c>
      <c r="C1859" s="217" t="s">
        <v>2923</v>
      </c>
      <c r="D1859" s="53">
        <v>0</v>
      </c>
      <c r="E1859" s="121">
        <f>Saisie!D1859</f>
        <v>0</v>
      </c>
      <c r="F1859" s="51">
        <f t="shared" si="113"/>
        <v>0</v>
      </c>
    </row>
    <row r="1860" spans="1:6" ht="13.2" x14ac:dyDescent="0.25">
      <c r="A1860" s="27" t="s">
        <v>4086</v>
      </c>
      <c r="B1860" s="3" t="s">
        <v>4087</v>
      </c>
      <c r="C1860" s="217" t="s">
        <v>1883</v>
      </c>
      <c r="D1860" s="45"/>
      <c r="E1860" s="121"/>
      <c r="F1860" s="51"/>
    </row>
    <row r="1861" spans="1:6" ht="13.2" x14ac:dyDescent="0.25">
      <c r="A1861" s="202" t="s">
        <v>4088</v>
      </c>
      <c r="B1861" s="216" t="s">
        <v>4089</v>
      </c>
      <c r="C1861" s="217" t="s">
        <v>984</v>
      </c>
      <c r="D1861" s="53">
        <v>0</v>
      </c>
      <c r="E1861" s="121">
        <f>Saisie!D1861</f>
        <v>0</v>
      </c>
      <c r="F1861" s="51">
        <f t="shared" si="113"/>
        <v>0</v>
      </c>
    </row>
    <row r="1862" spans="1:6" ht="13.2" x14ac:dyDescent="0.25">
      <c r="A1862" s="202" t="s">
        <v>4090</v>
      </c>
      <c r="B1862" s="216" t="s">
        <v>4091</v>
      </c>
      <c r="C1862" s="217" t="s">
        <v>1034</v>
      </c>
      <c r="D1862" s="53">
        <v>0</v>
      </c>
      <c r="E1862" s="121">
        <f>Saisie!D1862</f>
        <v>0</v>
      </c>
      <c r="F1862" s="51">
        <f t="shared" si="113"/>
        <v>0</v>
      </c>
    </row>
    <row r="1863" spans="1:6" ht="13.2" x14ac:dyDescent="0.25">
      <c r="A1863" s="202" t="s">
        <v>4092</v>
      </c>
      <c r="B1863" s="216" t="s">
        <v>4093</v>
      </c>
      <c r="C1863" s="217" t="s">
        <v>1026</v>
      </c>
      <c r="D1863" s="53">
        <v>0</v>
      </c>
      <c r="E1863" s="121">
        <f>Saisie!D1863</f>
        <v>0</v>
      </c>
      <c r="F1863" s="51">
        <f t="shared" si="113"/>
        <v>0</v>
      </c>
    </row>
    <row r="1864" spans="1:6" ht="13.2" x14ac:dyDescent="0.25">
      <c r="A1864" s="202" t="s">
        <v>4094</v>
      </c>
      <c r="B1864" s="216" t="s">
        <v>4095</v>
      </c>
      <c r="C1864" s="217" t="s">
        <v>1037</v>
      </c>
      <c r="D1864" s="53">
        <v>0</v>
      </c>
      <c r="E1864" s="121">
        <f>Saisie!D1864</f>
        <v>0</v>
      </c>
      <c r="F1864" s="51">
        <f t="shared" si="113"/>
        <v>0</v>
      </c>
    </row>
    <row r="1865" spans="1:6" ht="13.2" x14ac:dyDescent="0.25">
      <c r="A1865" s="27" t="s">
        <v>4096</v>
      </c>
      <c r="B1865" s="6" t="s">
        <v>4097</v>
      </c>
      <c r="C1865" s="217"/>
      <c r="D1865" s="45"/>
      <c r="E1865" s="121"/>
      <c r="F1865" s="51"/>
    </row>
    <row r="1866" spans="1:6" ht="13.2" x14ac:dyDescent="0.25">
      <c r="A1866" s="235" t="s">
        <v>4098</v>
      </c>
      <c r="B1866" s="223" t="s">
        <v>4099</v>
      </c>
      <c r="C1866" s="217" t="s">
        <v>1232</v>
      </c>
      <c r="D1866" s="53">
        <v>0</v>
      </c>
      <c r="E1866" s="121">
        <f>Saisie!D1866</f>
        <v>0</v>
      </c>
      <c r="F1866" s="51">
        <f t="shared" si="113"/>
        <v>0</v>
      </c>
    </row>
    <row r="1867" spans="1:6" ht="13.2" x14ac:dyDescent="0.25">
      <c r="A1867" s="235" t="s">
        <v>4100</v>
      </c>
      <c r="B1867" s="223" t="s">
        <v>4101</v>
      </c>
      <c r="C1867" s="217" t="s">
        <v>1232</v>
      </c>
      <c r="D1867" s="53">
        <v>0</v>
      </c>
      <c r="E1867" s="121">
        <f>Saisie!D1867</f>
        <v>0</v>
      </c>
      <c r="F1867" s="51">
        <f t="shared" si="113"/>
        <v>0</v>
      </c>
    </row>
    <row r="1868" spans="1:6" ht="13.2" x14ac:dyDescent="0.25">
      <c r="A1868" s="235" t="s">
        <v>4102</v>
      </c>
      <c r="B1868" s="223" t="s">
        <v>4103</v>
      </c>
      <c r="C1868" s="217" t="s">
        <v>1232</v>
      </c>
      <c r="D1868" s="53">
        <v>0</v>
      </c>
      <c r="E1868" s="121">
        <f>Saisie!D1868</f>
        <v>0</v>
      </c>
      <c r="F1868" s="51">
        <f t="shared" si="113"/>
        <v>0</v>
      </c>
    </row>
    <row r="1869" spans="1:6" ht="13.2" x14ac:dyDescent="0.25">
      <c r="A1869" s="28" t="s">
        <v>4104</v>
      </c>
      <c r="B1869" s="6" t="s">
        <v>4105</v>
      </c>
      <c r="C1869" s="217"/>
      <c r="D1869" s="45"/>
      <c r="E1869" s="121"/>
      <c r="F1869" s="51"/>
    </row>
    <row r="1870" spans="1:6" ht="13.2" x14ac:dyDescent="0.25">
      <c r="A1870" s="235" t="s">
        <v>4106</v>
      </c>
      <c r="B1870" s="223" t="s">
        <v>4107</v>
      </c>
      <c r="C1870" s="217" t="s">
        <v>1011</v>
      </c>
      <c r="D1870" s="53">
        <v>0</v>
      </c>
      <c r="E1870" s="121">
        <f>Saisie!D1870</f>
        <v>0</v>
      </c>
      <c r="F1870" s="51">
        <f t="shared" si="113"/>
        <v>0</v>
      </c>
    </row>
    <row r="1871" spans="1:6" ht="13.2" x14ac:dyDescent="0.25">
      <c r="A1871" s="235" t="s">
        <v>4108</v>
      </c>
      <c r="B1871" s="223" t="s">
        <v>4109</v>
      </c>
      <c r="C1871" s="217" t="s">
        <v>1011</v>
      </c>
      <c r="D1871" s="53">
        <v>0</v>
      </c>
      <c r="E1871" s="121">
        <f>Saisie!D1871</f>
        <v>0</v>
      </c>
      <c r="F1871" s="51">
        <f t="shared" si="113"/>
        <v>0</v>
      </c>
    </row>
    <row r="1872" spans="1:6" ht="13.2" x14ac:dyDescent="0.25">
      <c r="A1872" s="235" t="s">
        <v>4110</v>
      </c>
      <c r="B1872" s="223" t="s">
        <v>4111</v>
      </c>
      <c r="C1872" s="217" t="s">
        <v>1011</v>
      </c>
      <c r="D1872" s="53">
        <v>0</v>
      </c>
      <c r="E1872" s="121">
        <f>Saisie!D1872</f>
        <v>0</v>
      </c>
      <c r="F1872" s="51">
        <f t="shared" si="113"/>
        <v>0</v>
      </c>
    </row>
    <row r="1873" spans="1:6" ht="13.2" x14ac:dyDescent="0.25">
      <c r="A1873" s="202"/>
      <c r="B1873" s="216"/>
      <c r="C1873" s="217"/>
      <c r="D1873" s="217"/>
      <c r="E1873" s="217"/>
      <c r="F1873" s="217"/>
    </row>
    <row r="1874" spans="1:6" ht="13.2" x14ac:dyDescent="0.25">
      <c r="A1874" s="202"/>
      <c r="B1874" s="122" t="s">
        <v>4112</v>
      </c>
      <c r="C1874" s="217"/>
      <c r="D1874" s="217"/>
      <c r="E1874" s="217"/>
      <c r="F1874" s="84">
        <f>SUM(F1823:F1873)</f>
        <v>0</v>
      </c>
    </row>
    <row r="1875" spans="1:6" ht="13.2" x14ac:dyDescent="0.25">
      <c r="A1875" s="202"/>
      <c r="B1875" s="216"/>
      <c r="C1875" s="217"/>
      <c r="D1875" s="217"/>
      <c r="E1875" s="217"/>
      <c r="F1875" s="217"/>
    </row>
    <row r="1876" spans="1:6" ht="13.2" x14ac:dyDescent="0.25">
      <c r="A1876" s="29" t="s">
        <v>4113</v>
      </c>
      <c r="B1876" s="32" t="s">
        <v>4114</v>
      </c>
      <c r="C1876" s="224" t="s">
        <v>1883</v>
      </c>
      <c r="D1876" s="224" t="s">
        <v>1883</v>
      </c>
      <c r="E1876" s="224" t="s">
        <v>1883</v>
      </c>
      <c r="F1876" s="224" t="s">
        <v>1883</v>
      </c>
    </row>
    <row r="1877" spans="1:6" ht="13.2" x14ac:dyDescent="0.25">
      <c r="A1877" s="27" t="s">
        <v>4115</v>
      </c>
      <c r="B1877" s="6" t="s">
        <v>4116</v>
      </c>
      <c r="C1877" s="217" t="s">
        <v>984</v>
      </c>
      <c r="D1877" s="53">
        <v>0</v>
      </c>
      <c r="E1877" s="121">
        <f>Saisie!D1877</f>
        <v>0</v>
      </c>
      <c r="F1877" s="51">
        <f>D1877*E1877</f>
        <v>0</v>
      </c>
    </row>
    <row r="1878" spans="1:6" ht="13.2" x14ac:dyDescent="0.25">
      <c r="A1878" s="27" t="s">
        <v>4117</v>
      </c>
      <c r="B1878" s="6" t="s">
        <v>4118</v>
      </c>
      <c r="C1878" s="217" t="s">
        <v>984</v>
      </c>
      <c r="D1878" s="53">
        <v>0</v>
      </c>
      <c r="E1878" s="121">
        <f>Saisie!D1878</f>
        <v>0</v>
      </c>
      <c r="F1878" s="51">
        <f t="shared" ref="F1878:F1893" si="114">D1878*E1878</f>
        <v>0</v>
      </c>
    </row>
    <row r="1879" spans="1:6" ht="26.4" x14ac:dyDescent="0.25">
      <c r="A1879" s="27" t="s">
        <v>4119</v>
      </c>
      <c r="B1879" s="6" t="s">
        <v>4120</v>
      </c>
      <c r="C1879" s="217" t="s">
        <v>984</v>
      </c>
      <c r="D1879" s="53">
        <v>0</v>
      </c>
      <c r="E1879" s="121">
        <f>Saisie!D1879</f>
        <v>0</v>
      </c>
      <c r="F1879" s="51">
        <f t="shared" si="114"/>
        <v>0</v>
      </c>
    </row>
    <row r="1880" spans="1:6" ht="26.4" x14ac:dyDescent="0.25">
      <c r="A1880" s="27" t="s">
        <v>4121</v>
      </c>
      <c r="B1880" s="6" t="s">
        <v>4122</v>
      </c>
      <c r="C1880" s="217" t="s">
        <v>1026</v>
      </c>
      <c r="D1880" s="53">
        <v>0</v>
      </c>
      <c r="E1880" s="121">
        <f>Saisie!D1880</f>
        <v>0</v>
      </c>
      <c r="F1880" s="51">
        <f t="shared" si="114"/>
        <v>0</v>
      </c>
    </row>
    <row r="1881" spans="1:6" ht="26.4" x14ac:dyDescent="0.25">
      <c r="A1881" s="27" t="s">
        <v>4123</v>
      </c>
      <c r="B1881" s="6" t="s">
        <v>4124</v>
      </c>
      <c r="C1881" s="217" t="s">
        <v>984</v>
      </c>
      <c r="D1881" s="53">
        <v>0</v>
      </c>
      <c r="E1881" s="121">
        <f>Saisie!D1881</f>
        <v>0</v>
      </c>
      <c r="F1881" s="51">
        <f t="shared" si="114"/>
        <v>0</v>
      </c>
    </row>
    <row r="1882" spans="1:6" ht="26.4" x14ac:dyDescent="0.25">
      <c r="A1882" s="27" t="s">
        <v>4125</v>
      </c>
      <c r="B1882" s="6" t="s">
        <v>4126</v>
      </c>
      <c r="C1882" s="217" t="s">
        <v>1026</v>
      </c>
      <c r="D1882" s="53">
        <v>0</v>
      </c>
      <c r="E1882" s="121">
        <f>Saisie!D1882</f>
        <v>0</v>
      </c>
      <c r="F1882" s="51">
        <f t="shared" si="114"/>
        <v>0</v>
      </c>
    </row>
    <row r="1883" spans="1:6" ht="13.2" x14ac:dyDescent="0.25">
      <c r="A1883" s="27" t="s">
        <v>4127</v>
      </c>
      <c r="B1883" s="6" t="s">
        <v>4128</v>
      </c>
      <c r="C1883" s="217" t="s">
        <v>1011</v>
      </c>
      <c r="D1883" s="53">
        <v>0</v>
      </c>
      <c r="E1883" s="121">
        <f>Saisie!D1883</f>
        <v>0</v>
      </c>
      <c r="F1883" s="51">
        <f t="shared" si="114"/>
        <v>0</v>
      </c>
    </row>
    <row r="1884" spans="1:6" ht="13.2" x14ac:dyDescent="0.25">
      <c r="A1884" s="27" t="s">
        <v>4129</v>
      </c>
      <c r="B1884" s="6" t="s">
        <v>4130</v>
      </c>
      <c r="C1884" s="217"/>
      <c r="D1884" s="45"/>
      <c r="E1884" s="121"/>
      <c r="F1884" s="51"/>
    </row>
    <row r="1885" spans="1:6" ht="13.2" x14ac:dyDescent="0.25">
      <c r="A1885" s="228" t="s">
        <v>4131</v>
      </c>
      <c r="B1885" s="223" t="s">
        <v>4132</v>
      </c>
      <c r="C1885" s="217" t="s">
        <v>1034</v>
      </c>
      <c r="D1885" s="53">
        <v>0</v>
      </c>
      <c r="E1885" s="121">
        <f>Saisie!D1885</f>
        <v>0</v>
      </c>
      <c r="F1885" s="51">
        <f t="shared" si="114"/>
        <v>0</v>
      </c>
    </row>
    <row r="1886" spans="1:6" ht="13.2" x14ac:dyDescent="0.25">
      <c r="A1886" s="228" t="s">
        <v>4133</v>
      </c>
      <c r="B1886" s="223" t="s">
        <v>4134</v>
      </c>
      <c r="C1886" s="217" t="s">
        <v>1034</v>
      </c>
      <c r="D1886" s="53">
        <v>0</v>
      </c>
      <c r="E1886" s="121">
        <f>Saisie!D1886</f>
        <v>0</v>
      </c>
      <c r="F1886" s="51">
        <f t="shared" si="114"/>
        <v>0</v>
      </c>
    </row>
    <row r="1887" spans="1:6" ht="13.2" x14ac:dyDescent="0.25">
      <c r="A1887" s="228" t="s">
        <v>4135</v>
      </c>
      <c r="B1887" s="223" t="s">
        <v>4136</v>
      </c>
      <c r="C1887" s="217" t="s">
        <v>1034</v>
      </c>
      <c r="D1887" s="53">
        <v>0</v>
      </c>
      <c r="E1887" s="121">
        <f>Saisie!D1887</f>
        <v>0</v>
      </c>
      <c r="F1887" s="51">
        <f t="shared" si="114"/>
        <v>0</v>
      </c>
    </row>
    <row r="1888" spans="1:6" ht="13.2" x14ac:dyDescent="0.25">
      <c r="A1888" s="228" t="s">
        <v>4137</v>
      </c>
      <c r="B1888" s="223" t="s">
        <v>4138</v>
      </c>
      <c r="C1888" s="217" t="s">
        <v>1034</v>
      </c>
      <c r="D1888" s="53">
        <v>0</v>
      </c>
      <c r="E1888" s="121">
        <f>Saisie!D1888</f>
        <v>0</v>
      </c>
      <c r="F1888" s="51">
        <f t="shared" si="114"/>
        <v>0</v>
      </c>
    </row>
    <row r="1889" spans="1:6" ht="13.2" x14ac:dyDescent="0.25">
      <c r="A1889" s="27" t="s">
        <v>4139</v>
      </c>
      <c r="B1889" s="6" t="s">
        <v>4140</v>
      </c>
      <c r="C1889" s="217"/>
      <c r="D1889" s="45"/>
      <c r="E1889" s="121"/>
      <c r="F1889" s="51"/>
    </row>
    <row r="1890" spans="1:6" ht="13.2" x14ac:dyDescent="0.25">
      <c r="A1890" s="228" t="s">
        <v>4141</v>
      </c>
      <c r="B1890" s="223" t="s">
        <v>4142</v>
      </c>
      <c r="C1890" s="217" t="s">
        <v>1141</v>
      </c>
      <c r="D1890" s="53">
        <v>0</v>
      </c>
      <c r="E1890" s="121">
        <f>Saisie!D1890</f>
        <v>0</v>
      </c>
      <c r="F1890" s="51">
        <f>D1890*E1890</f>
        <v>0</v>
      </c>
    </row>
    <row r="1891" spans="1:6" ht="13.2" x14ac:dyDescent="0.25">
      <c r="A1891" s="228" t="s">
        <v>4143</v>
      </c>
      <c r="B1891" s="223" t="s">
        <v>4144</v>
      </c>
      <c r="C1891" s="217" t="s">
        <v>1141</v>
      </c>
      <c r="D1891" s="53">
        <v>0</v>
      </c>
      <c r="E1891" s="121">
        <f>Saisie!D1891</f>
        <v>0</v>
      </c>
      <c r="F1891" s="51">
        <f>D1891*E1891</f>
        <v>0</v>
      </c>
    </row>
    <row r="1892" spans="1:6" ht="26.4" x14ac:dyDescent="0.25">
      <c r="A1892" s="27" t="s">
        <v>4145</v>
      </c>
      <c r="B1892" s="4" t="s">
        <v>4146</v>
      </c>
      <c r="C1892" s="217" t="s">
        <v>1011</v>
      </c>
      <c r="D1892" s="53">
        <v>0</v>
      </c>
      <c r="E1892" s="121">
        <f>Saisie!D1892</f>
        <v>0</v>
      </c>
      <c r="F1892" s="51">
        <f t="shared" si="114"/>
        <v>0</v>
      </c>
    </row>
    <row r="1893" spans="1:6" ht="13.2" x14ac:dyDescent="0.25">
      <c r="A1893" s="27" t="s">
        <v>4147</v>
      </c>
      <c r="B1893" s="6" t="s">
        <v>4148</v>
      </c>
      <c r="C1893" s="217" t="s">
        <v>1804</v>
      </c>
      <c r="D1893" s="53">
        <v>0</v>
      </c>
      <c r="E1893" s="121">
        <f>Saisie!D1893</f>
        <v>0</v>
      </c>
      <c r="F1893" s="51">
        <f t="shared" si="114"/>
        <v>0</v>
      </c>
    </row>
    <row r="1894" spans="1:6" ht="13.2" x14ac:dyDescent="0.25">
      <c r="A1894" s="27" t="s">
        <v>4149</v>
      </c>
      <c r="B1894" s="6" t="s">
        <v>4150</v>
      </c>
      <c r="C1894" s="217" t="s">
        <v>1804</v>
      </c>
      <c r="D1894" s="53">
        <v>0</v>
      </c>
      <c r="E1894" s="121">
        <f>Saisie!D1894</f>
        <v>0</v>
      </c>
      <c r="F1894" s="51">
        <f>D1894*E1894</f>
        <v>0</v>
      </c>
    </row>
    <row r="1895" spans="1:6" ht="13.2" x14ac:dyDescent="0.25">
      <c r="A1895" s="202"/>
      <c r="B1895" s="216"/>
      <c r="C1895" s="217"/>
      <c r="D1895" s="217"/>
      <c r="E1895" s="217"/>
      <c r="F1895" s="217"/>
    </row>
    <row r="1896" spans="1:6" ht="13.2" x14ac:dyDescent="0.25">
      <c r="A1896" s="202"/>
      <c r="B1896" s="122" t="s">
        <v>4151</v>
      </c>
      <c r="C1896" s="217"/>
      <c r="D1896" s="217"/>
      <c r="E1896" s="217"/>
      <c r="F1896" s="84">
        <f>SUM(F1877:F1895)</f>
        <v>0</v>
      </c>
    </row>
    <row r="1897" spans="1:6" ht="13.2" x14ac:dyDescent="0.25">
      <c r="A1897" s="202"/>
      <c r="B1897" s="122"/>
      <c r="C1897" s="217"/>
      <c r="D1897" s="217"/>
      <c r="E1897" s="217"/>
      <c r="F1897" s="217"/>
    </row>
    <row r="1898" spans="1:6" ht="13.2" x14ac:dyDescent="0.25">
      <c r="A1898" s="29">
        <v>17</v>
      </c>
      <c r="B1898" s="32" t="s">
        <v>4152</v>
      </c>
      <c r="C1898" s="224" t="s">
        <v>1883</v>
      </c>
      <c r="D1898" s="224" t="s">
        <v>1883</v>
      </c>
      <c r="E1898" s="224" t="s">
        <v>1883</v>
      </c>
      <c r="F1898" s="224" t="s">
        <v>1883</v>
      </c>
    </row>
    <row r="1899" spans="1:6" ht="13.2" x14ac:dyDescent="0.25">
      <c r="A1899" s="27" t="s">
        <v>4153</v>
      </c>
      <c r="B1899" s="6" t="s">
        <v>4154</v>
      </c>
      <c r="C1899" s="217" t="s">
        <v>1883</v>
      </c>
      <c r="D1899" s="217" t="s">
        <v>1883</v>
      </c>
      <c r="E1899" s="217" t="s">
        <v>1883</v>
      </c>
      <c r="F1899" s="217" t="s">
        <v>1883</v>
      </c>
    </row>
    <row r="1900" spans="1:6" ht="13.2" x14ac:dyDescent="0.25">
      <c r="A1900" s="202" t="s">
        <v>4155</v>
      </c>
      <c r="B1900" s="223" t="s">
        <v>4156</v>
      </c>
      <c r="C1900" s="217" t="s">
        <v>1232</v>
      </c>
      <c r="D1900" s="53">
        <v>0</v>
      </c>
      <c r="E1900" s="121">
        <f>Saisie!D1900</f>
        <v>0</v>
      </c>
      <c r="F1900" s="51">
        <f>D1900*E1900</f>
        <v>0</v>
      </c>
    </row>
    <row r="1901" spans="1:6" ht="13.2" x14ac:dyDescent="0.25">
      <c r="A1901" s="202" t="s">
        <v>4157</v>
      </c>
      <c r="B1901" s="223" t="s">
        <v>4158</v>
      </c>
      <c r="C1901" s="217" t="s">
        <v>1232</v>
      </c>
      <c r="D1901" s="53">
        <v>0</v>
      </c>
      <c r="E1901" s="121">
        <f>Saisie!D1901</f>
        <v>0</v>
      </c>
      <c r="F1901" s="51">
        <f t="shared" ref="F1901:F1932" si="115">D1901*E1901</f>
        <v>0</v>
      </c>
    </row>
    <row r="1902" spans="1:6" ht="13.2" x14ac:dyDescent="0.25">
      <c r="A1902" s="202" t="s">
        <v>4159</v>
      </c>
      <c r="B1902" s="223" t="s">
        <v>4160</v>
      </c>
      <c r="C1902" s="217" t="s">
        <v>1232</v>
      </c>
      <c r="D1902" s="53">
        <v>0</v>
      </c>
      <c r="E1902" s="121">
        <f>Saisie!D1902</f>
        <v>0</v>
      </c>
      <c r="F1902" s="51">
        <f t="shared" si="115"/>
        <v>0</v>
      </c>
    </row>
    <row r="1903" spans="1:6" ht="13.2" x14ac:dyDescent="0.25">
      <c r="A1903" s="202" t="s">
        <v>4161</v>
      </c>
      <c r="B1903" s="223" t="s">
        <v>4162</v>
      </c>
      <c r="C1903" s="217" t="s">
        <v>1232</v>
      </c>
      <c r="D1903" s="53">
        <v>0</v>
      </c>
      <c r="E1903" s="121">
        <f>Saisie!D1903</f>
        <v>0</v>
      </c>
      <c r="F1903" s="51">
        <f t="shared" si="115"/>
        <v>0</v>
      </c>
    </row>
    <row r="1904" spans="1:6" ht="13.2" x14ac:dyDescent="0.25">
      <c r="A1904" s="202" t="s">
        <v>4163</v>
      </c>
      <c r="B1904" s="223" t="s">
        <v>4164</v>
      </c>
      <c r="C1904" s="217" t="s">
        <v>1232</v>
      </c>
      <c r="D1904" s="53">
        <v>0</v>
      </c>
      <c r="E1904" s="121">
        <f>Saisie!D1904</f>
        <v>0</v>
      </c>
      <c r="F1904" s="51">
        <f t="shared" si="115"/>
        <v>0</v>
      </c>
    </row>
    <row r="1905" spans="1:6" ht="13.2" x14ac:dyDescent="0.25">
      <c r="A1905" s="27" t="s">
        <v>4165</v>
      </c>
      <c r="B1905" s="6" t="s">
        <v>4166</v>
      </c>
      <c r="C1905" s="217"/>
      <c r="D1905" s="45"/>
      <c r="E1905" s="121"/>
      <c r="F1905" s="51"/>
    </row>
    <row r="1906" spans="1:6" ht="13.2" x14ac:dyDescent="0.25">
      <c r="A1906" s="202" t="s">
        <v>4167</v>
      </c>
      <c r="B1906" s="223" t="s">
        <v>4168</v>
      </c>
      <c r="C1906" s="217" t="s">
        <v>1232</v>
      </c>
      <c r="D1906" s="53">
        <v>0</v>
      </c>
      <c r="E1906" s="121">
        <f>Saisie!D1906</f>
        <v>0</v>
      </c>
      <c r="F1906" s="51">
        <f t="shared" si="115"/>
        <v>0</v>
      </c>
    </row>
    <row r="1907" spans="1:6" ht="13.2" x14ac:dyDescent="0.25">
      <c r="A1907" s="202" t="s">
        <v>4169</v>
      </c>
      <c r="B1907" s="223" t="s">
        <v>4170</v>
      </c>
      <c r="C1907" s="217" t="s">
        <v>1232</v>
      </c>
      <c r="D1907" s="53">
        <v>0</v>
      </c>
      <c r="E1907" s="121">
        <f>Saisie!D1907</f>
        <v>0</v>
      </c>
      <c r="F1907" s="51">
        <f t="shared" si="115"/>
        <v>0</v>
      </c>
    </row>
    <row r="1908" spans="1:6" ht="13.2" x14ac:dyDescent="0.25">
      <c r="A1908" s="202" t="s">
        <v>4171</v>
      </c>
      <c r="B1908" s="223" t="s">
        <v>4172</v>
      </c>
      <c r="C1908" s="217" t="s">
        <v>1232</v>
      </c>
      <c r="D1908" s="53">
        <v>0</v>
      </c>
      <c r="E1908" s="121">
        <f>Saisie!D1908</f>
        <v>0</v>
      </c>
      <c r="F1908" s="51">
        <f t="shared" si="115"/>
        <v>0</v>
      </c>
    </row>
    <row r="1909" spans="1:6" ht="13.2" x14ac:dyDescent="0.25">
      <c r="A1909" s="202" t="s">
        <v>4173</v>
      </c>
      <c r="B1909" s="223" t="s">
        <v>4174</v>
      </c>
      <c r="C1909" s="217" t="s">
        <v>1232</v>
      </c>
      <c r="D1909" s="53">
        <v>0</v>
      </c>
      <c r="E1909" s="121">
        <f>Saisie!D1909</f>
        <v>0</v>
      </c>
      <c r="F1909" s="51">
        <f t="shared" si="115"/>
        <v>0</v>
      </c>
    </row>
    <row r="1910" spans="1:6" ht="13.2" x14ac:dyDescent="0.25">
      <c r="A1910" s="202" t="s">
        <v>4175</v>
      </c>
      <c r="B1910" s="223" t="s">
        <v>4176</v>
      </c>
      <c r="C1910" s="217" t="s">
        <v>1232</v>
      </c>
      <c r="D1910" s="53">
        <v>0</v>
      </c>
      <c r="E1910" s="121">
        <f>Saisie!D1910</f>
        <v>0</v>
      </c>
      <c r="F1910" s="51">
        <f t="shared" si="115"/>
        <v>0</v>
      </c>
    </row>
    <row r="1911" spans="1:6" ht="13.2" x14ac:dyDescent="0.25">
      <c r="A1911" s="27" t="s">
        <v>4177</v>
      </c>
      <c r="B1911" s="6" t="s">
        <v>4178</v>
      </c>
      <c r="C1911" s="217"/>
      <c r="D1911" s="45"/>
      <c r="E1911" s="121"/>
      <c r="F1911" s="51"/>
    </row>
    <row r="1912" spans="1:6" ht="13.2" x14ac:dyDescent="0.25">
      <c r="A1912" s="202" t="s">
        <v>4179</v>
      </c>
      <c r="B1912" s="223" t="s">
        <v>4180</v>
      </c>
      <c r="C1912" s="217" t="s">
        <v>1011</v>
      </c>
      <c r="D1912" s="53">
        <v>0</v>
      </c>
      <c r="E1912" s="121">
        <f>Saisie!D1912</f>
        <v>0</v>
      </c>
      <c r="F1912" s="51">
        <f t="shared" si="115"/>
        <v>0</v>
      </c>
    </row>
    <row r="1913" spans="1:6" ht="13.2" x14ac:dyDescent="0.25">
      <c r="A1913" s="202" t="s">
        <v>4181</v>
      </c>
      <c r="B1913" s="223" t="s">
        <v>4182</v>
      </c>
      <c r="C1913" s="217" t="s">
        <v>1011</v>
      </c>
      <c r="D1913" s="53">
        <v>0</v>
      </c>
      <c r="E1913" s="121">
        <f>Saisie!D1913</f>
        <v>0</v>
      </c>
      <c r="F1913" s="51">
        <f t="shared" si="115"/>
        <v>0</v>
      </c>
    </row>
    <row r="1914" spans="1:6" ht="13.2" x14ac:dyDescent="0.25">
      <c r="A1914" s="202" t="s">
        <v>4183</v>
      </c>
      <c r="B1914" s="223" t="s">
        <v>4184</v>
      </c>
      <c r="C1914" s="217" t="s">
        <v>1011</v>
      </c>
      <c r="D1914" s="53">
        <v>0</v>
      </c>
      <c r="E1914" s="121">
        <f>Saisie!D1914</f>
        <v>0</v>
      </c>
      <c r="F1914" s="51">
        <f t="shared" si="115"/>
        <v>0</v>
      </c>
    </row>
    <row r="1915" spans="1:6" ht="13.2" x14ac:dyDescent="0.25">
      <c r="A1915" s="202" t="s">
        <v>4185</v>
      </c>
      <c r="B1915" s="223" t="s">
        <v>4186</v>
      </c>
      <c r="C1915" s="217" t="s">
        <v>1011</v>
      </c>
      <c r="D1915" s="53">
        <v>0</v>
      </c>
      <c r="E1915" s="121">
        <f>Saisie!D1915</f>
        <v>0</v>
      </c>
      <c r="F1915" s="51">
        <f t="shared" si="115"/>
        <v>0</v>
      </c>
    </row>
    <row r="1916" spans="1:6" ht="13.2" x14ac:dyDescent="0.25">
      <c r="A1916" s="202" t="s">
        <v>4187</v>
      </c>
      <c r="B1916" s="223" t="s">
        <v>4188</v>
      </c>
      <c r="C1916" s="217" t="s">
        <v>1011</v>
      </c>
      <c r="D1916" s="53">
        <v>0</v>
      </c>
      <c r="E1916" s="121">
        <f>Saisie!D1916</f>
        <v>0</v>
      </c>
      <c r="F1916" s="51">
        <f t="shared" si="115"/>
        <v>0</v>
      </c>
    </row>
    <row r="1917" spans="1:6" ht="13.2" x14ac:dyDescent="0.25">
      <c r="A1917" s="27" t="s">
        <v>4189</v>
      </c>
      <c r="B1917" s="3" t="s">
        <v>4190</v>
      </c>
      <c r="C1917" s="217"/>
      <c r="D1917" s="45"/>
      <c r="E1917" s="121"/>
    </row>
    <row r="1918" spans="1:6" ht="13.2" x14ac:dyDescent="0.25">
      <c r="A1918" s="202" t="s">
        <v>4191</v>
      </c>
      <c r="B1918" s="216" t="s">
        <v>4192</v>
      </c>
      <c r="C1918" s="217" t="s">
        <v>1011</v>
      </c>
      <c r="D1918" s="53">
        <v>0</v>
      </c>
      <c r="E1918" s="121">
        <f>Saisie!D1918</f>
        <v>0</v>
      </c>
      <c r="F1918" s="51">
        <f t="shared" si="115"/>
        <v>0</v>
      </c>
    </row>
    <row r="1919" spans="1:6" ht="13.2" x14ac:dyDescent="0.25">
      <c r="A1919" s="202" t="s">
        <v>4193</v>
      </c>
      <c r="B1919" s="216" t="s">
        <v>4194</v>
      </c>
      <c r="C1919" s="217" t="s">
        <v>1011</v>
      </c>
      <c r="D1919" s="53">
        <v>0</v>
      </c>
      <c r="E1919" s="121">
        <f>Saisie!D1919</f>
        <v>0</v>
      </c>
      <c r="F1919" s="51">
        <f t="shared" si="115"/>
        <v>0</v>
      </c>
    </row>
    <row r="1920" spans="1:6" ht="13.2" x14ac:dyDescent="0.25">
      <c r="A1920" s="202" t="s">
        <v>4195</v>
      </c>
      <c r="B1920" s="216" t="s">
        <v>4196</v>
      </c>
      <c r="C1920" s="217" t="s">
        <v>1011</v>
      </c>
      <c r="D1920" s="53">
        <v>0</v>
      </c>
      <c r="E1920" s="121">
        <f>Saisie!D1920</f>
        <v>0</v>
      </c>
      <c r="F1920" s="51">
        <f t="shared" si="115"/>
        <v>0</v>
      </c>
    </row>
    <row r="1921" spans="1:6" ht="13.2" x14ac:dyDescent="0.25">
      <c r="A1921" s="202" t="s">
        <v>4197</v>
      </c>
      <c r="B1921" s="216" t="s">
        <v>4198</v>
      </c>
      <c r="C1921" s="217" t="s">
        <v>1011</v>
      </c>
      <c r="D1921" s="53">
        <v>0</v>
      </c>
      <c r="E1921" s="121">
        <f>Saisie!D1921</f>
        <v>0</v>
      </c>
      <c r="F1921" s="51">
        <f t="shared" si="115"/>
        <v>0</v>
      </c>
    </row>
    <row r="1922" spans="1:6" ht="13.2" x14ac:dyDescent="0.25">
      <c r="A1922" s="202" t="s">
        <v>4199</v>
      </c>
      <c r="B1922" s="216" t="s">
        <v>4200</v>
      </c>
      <c r="C1922" s="217" t="s">
        <v>1011</v>
      </c>
      <c r="D1922" s="53">
        <v>0</v>
      </c>
      <c r="E1922" s="121">
        <f>Saisie!D1922</f>
        <v>0</v>
      </c>
      <c r="F1922" s="51">
        <f t="shared" si="115"/>
        <v>0</v>
      </c>
    </row>
    <row r="1923" spans="1:6" ht="13.2" x14ac:dyDescent="0.25">
      <c r="A1923" s="202" t="s">
        <v>4201</v>
      </c>
      <c r="B1923" s="216" t="s">
        <v>4202</v>
      </c>
      <c r="C1923" s="217" t="s">
        <v>1011</v>
      </c>
      <c r="D1923" s="53">
        <v>0</v>
      </c>
      <c r="E1923" s="121">
        <f>Saisie!D1923</f>
        <v>0</v>
      </c>
      <c r="F1923" s="51">
        <f t="shared" si="115"/>
        <v>0</v>
      </c>
    </row>
    <row r="1924" spans="1:6" ht="13.2" x14ac:dyDescent="0.25">
      <c r="A1924" s="202" t="s">
        <v>4203</v>
      </c>
      <c r="B1924" s="216" t="s">
        <v>4204</v>
      </c>
      <c r="C1924" s="217" t="s">
        <v>1011</v>
      </c>
      <c r="D1924" s="53">
        <v>0</v>
      </c>
      <c r="E1924" s="121">
        <f>Saisie!D1924</f>
        <v>0</v>
      </c>
      <c r="F1924" s="51">
        <f t="shared" si="115"/>
        <v>0</v>
      </c>
    </row>
    <row r="1925" spans="1:6" ht="13.2" x14ac:dyDescent="0.25">
      <c r="A1925" s="27" t="s">
        <v>4205</v>
      </c>
      <c r="B1925" s="3" t="s">
        <v>4206</v>
      </c>
      <c r="C1925" s="217"/>
      <c r="D1925" s="45"/>
      <c r="E1925" s="121"/>
      <c r="F1925" s="51"/>
    </row>
    <row r="1926" spans="1:6" ht="13.2" x14ac:dyDescent="0.25">
      <c r="A1926" s="202" t="s">
        <v>4207</v>
      </c>
      <c r="B1926" s="216" t="s">
        <v>4208</v>
      </c>
      <c r="C1926" s="217" t="s">
        <v>1011</v>
      </c>
      <c r="D1926" s="53">
        <v>0</v>
      </c>
      <c r="E1926" s="121">
        <f>Saisie!D1926</f>
        <v>0</v>
      </c>
      <c r="F1926" s="51">
        <f t="shared" si="115"/>
        <v>0</v>
      </c>
    </row>
    <row r="1927" spans="1:6" ht="13.2" x14ac:dyDescent="0.25">
      <c r="A1927" s="202" t="s">
        <v>4209</v>
      </c>
      <c r="B1927" s="216" t="s">
        <v>4210</v>
      </c>
      <c r="C1927" s="217" t="s">
        <v>1011</v>
      </c>
      <c r="D1927" s="53">
        <v>0</v>
      </c>
      <c r="E1927" s="121">
        <f>Saisie!D1927</f>
        <v>0</v>
      </c>
      <c r="F1927" s="51">
        <f t="shared" si="115"/>
        <v>0</v>
      </c>
    </row>
    <row r="1928" spans="1:6" ht="13.2" x14ac:dyDescent="0.25">
      <c r="A1928" s="202" t="s">
        <v>4211</v>
      </c>
      <c r="B1928" s="216" t="s">
        <v>4212</v>
      </c>
      <c r="C1928" s="217" t="s">
        <v>1011</v>
      </c>
      <c r="D1928" s="53">
        <v>0</v>
      </c>
      <c r="E1928" s="121">
        <f>Saisie!D1928</f>
        <v>0</v>
      </c>
      <c r="F1928" s="51">
        <f t="shared" si="115"/>
        <v>0</v>
      </c>
    </row>
    <row r="1929" spans="1:6" ht="13.2" x14ac:dyDescent="0.25">
      <c r="A1929" s="202" t="s">
        <v>4213</v>
      </c>
      <c r="B1929" s="216" t="s">
        <v>4214</v>
      </c>
      <c r="C1929" s="217" t="s">
        <v>1011</v>
      </c>
      <c r="D1929" s="53">
        <v>0</v>
      </c>
      <c r="E1929" s="121">
        <f>Saisie!D1929</f>
        <v>0</v>
      </c>
      <c r="F1929" s="51">
        <f t="shared" si="115"/>
        <v>0</v>
      </c>
    </row>
    <row r="1930" spans="1:6" ht="13.2" x14ac:dyDescent="0.25">
      <c r="A1930" s="27" t="s">
        <v>4215</v>
      </c>
      <c r="B1930" s="3" t="s">
        <v>4216</v>
      </c>
      <c r="C1930" s="217"/>
      <c r="D1930" s="45"/>
      <c r="E1930" s="121"/>
      <c r="F1930" s="51"/>
    </row>
    <row r="1931" spans="1:6" ht="13.2" x14ac:dyDescent="0.25">
      <c r="A1931" s="202" t="s">
        <v>4217</v>
      </c>
      <c r="B1931" s="216" t="s">
        <v>4218</v>
      </c>
      <c r="C1931" s="217" t="s">
        <v>1011</v>
      </c>
      <c r="D1931" s="53">
        <v>0</v>
      </c>
      <c r="E1931" s="121">
        <f>Saisie!D1931</f>
        <v>0</v>
      </c>
      <c r="F1931" s="51">
        <f t="shared" si="115"/>
        <v>0</v>
      </c>
    </row>
    <row r="1932" spans="1:6" ht="13.2" x14ac:dyDescent="0.25">
      <c r="A1932" s="202" t="s">
        <v>4219</v>
      </c>
      <c r="B1932" s="216" t="s">
        <v>4220</v>
      </c>
      <c r="C1932" s="217" t="s">
        <v>1011</v>
      </c>
      <c r="D1932" s="53">
        <v>0</v>
      </c>
      <c r="E1932" s="121">
        <f>Saisie!D1932</f>
        <v>0</v>
      </c>
      <c r="F1932" s="51">
        <f t="shared" si="115"/>
        <v>0</v>
      </c>
    </row>
    <row r="1933" spans="1:6" ht="13.2" x14ac:dyDescent="0.25">
      <c r="A1933" s="202"/>
      <c r="B1933" s="216"/>
      <c r="C1933" s="217"/>
      <c r="D1933" s="217"/>
      <c r="E1933" s="217"/>
      <c r="F1933" s="217"/>
    </row>
    <row r="1934" spans="1:6" ht="13.2" x14ac:dyDescent="0.25">
      <c r="A1934" s="202"/>
      <c r="B1934" s="122" t="s">
        <v>4221</v>
      </c>
      <c r="C1934" s="217"/>
      <c r="D1934" s="217"/>
      <c r="E1934" s="217"/>
      <c r="F1934" s="84">
        <f>SUM(F1900:F1933)</f>
        <v>0</v>
      </c>
    </row>
    <row r="1935" spans="1:6" ht="13.2" x14ac:dyDescent="0.25">
      <c r="A1935" s="202"/>
      <c r="B1935" s="216"/>
      <c r="C1935" s="217"/>
      <c r="D1935" s="217"/>
      <c r="E1935" s="217"/>
      <c r="F1935" s="217"/>
    </row>
    <row r="1936" spans="1:6" ht="13.2" x14ac:dyDescent="0.25">
      <c r="A1936" s="29">
        <v>18</v>
      </c>
      <c r="B1936" s="32" t="s">
        <v>4222</v>
      </c>
      <c r="C1936" s="224" t="s">
        <v>1883</v>
      </c>
      <c r="D1936" s="224" t="s">
        <v>1883</v>
      </c>
      <c r="E1936" s="224" t="s">
        <v>1883</v>
      </c>
      <c r="F1936" s="224" t="s">
        <v>1883</v>
      </c>
    </row>
    <row r="1937" spans="1:6" ht="26.4" x14ac:dyDescent="0.25">
      <c r="A1937" s="27" t="s">
        <v>4223</v>
      </c>
      <c r="B1937" s="6" t="s">
        <v>4224</v>
      </c>
      <c r="C1937" s="217" t="s">
        <v>1883</v>
      </c>
      <c r="D1937" s="45"/>
      <c r="E1937" s="45"/>
    </row>
    <row r="1938" spans="1:6" ht="13.2" x14ac:dyDescent="0.25">
      <c r="A1938" s="202" t="s">
        <v>4225</v>
      </c>
      <c r="B1938" s="223" t="s">
        <v>4226</v>
      </c>
      <c r="C1938" s="217" t="s">
        <v>2879</v>
      </c>
      <c r="D1938" s="53">
        <v>0</v>
      </c>
      <c r="E1938" s="121">
        <f>Saisie!D1938</f>
        <v>0</v>
      </c>
      <c r="F1938" s="51">
        <f>D1938*E1938</f>
        <v>0</v>
      </c>
    </row>
    <row r="1939" spans="1:6" ht="13.2" x14ac:dyDescent="0.25">
      <c r="A1939" s="202" t="s">
        <v>4227</v>
      </c>
      <c r="B1939" s="223" t="s">
        <v>4228</v>
      </c>
      <c r="C1939" s="217" t="s">
        <v>2879</v>
      </c>
      <c r="D1939" s="53">
        <v>0</v>
      </c>
      <c r="E1939" s="121">
        <f>Saisie!D1939</f>
        <v>0</v>
      </c>
      <c r="F1939" s="51">
        <f t="shared" ref="F1939:F1957" si="116">D1939*E1939</f>
        <v>0</v>
      </c>
    </row>
    <row r="1940" spans="1:6" ht="13.2" x14ac:dyDescent="0.25">
      <c r="A1940" s="202" t="s">
        <v>4229</v>
      </c>
      <c r="B1940" s="223" t="s">
        <v>4230</v>
      </c>
      <c r="C1940" s="217" t="s">
        <v>2879</v>
      </c>
      <c r="D1940" s="53">
        <v>0</v>
      </c>
      <c r="E1940" s="121">
        <f>Saisie!D1940</f>
        <v>0</v>
      </c>
      <c r="F1940" s="51">
        <f t="shared" si="116"/>
        <v>0</v>
      </c>
    </row>
    <row r="1941" spans="1:6" ht="13.2" x14ac:dyDescent="0.25">
      <c r="A1941" s="202" t="s">
        <v>4231</v>
      </c>
      <c r="B1941" s="223" t="s">
        <v>4232</v>
      </c>
      <c r="C1941" s="217" t="s">
        <v>2879</v>
      </c>
      <c r="D1941" s="53">
        <v>0</v>
      </c>
      <c r="E1941" s="121">
        <f>Saisie!D1941</f>
        <v>0</v>
      </c>
      <c r="F1941" s="51">
        <f t="shared" si="116"/>
        <v>0</v>
      </c>
    </row>
    <row r="1942" spans="1:6" ht="13.2" x14ac:dyDescent="0.25">
      <c r="A1942" s="202" t="s">
        <v>4233</v>
      </c>
      <c r="B1942" s="223" t="s">
        <v>4234</v>
      </c>
      <c r="C1942" s="217" t="s">
        <v>2879</v>
      </c>
      <c r="D1942" s="53">
        <v>0</v>
      </c>
      <c r="E1942" s="121">
        <f>Saisie!D1942</f>
        <v>0</v>
      </c>
      <c r="F1942" s="51">
        <f t="shared" si="116"/>
        <v>0</v>
      </c>
    </row>
    <row r="1943" spans="1:6" ht="26.4" x14ac:dyDescent="0.25">
      <c r="A1943" s="27" t="s">
        <v>4235</v>
      </c>
      <c r="B1943" s="6" t="s">
        <v>4236</v>
      </c>
      <c r="C1943" s="217"/>
      <c r="D1943" s="45"/>
      <c r="E1943" s="121"/>
      <c r="F1943" s="51"/>
    </row>
    <row r="1944" spans="1:6" ht="13.2" x14ac:dyDescent="0.25">
      <c r="A1944" s="202" t="s">
        <v>4237</v>
      </c>
      <c r="B1944" s="223" t="s">
        <v>4228</v>
      </c>
      <c r="C1944" s="217" t="s">
        <v>2879</v>
      </c>
      <c r="D1944" s="53">
        <v>0</v>
      </c>
      <c r="E1944" s="121">
        <f>Saisie!D1944</f>
        <v>0</v>
      </c>
      <c r="F1944" s="51">
        <f t="shared" si="116"/>
        <v>0</v>
      </c>
    </row>
    <row r="1945" spans="1:6" ht="13.2" x14ac:dyDescent="0.25">
      <c r="A1945" s="202" t="s">
        <v>4238</v>
      </c>
      <c r="B1945" s="223" t="s">
        <v>4230</v>
      </c>
      <c r="C1945" s="217" t="s">
        <v>2879</v>
      </c>
      <c r="D1945" s="53">
        <v>0</v>
      </c>
      <c r="E1945" s="121">
        <f>Saisie!D1945</f>
        <v>0</v>
      </c>
      <c r="F1945" s="51">
        <f t="shared" si="116"/>
        <v>0</v>
      </c>
    </row>
    <row r="1946" spans="1:6" ht="13.2" x14ac:dyDescent="0.25">
      <c r="A1946" s="202" t="s">
        <v>4239</v>
      </c>
      <c r="B1946" s="223" t="s">
        <v>4232</v>
      </c>
      <c r="C1946" s="217" t="s">
        <v>2879</v>
      </c>
      <c r="D1946" s="53">
        <v>0</v>
      </c>
      <c r="E1946" s="121">
        <f>Saisie!D1946</f>
        <v>0</v>
      </c>
      <c r="F1946" s="51">
        <f t="shared" si="116"/>
        <v>0</v>
      </c>
    </row>
    <row r="1947" spans="1:6" ht="26.4" x14ac:dyDescent="0.25">
      <c r="A1947" s="27" t="s">
        <v>4240</v>
      </c>
      <c r="B1947" s="6" t="s">
        <v>4241</v>
      </c>
      <c r="C1947" s="217"/>
      <c r="D1947" s="45"/>
      <c r="E1947" s="121"/>
      <c r="F1947" s="51"/>
    </row>
    <row r="1948" spans="1:6" ht="13.2" x14ac:dyDescent="0.25">
      <c r="A1948" s="202" t="s">
        <v>4242</v>
      </c>
      <c r="B1948" s="223" t="s">
        <v>4228</v>
      </c>
      <c r="C1948" s="217" t="s">
        <v>2879</v>
      </c>
      <c r="D1948" s="53">
        <v>0</v>
      </c>
      <c r="E1948" s="121">
        <f>Saisie!D1948</f>
        <v>0</v>
      </c>
      <c r="F1948" s="51">
        <f t="shared" si="116"/>
        <v>0</v>
      </c>
    </row>
    <row r="1949" spans="1:6" ht="13.2" x14ac:dyDescent="0.25">
      <c r="A1949" s="202" t="s">
        <v>4243</v>
      </c>
      <c r="B1949" s="223" t="s">
        <v>4230</v>
      </c>
      <c r="C1949" s="217" t="s">
        <v>2879</v>
      </c>
      <c r="D1949" s="53">
        <v>0</v>
      </c>
      <c r="E1949" s="121">
        <f>Saisie!D1949</f>
        <v>0</v>
      </c>
      <c r="F1949" s="51">
        <f t="shared" si="116"/>
        <v>0</v>
      </c>
    </row>
    <row r="1950" spans="1:6" ht="13.2" x14ac:dyDescent="0.25">
      <c r="A1950" s="202" t="s">
        <v>4244</v>
      </c>
      <c r="B1950" s="223" t="s">
        <v>4232</v>
      </c>
      <c r="C1950" s="217" t="s">
        <v>2879</v>
      </c>
      <c r="D1950" s="53">
        <v>0</v>
      </c>
      <c r="E1950" s="121">
        <f>Saisie!D1950</f>
        <v>0</v>
      </c>
      <c r="F1950" s="51">
        <f t="shared" si="116"/>
        <v>0</v>
      </c>
    </row>
    <row r="1951" spans="1:6" ht="26.4" x14ac:dyDescent="0.25">
      <c r="A1951" s="27" t="s">
        <v>4245</v>
      </c>
      <c r="B1951" s="6" t="s">
        <v>4246</v>
      </c>
      <c r="C1951" s="217"/>
      <c r="D1951" s="45"/>
      <c r="E1951" s="121"/>
      <c r="F1951" s="51"/>
    </row>
    <row r="1952" spans="1:6" ht="13.2" x14ac:dyDescent="0.25">
      <c r="A1952" s="202" t="s">
        <v>4247</v>
      </c>
      <c r="B1952" s="223" t="s">
        <v>4228</v>
      </c>
      <c r="C1952" s="217" t="s">
        <v>2879</v>
      </c>
      <c r="D1952" s="53">
        <v>0</v>
      </c>
      <c r="E1952" s="121">
        <f>Saisie!D1952</f>
        <v>0</v>
      </c>
      <c r="F1952" s="51">
        <f t="shared" si="116"/>
        <v>0</v>
      </c>
    </row>
    <row r="1953" spans="1:6" ht="13.2" x14ac:dyDescent="0.25">
      <c r="A1953" s="202" t="s">
        <v>4248</v>
      </c>
      <c r="B1953" s="223" t="s">
        <v>4230</v>
      </c>
      <c r="C1953" s="217" t="s">
        <v>2879</v>
      </c>
      <c r="D1953" s="53">
        <v>0</v>
      </c>
      <c r="E1953" s="121">
        <f>Saisie!D1953</f>
        <v>0</v>
      </c>
      <c r="F1953" s="51">
        <f t="shared" si="116"/>
        <v>0</v>
      </c>
    </row>
    <row r="1954" spans="1:6" ht="13.2" x14ac:dyDescent="0.25">
      <c r="A1954" s="202" t="s">
        <v>4249</v>
      </c>
      <c r="B1954" s="223" t="s">
        <v>4232</v>
      </c>
      <c r="C1954" s="217" t="s">
        <v>2879</v>
      </c>
      <c r="D1954" s="53">
        <v>0</v>
      </c>
      <c r="E1954" s="121">
        <f>Saisie!D1954</f>
        <v>0</v>
      </c>
      <c r="F1954" s="51">
        <f t="shared" si="116"/>
        <v>0</v>
      </c>
    </row>
    <row r="1955" spans="1:6" ht="52.8" x14ac:dyDescent="0.25">
      <c r="A1955" s="27" t="s">
        <v>4250</v>
      </c>
      <c r="B1955" s="6" t="s">
        <v>4251</v>
      </c>
      <c r="C1955" s="217"/>
      <c r="D1955" s="45"/>
      <c r="E1955" s="121"/>
      <c r="F1955" s="51"/>
    </row>
    <row r="1956" spans="1:6" ht="26.4" x14ac:dyDescent="0.25">
      <c r="A1956" s="202" t="s">
        <v>4252</v>
      </c>
      <c r="B1956" s="226" t="s">
        <v>4253</v>
      </c>
      <c r="C1956" s="227" t="s">
        <v>4254</v>
      </c>
      <c r="D1956" s="53">
        <v>0</v>
      </c>
      <c r="E1956" s="121">
        <f>Saisie!D1956</f>
        <v>0</v>
      </c>
      <c r="F1956" s="51">
        <f t="shared" si="116"/>
        <v>0</v>
      </c>
    </row>
    <row r="1957" spans="1:6" ht="26.4" x14ac:dyDescent="0.25">
      <c r="A1957" s="202" t="s">
        <v>4255</v>
      </c>
      <c r="B1957" s="226" t="s">
        <v>4256</v>
      </c>
      <c r="C1957" s="227" t="s">
        <v>4257</v>
      </c>
      <c r="D1957" s="53">
        <v>0</v>
      </c>
      <c r="E1957" s="121">
        <f>Saisie!D1957</f>
        <v>0</v>
      </c>
      <c r="F1957" s="51">
        <f t="shared" si="116"/>
        <v>0</v>
      </c>
    </row>
    <row r="1958" spans="1:6" ht="13.2" x14ac:dyDescent="0.25">
      <c r="A1958" s="202"/>
      <c r="B1958" s="223"/>
      <c r="C1958" s="217"/>
      <c r="D1958" s="217"/>
      <c r="E1958" s="217"/>
    </row>
    <row r="1959" spans="1:6" ht="13.2" x14ac:dyDescent="0.25">
      <c r="A1959" s="202"/>
      <c r="B1959" s="122" t="s">
        <v>4258</v>
      </c>
      <c r="C1959" s="217"/>
      <c r="D1959" s="217"/>
      <c r="E1959" s="217"/>
      <c r="F1959" s="84">
        <f>SUM(F1938:F1958)</f>
        <v>0</v>
      </c>
    </row>
    <row r="1960" spans="1:6" ht="13.2" x14ac:dyDescent="0.25">
      <c r="A1960" s="202"/>
      <c r="B1960" s="223"/>
      <c r="C1960" s="217"/>
      <c r="D1960" s="217"/>
      <c r="E1960" s="217"/>
    </row>
    <row r="1961" spans="1:6" ht="13.2" x14ac:dyDescent="0.25">
      <c r="A1961" s="29">
        <v>19</v>
      </c>
      <c r="B1961" s="32" t="s">
        <v>4396</v>
      </c>
      <c r="C1961" s="224" t="s">
        <v>1883</v>
      </c>
      <c r="D1961" s="224" t="s">
        <v>1883</v>
      </c>
      <c r="E1961" s="224" t="s">
        <v>1883</v>
      </c>
      <c r="F1961" s="224" t="s">
        <v>1883</v>
      </c>
    </row>
    <row r="1962" spans="1:6" ht="26.4" x14ac:dyDescent="0.25">
      <c r="A1962" s="27" t="s">
        <v>4259</v>
      </c>
      <c r="B1962" s="6" t="s">
        <v>4260</v>
      </c>
      <c r="C1962" s="217" t="s">
        <v>1883</v>
      </c>
      <c r="D1962" s="217" t="s">
        <v>1883</v>
      </c>
      <c r="E1962" s="217" t="s">
        <v>1883</v>
      </c>
    </row>
    <row r="1963" spans="1:6" ht="13.2" x14ac:dyDescent="0.25">
      <c r="A1963" s="202" t="s">
        <v>4261</v>
      </c>
      <c r="B1963" s="223" t="s">
        <v>4262</v>
      </c>
      <c r="C1963" s="217" t="s">
        <v>2879</v>
      </c>
      <c r="D1963" s="53">
        <v>0</v>
      </c>
      <c r="E1963" s="121">
        <f>Saisie!D1963</f>
        <v>0</v>
      </c>
      <c r="F1963" s="51">
        <f>D1963*E1963</f>
        <v>0</v>
      </c>
    </row>
    <row r="1964" spans="1:6" ht="13.2" x14ac:dyDescent="0.25">
      <c r="A1964" s="202" t="s">
        <v>4263</v>
      </c>
      <c r="B1964" s="223" t="s">
        <v>4264</v>
      </c>
      <c r="C1964" s="217" t="s">
        <v>2879</v>
      </c>
      <c r="D1964" s="53">
        <v>0</v>
      </c>
      <c r="E1964" s="121">
        <f>Saisie!D1964</f>
        <v>0</v>
      </c>
      <c r="F1964" s="51">
        <f t="shared" ref="F1964:F1982" si="117">D1964*E1964</f>
        <v>0</v>
      </c>
    </row>
    <row r="1965" spans="1:6" ht="13.2" x14ac:dyDescent="0.25">
      <c r="A1965" s="202" t="s">
        <v>4265</v>
      </c>
      <c r="B1965" s="223" t="s">
        <v>4266</v>
      </c>
      <c r="C1965" s="217" t="s">
        <v>2879</v>
      </c>
      <c r="D1965" s="53">
        <v>0</v>
      </c>
      <c r="E1965" s="121">
        <f>Saisie!D1965</f>
        <v>0</v>
      </c>
      <c r="F1965" s="51">
        <f t="shared" si="117"/>
        <v>0</v>
      </c>
    </row>
    <row r="1966" spans="1:6" ht="13.2" x14ac:dyDescent="0.25">
      <c r="A1966" s="202" t="s">
        <v>4267</v>
      </c>
      <c r="B1966" s="223" t="s">
        <v>4268</v>
      </c>
      <c r="C1966" s="217" t="s">
        <v>2879</v>
      </c>
      <c r="D1966" s="53">
        <v>0</v>
      </c>
      <c r="E1966" s="121">
        <f>Saisie!D1966</f>
        <v>0</v>
      </c>
      <c r="F1966" s="51">
        <f t="shared" si="117"/>
        <v>0</v>
      </c>
    </row>
    <row r="1967" spans="1:6" ht="13.2" x14ac:dyDescent="0.25">
      <c r="A1967" s="202" t="s">
        <v>4269</v>
      </c>
      <c r="B1967" s="223" t="s">
        <v>4270</v>
      </c>
      <c r="C1967" s="217" t="s">
        <v>2879</v>
      </c>
      <c r="D1967" s="53">
        <v>0</v>
      </c>
      <c r="E1967" s="121">
        <f>Saisie!D1967</f>
        <v>0</v>
      </c>
      <c r="F1967" s="51">
        <f t="shared" si="117"/>
        <v>0</v>
      </c>
    </row>
    <row r="1968" spans="1:6" ht="13.2" x14ac:dyDescent="0.25">
      <c r="A1968" s="202" t="s">
        <v>4271</v>
      </c>
      <c r="B1968" s="223" t="s">
        <v>4272</v>
      </c>
      <c r="C1968" s="217" t="s">
        <v>2879</v>
      </c>
      <c r="D1968" s="53">
        <v>0</v>
      </c>
      <c r="E1968" s="121">
        <f>Saisie!D1968</f>
        <v>0</v>
      </c>
      <c r="F1968" s="51">
        <f t="shared" si="117"/>
        <v>0</v>
      </c>
    </row>
    <row r="1969" spans="1:6" ht="13.2" x14ac:dyDescent="0.25">
      <c r="A1969" s="202" t="s">
        <v>4273</v>
      </c>
      <c r="B1969" s="223" t="s">
        <v>4274</v>
      </c>
      <c r="C1969" s="217" t="s">
        <v>2879</v>
      </c>
      <c r="D1969" s="53">
        <v>0</v>
      </c>
      <c r="E1969" s="121">
        <f>Saisie!D1969</f>
        <v>0</v>
      </c>
      <c r="F1969" s="51">
        <f t="shared" si="117"/>
        <v>0</v>
      </c>
    </row>
    <row r="1970" spans="1:6" ht="13.2" x14ac:dyDescent="0.25">
      <c r="A1970" s="202" t="s">
        <v>4275</v>
      </c>
      <c r="B1970" s="223" t="s">
        <v>4276</v>
      </c>
      <c r="C1970" s="217" t="s">
        <v>2879</v>
      </c>
      <c r="D1970" s="53">
        <v>0</v>
      </c>
      <c r="E1970" s="121">
        <f>Saisie!D1970</f>
        <v>0</v>
      </c>
      <c r="F1970" s="51">
        <f t="shared" si="117"/>
        <v>0</v>
      </c>
    </row>
    <row r="1971" spans="1:6" ht="13.2" x14ac:dyDescent="0.25">
      <c r="A1971" s="202" t="s">
        <v>4277</v>
      </c>
      <c r="B1971" s="223" t="s">
        <v>4278</v>
      </c>
      <c r="C1971" s="217" t="s">
        <v>2879</v>
      </c>
      <c r="D1971" s="53">
        <v>0</v>
      </c>
      <c r="E1971" s="121">
        <f>Saisie!D1971</f>
        <v>0</v>
      </c>
      <c r="F1971" s="51">
        <f t="shared" si="117"/>
        <v>0</v>
      </c>
    </row>
    <row r="1972" spans="1:6" ht="13.2" x14ac:dyDescent="0.25">
      <c r="A1972" s="202" t="s">
        <v>4279</v>
      </c>
      <c r="B1972" s="223" t="s">
        <v>4280</v>
      </c>
      <c r="C1972" s="217" t="s">
        <v>2879</v>
      </c>
      <c r="D1972" s="53">
        <v>0</v>
      </c>
      <c r="E1972" s="121">
        <f>Saisie!D1972</f>
        <v>0</v>
      </c>
      <c r="F1972" s="51">
        <f t="shared" si="117"/>
        <v>0</v>
      </c>
    </row>
    <row r="1973" spans="1:6" ht="26.4" x14ac:dyDescent="0.25">
      <c r="A1973" s="202" t="s">
        <v>4281</v>
      </c>
      <c r="B1973" s="223" t="s">
        <v>4282</v>
      </c>
      <c r="C1973" s="217" t="s">
        <v>2879</v>
      </c>
      <c r="D1973" s="53">
        <v>0</v>
      </c>
      <c r="E1973" s="121">
        <f>Saisie!D1973</f>
        <v>0</v>
      </c>
      <c r="F1973" s="51">
        <f t="shared" si="117"/>
        <v>0</v>
      </c>
    </row>
    <row r="1974" spans="1:6" ht="26.4" x14ac:dyDescent="0.25">
      <c r="A1974" s="202" t="s">
        <v>4283</v>
      </c>
      <c r="B1974" s="223" t="s">
        <v>4284</v>
      </c>
      <c r="C1974" s="217" t="s">
        <v>2879</v>
      </c>
      <c r="D1974" s="53">
        <v>0</v>
      </c>
      <c r="E1974" s="121">
        <f>Saisie!D1974</f>
        <v>0</v>
      </c>
      <c r="F1974" s="51">
        <f t="shared" si="117"/>
        <v>0</v>
      </c>
    </row>
    <row r="1975" spans="1:6" ht="26.4" x14ac:dyDescent="0.25">
      <c r="A1975" s="202" t="s">
        <v>4285</v>
      </c>
      <c r="B1975" s="223" t="s">
        <v>4286</v>
      </c>
      <c r="C1975" s="217" t="s">
        <v>2879</v>
      </c>
      <c r="D1975" s="53">
        <v>0</v>
      </c>
      <c r="E1975" s="121">
        <f>Saisie!D1975</f>
        <v>0</v>
      </c>
      <c r="F1975" s="51">
        <f t="shared" si="117"/>
        <v>0</v>
      </c>
    </row>
    <row r="1976" spans="1:6" ht="13.2" x14ac:dyDescent="0.25">
      <c r="A1976" s="202" t="s">
        <v>4287</v>
      </c>
      <c r="B1976" s="223" t="s">
        <v>4288</v>
      </c>
      <c r="C1976" s="217" t="s">
        <v>1011</v>
      </c>
      <c r="D1976" s="53">
        <v>0</v>
      </c>
      <c r="E1976" s="121">
        <f>Saisie!D1976</f>
        <v>0</v>
      </c>
      <c r="F1976" s="51">
        <f t="shared" si="117"/>
        <v>0</v>
      </c>
    </row>
    <row r="1977" spans="1:6" ht="26.4" x14ac:dyDescent="0.25">
      <c r="A1977" s="27" t="s">
        <v>4289</v>
      </c>
      <c r="B1977" s="6" t="s">
        <v>4290</v>
      </c>
      <c r="C1977" s="217" t="s">
        <v>1883</v>
      </c>
      <c r="D1977" s="45"/>
      <c r="E1977" s="121"/>
      <c r="F1977" s="51"/>
    </row>
    <row r="1978" spans="1:6" ht="13.2" x14ac:dyDescent="0.25">
      <c r="A1978" s="202" t="s">
        <v>4291</v>
      </c>
      <c r="B1978" s="223" t="s">
        <v>4292</v>
      </c>
      <c r="C1978" s="217" t="s">
        <v>2879</v>
      </c>
      <c r="D1978" s="53">
        <v>0</v>
      </c>
      <c r="E1978" s="121">
        <f>Saisie!D1978</f>
        <v>0</v>
      </c>
      <c r="F1978" s="51">
        <f t="shared" si="117"/>
        <v>0</v>
      </c>
    </row>
    <row r="1979" spans="1:6" ht="13.2" x14ac:dyDescent="0.25">
      <c r="A1979" s="202" t="s">
        <v>4293</v>
      </c>
      <c r="B1979" s="223" t="s">
        <v>4294</v>
      </c>
      <c r="C1979" s="217" t="s">
        <v>2879</v>
      </c>
      <c r="D1979" s="53">
        <v>0</v>
      </c>
      <c r="E1979" s="121">
        <f>Saisie!D1979</f>
        <v>0</v>
      </c>
      <c r="F1979" s="51">
        <f t="shared" si="117"/>
        <v>0</v>
      </c>
    </row>
    <row r="1980" spans="1:6" ht="13.2" x14ac:dyDescent="0.25">
      <c r="A1980" s="202" t="s">
        <v>4295</v>
      </c>
      <c r="B1980" s="223" t="s">
        <v>4296</v>
      </c>
      <c r="C1980" s="217" t="s">
        <v>2879</v>
      </c>
      <c r="D1980" s="53">
        <v>0</v>
      </c>
      <c r="E1980" s="121">
        <f>Saisie!D1980</f>
        <v>0</v>
      </c>
      <c r="F1980" s="51">
        <f t="shared" si="117"/>
        <v>0</v>
      </c>
    </row>
    <row r="1981" spans="1:6" ht="13.2" x14ac:dyDescent="0.25">
      <c r="A1981" s="202" t="s">
        <v>4297</v>
      </c>
      <c r="B1981" s="223" t="s">
        <v>4298</v>
      </c>
      <c r="C1981" s="217" t="s">
        <v>2879</v>
      </c>
      <c r="D1981" s="53">
        <v>0</v>
      </c>
      <c r="E1981" s="121">
        <f>Saisie!D1981</f>
        <v>0</v>
      </c>
      <c r="F1981" s="51">
        <f t="shared" si="117"/>
        <v>0</v>
      </c>
    </row>
    <row r="1982" spans="1:6" ht="13.2" x14ac:dyDescent="0.25">
      <c r="A1982" s="202" t="s">
        <v>4299</v>
      </c>
      <c r="B1982" s="223" t="s">
        <v>4300</v>
      </c>
      <c r="C1982" s="217" t="s">
        <v>2879</v>
      </c>
      <c r="D1982" s="53">
        <v>0</v>
      </c>
      <c r="E1982" s="121">
        <f>Saisie!D1982</f>
        <v>0</v>
      </c>
      <c r="F1982" s="51">
        <f t="shared" si="117"/>
        <v>0</v>
      </c>
    </row>
    <row r="1983" spans="1:6" ht="13.2" x14ac:dyDescent="0.25">
      <c r="A1983" s="203" t="s">
        <v>4301</v>
      </c>
      <c r="B1983" s="197" t="s">
        <v>4302</v>
      </c>
      <c r="C1983" s="55"/>
      <c r="D1983" s="55"/>
      <c r="E1983" s="55"/>
      <c r="F1983" s="55"/>
    </row>
    <row r="1984" spans="1:6" ht="13.2" x14ac:dyDescent="0.25">
      <c r="A1984" s="202"/>
      <c r="B1984" s="223" t="s">
        <v>4411</v>
      </c>
      <c r="C1984" s="217" t="s">
        <v>1141</v>
      </c>
      <c r="D1984" s="53">
        <v>0</v>
      </c>
      <c r="E1984" s="121">
        <f>Saisie!D1984</f>
        <v>0</v>
      </c>
      <c r="F1984" s="51">
        <f t="shared" ref="F1984" si="118">D1984*E1984</f>
        <v>0</v>
      </c>
    </row>
    <row r="1985" spans="1:6" ht="13.2" x14ac:dyDescent="0.25">
      <c r="A1985" s="237"/>
      <c r="B1985" s="200"/>
      <c r="C1985" s="217"/>
      <c r="D1985" s="53"/>
      <c r="E1985" s="121"/>
      <c r="F1985" s="127"/>
    </row>
    <row r="1986" spans="1:6" ht="13.2" x14ac:dyDescent="0.25">
      <c r="A1986" s="237"/>
      <c r="B1986" s="122" t="s">
        <v>4397</v>
      </c>
      <c r="C1986" s="217"/>
      <c r="D1986" s="53"/>
      <c r="E1986" s="121"/>
      <c r="F1986" s="127">
        <f>SUM(F1963:F1984)</f>
        <v>0</v>
      </c>
    </row>
    <row r="1987" spans="1:6" ht="13.2" x14ac:dyDescent="0.25">
      <c r="A1987" s="202"/>
      <c r="B1987" s="223"/>
      <c r="C1987" s="217"/>
      <c r="D1987" s="217"/>
      <c r="E1987" s="217"/>
    </row>
    <row r="1988" spans="1:6" ht="13.2" x14ac:dyDescent="0.25">
      <c r="A1988" s="29" t="s">
        <v>4399</v>
      </c>
      <c r="B1988" s="32" t="s">
        <v>4400</v>
      </c>
      <c r="C1988" s="224" t="s">
        <v>1883</v>
      </c>
      <c r="D1988" s="224" t="s">
        <v>1883</v>
      </c>
      <c r="E1988" s="224" t="s">
        <v>1883</v>
      </c>
      <c r="F1988" s="224" t="s">
        <v>1883</v>
      </c>
    </row>
    <row r="1989" spans="1:6" ht="13.2" x14ac:dyDescent="0.25">
      <c r="A1989" s="279" t="s">
        <v>4401</v>
      </c>
      <c r="B1989" s="3" t="s">
        <v>4402</v>
      </c>
      <c r="C1989" s="217" t="s">
        <v>4403</v>
      </c>
      <c r="D1989" s="53">
        <v>0</v>
      </c>
      <c r="E1989" s="281">
        <f>Saisie!D1989</f>
        <v>0</v>
      </c>
      <c r="F1989" s="51">
        <f>D1989*E1989</f>
        <v>0</v>
      </c>
    </row>
    <row r="1990" spans="1:6" ht="13.2" x14ac:dyDescent="0.25">
      <c r="A1990" s="279" t="s">
        <v>4404</v>
      </c>
      <c r="B1990" s="3" t="s">
        <v>4405</v>
      </c>
      <c r="C1990" s="217" t="s">
        <v>4403</v>
      </c>
      <c r="D1990" s="53">
        <v>0</v>
      </c>
      <c r="E1990" s="281">
        <f>Saisie!D1990</f>
        <v>0</v>
      </c>
      <c r="F1990" s="51">
        <f t="shared" ref="F1990:F1992" si="119">D1990*E1990</f>
        <v>0</v>
      </c>
    </row>
    <row r="1991" spans="1:6" ht="13.2" x14ac:dyDescent="0.25">
      <c r="A1991" s="279" t="s">
        <v>4406</v>
      </c>
      <c r="B1991" s="3" t="s">
        <v>4407</v>
      </c>
      <c r="C1991" s="217" t="s">
        <v>4403</v>
      </c>
      <c r="D1991" s="53">
        <v>0</v>
      </c>
      <c r="E1991" s="281">
        <f>Saisie!D1991</f>
        <v>0</v>
      </c>
      <c r="F1991" s="51">
        <f t="shared" si="119"/>
        <v>0</v>
      </c>
    </row>
    <row r="1992" spans="1:6" ht="13.2" x14ac:dyDescent="0.25">
      <c r="A1992" s="279" t="s">
        <v>4408</v>
      </c>
      <c r="B1992" s="3" t="s">
        <v>4409</v>
      </c>
      <c r="C1992" s="217" t="s">
        <v>4403</v>
      </c>
      <c r="D1992" s="53">
        <v>0</v>
      </c>
      <c r="E1992" s="281">
        <f>Saisie!D1992</f>
        <v>0</v>
      </c>
      <c r="F1992" s="51">
        <f t="shared" si="119"/>
        <v>0</v>
      </c>
    </row>
    <row r="1993" spans="1:6" ht="13.2" x14ac:dyDescent="0.25">
      <c r="A1993" s="27"/>
      <c r="B1993" s="3"/>
      <c r="C1993" s="217"/>
      <c r="D1993" s="53"/>
      <c r="E1993" s="121"/>
      <c r="F1993" s="127"/>
    </row>
    <row r="1994" spans="1:6" ht="26.4" x14ac:dyDescent="0.25">
      <c r="A1994" s="27"/>
      <c r="B1994" s="122" t="s">
        <v>4410</v>
      </c>
      <c r="C1994" s="217"/>
      <c r="D1994" s="53"/>
      <c r="E1994" s="121"/>
      <c r="F1994" s="127">
        <f>SUM(F1989:F1992)</f>
        <v>0</v>
      </c>
    </row>
    <row r="1995" spans="1:6" ht="13.2" x14ac:dyDescent="0.25">
      <c r="A1995" s="237"/>
      <c r="B1995" s="122"/>
      <c r="C1995" s="217"/>
      <c r="D1995" s="53"/>
      <c r="E1995" s="121"/>
      <c r="F1995" s="127"/>
    </row>
    <row r="1996" spans="1:6" ht="13.2" x14ac:dyDescent="0.25">
      <c r="B1996" s="4" t="s">
        <v>4303</v>
      </c>
      <c r="C1996" s="217" t="s">
        <v>1883</v>
      </c>
      <c r="D1996" s="242"/>
      <c r="E1996" s="239"/>
      <c r="F1996" s="21"/>
    </row>
    <row r="1997" spans="1:6" ht="13.2" x14ac:dyDescent="0.25">
      <c r="B1997" s="139"/>
      <c r="C1997" s="138"/>
      <c r="D1997" s="140"/>
      <c r="E1997" s="141"/>
      <c r="F1997" s="25"/>
    </row>
    <row r="1998" spans="1:6" ht="13.2" x14ac:dyDescent="0.25">
      <c r="A1998" s="142">
        <v>1</v>
      </c>
      <c r="B1998" s="143" t="s">
        <v>980</v>
      </c>
      <c r="C1998" s="138"/>
      <c r="D1998" s="140"/>
      <c r="E1998" s="141"/>
      <c r="F1998" s="25">
        <f>F117</f>
        <v>0</v>
      </c>
    </row>
    <row r="1999" spans="1:6" ht="26.4" x14ac:dyDescent="0.25">
      <c r="A1999" s="142">
        <v>2</v>
      </c>
      <c r="B1999" s="143" t="s">
        <v>1125</v>
      </c>
      <c r="C1999" s="138"/>
      <c r="D1999" s="140"/>
      <c r="E1999" s="141"/>
      <c r="F1999" s="25">
        <f>F384</f>
        <v>0</v>
      </c>
    </row>
    <row r="2000" spans="1:6" ht="13.2" x14ac:dyDescent="0.25">
      <c r="A2000" s="142">
        <v>3</v>
      </c>
      <c r="B2000" s="143" t="s">
        <v>1599</v>
      </c>
      <c r="C2000" s="138"/>
      <c r="D2000" s="140"/>
      <c r="E2000" s="141"/>
      <c r="F2000" s="25">
        <f>F427</f>
        <v>0</v>
      </c>
    </row>
    <row r="2001" spans="1:6" ht="13.2" x14ac:dyDescent="0.25">
      <c r="A2001" s="142">
        <v>4</v>
      </c>
      <c r="B2001" s="143" t="s">
        <v>1677</v>
      </c>
      <c r="C2001" s="138"/>
      <c r="D2001" s="140"/>
      <c r="E2001" s="141"/>
      <c r="F2001" s="25">
        <f>F599</f>
        <v>0</v>
      </c>
    </row>
    <row r="2002" spans="1:6" ht="13.2" x14ac:dyDescent="0.25">
      <c r="A2002" s="142">
        <v>5</v>
      </c>
      <c r="B2002" s="143" t="s">
        <v>2006</v>
      </c>
      <c r="C2002" s="138"/>
      <c r="D2002" s="140"/>
      <c r="E2002" s="141"/>
      <c r="F2002" s="25">
        <f>F708</f>
        <v>0</v>
      </c>
    </row>
    <row r="2003" spans="1:6" ht="26.4" x14ac:dyDescent="0.25">
      <c r="A2003" s="142">
        <v>6</v>
      </c>
      <c r="B2003" s="143" t="s">
        <v>2220</v>
      </c>
      <c r="C2003" s="138"/>
      <c r="D2003" s="140"/>
      <c r="E2003" s="141"/>
      <c r="F2003" s="25">
        <f>F839</f>
        <v>0</v>
      </c>
    </row>
    <row r="2004" spans="1:6" ht="13.2" x14ac:dyDescent="0.25">
      <c r="A2004" s="142">
        <v>7</v>
      </c>
      <c r="B2004" s="143" t="s">
        <v>2407</v>
      </c>
      <c r="C2004" s="138"/>
      <c r="D2004" s="140"/>
      <c r="E2004" s="141"/>
      <c r="F2004" s="25">
        <f>F860</f>
        <v>0</v>
      </c>
    </row>
    <row r="2005" spans="1:6" ht="13.2" x14ac:dyDescent="0.25">
      <c r="A2005" s="142">
        <v>8</v>
      </c>
      <c r="B2005" s="143" t="s">
        <v>2439</v>
      </c>
      <c r="C2005" s="138"/>
      <c r="D2005" s="140"/>
      <c r="E2005" s="141"/>
      <c r="F2005" s="25">
        <f>F1062</f>
        <v>0</v>
      </c>
    </row>
    <row r="2006" spans="1:6" ht="26.4" x14ac:dyDescent="0.25">
      <c r="A2006" s="142">
        <v>9</v>
      </c>
      <c r="B2006" s="143" t="s">
        <v>2779</v>
      </c>
      <c r="C2006" s="138"/>
      <c r="D2006" s="140"/>
      <c r="E2006" s="141"/>
      <c r="F2006" s="25">
        <f>F1106</f>
        <v>0</v>
      </c>
    </row>
    <row r="2007" spans="1:6" ht="26.4" x14ac:dyDescent="0.25">
      <c r="A2007" s="142">
        <v>10</v>
      </c>
      <c r="B2007" s="143" t="s">
        <v>2855</v>
      </c>
      <c r="C2007" s="138"/>
      <c r="D2007" s="140"/>
      <c r="E2007" s="141"/>
      <c r="F2007" s="25">
        <f>F1234</f>
        <v>0</v>
      </c>
    </row>
    <row r="2008" spans="1:6" ht="26.4" x14ac:dyDescent="0.25">
      <c r="A2008" s="142">
        <v>11</v>
      </c>
      <c r="B2008" s="143" t="s">
        <v>3083</v>
      </c>
      <c r="C2008" s="138"/>
      <c r="D2008" s="140"/>
      <c r="E2008" s="141"/>
      <c r="F2008" s="25">
        <f>F1377</f>
        <v>0</v>
      </c>
    </row>
    <row r="2009" spans="1:6" ht="13.2" x14ac:dyDescent="0.25">
      <c r="A2009" s="142">
        <v>12</v>
      </c>
      <c r="B2009" s="143" t="s">
        <v>3341</v>
      </c>
      <c r="C2009" s="138"/>
      <c r="D2009" s="140"/>
      <c r="E2009" s="141"/>
      <c r="F2009" s="25">
        <f>F1514</f>
        <v>0</v>
      </c>
    </row>
    <row r="2010" spans="1:6" ht="13.2" x14ac:dyDescent="0.25">
      <c r="A2010" s="142">
        <v>13</v>
      </c>
      <c r="B2010" s="143" t="s">
        <v>3554</v>
      </c>
      <c r="C2010" s="138"/>
      <c r="D2010" s="140"/>
      <c r="E2010" s="141"/>
      <c r="F2010" s="25">
        <f>F1603</f>
        <v>0</v>
      </c>
    </row>
    <row r="2011" spans="1:6" ht="13.2" x14ac:dyDescent="0.25">
      <c r="A2011" s="142">
        <v>14</v>
      </c>
      <c r="B2011" s="143" t="s">
        <v>3703</v>
      </c>
      <c r="C2011" s="138"/>
      <c r="D2011" s="140"/>
      <c r="E2011" s="141"/>
      <c r="F2011" s="25">
        <f>F1819</f>
        <v>0</v>
      </c>
    </row>
    <row r="2012" spans="1:6" ht="13.2" x14ac:dyDescent="0.25">
      <c r="A2012" s="142">
        <v>15</v>
      </c>
      <c r="B2012" s="143" t="s">
        <v>4018</v>
      </c>
      <c r="C2012" s="138"/>
      <c r="D2012" s="140"/>
      <c r="E2012" s="141"/>
      <c r="F2012" s="25">
        <f>F1874</f>
        <v>0</v>
      </c>
    </row>
    <row r="2013" spans="1:6" ht="13.2" x14ac:dyDescent="0.25">
      <c r="A2013" s="142">
        <v>16</v>
      </c>
      <c r="B2013" s="143" t="s">
        <v>4114</v>
      </c>
      <c r="C2013" s="138"/>
      <c r="D2013" s="140"/>
      <c r="E2013" s="141"/>
      <c r="F2013" s="25">
        <f>F1896</f>
        <v>0</v>
      </c>
    </row>
    <row r="2014" spans="1:6" ht="13.2" x14ac:dyDescent="0.25">
      <c r="A2014" s="142">
        <v>17</v>
      </c>
      <c r="B2014" s="143" t="s">
        <v>4152</v>
      </c>
      <c r="C2014" s="138"/>
      <c r="D2014" s="140"/>
      <c r="E2014" s="141"/>
      <c r="F2014" s="25">
        <f>F1934</f>
        <v>0</v>
      </c>
    </row>
    <row r="2015" spans="1:6" ht="13.2" x14ac:dyDescent="0.25">
      <c r="A2015" s="142">
        <v>18</v>
      </c>
      <c r="B2015" s="143" t="s">
        <v>4222</v>
      </c>
      <c r="C2015" s="138"/>
      <c r="D2015" s="140"/>
      <c r="E2015" s="141"/>
      <c r="F2015" s="25">
        <f>F1959</f>
        <v>0</v>
      </c>
    </row>
    <row r="2016" spans="1:6" ht="13.2" x14ac:dyDescent="0.25">
      <c r="A2016" s="142">
        <v>19</v>
      </c>
      <c r="B2016" s="143" t="s">
        <v>4396</v>
      </c>
      <c r="C2016" s="138"/>
      <c r="D2016" s="140"/>
      <c r="E2016" s="141"/>
      <c r="F2016" s="25">
        <f>F1986</f>
        <v>0</v>
      </c>
    </row>
    <row r="2017" spans="1:6" ht="13.2" x14ac:dyDescent="0.25">
      <c r="A2017" s="142">
        <v>20</v>
      </c>
      <c r="B2017" s="143" t="s">
        <v>4400</v>
      </c>
      <c r="C2017" s="138"/>
      <c r="D2017" s="140"/>
      <c r="E2017" s="141"/>
      <c r="F2017" s="25">
        <f>F1994</f>
        <v>0</v>
      </c>
    </row>
    <row r="2018" spans="1:6" x14ac:dyDescent="0.25">
      <c r="E2018" s="137"/>
    </row>
    <row r="2019" spans="1:6" ht="13.2" x14ac:dyDescent="0.25">
      <c r="B2019" s="144" t="s">
        <v>4304</v>
      </c>
      <c r="C2019" s="138"/>
      <c r="D2019" s="140"/>
      <c r="E2019" s="141"/>
      <c r="F2019" s="25">
        <f>SUM(F1998:F2018)</f>
        <v>0</v>
      </c>
    </row>
    <row r="2020" spans="1:6" ht="13.2" x14ac:dyDescent="0.25">
      <c r="B2020" s="144" t="s">
        <v>4305</v>
      </c>
      <c r="C2020" s="138"/>
      <c r="D2020" s="140"/>
      <c r="E2020" s="141"/>
      <c r="F2020" s="25">
        <f>F2019*0.2</f>
        <v>0</v>
      </c>
    </row>
    <row r="2021" spans="1:6" ht="13.2" x14ac:dyDescent="0.25">
      <c r="B2021" s="144" t="s">
        <v>4306</v>
      </c>
      <c r="C2021" s="138"/>
      <c r="D2021" s="140"/>
      <c r="E2021" s="141"/>
      <c r="F2021" s="25">
        <f>F2019+F2020</f>
        <v>0</v>
      </c>
    </row>
    <row r="2022" spans="1:6" x14ac:dyDescent="0.25">
      <c r="A2022" s="184"/>
    </row>
    <row r="2023" spans="1:6" x14ac:dyDescent="0.25">
      <c r="A2023" s="184"/>
    </row>
    <row r="2024" spans="1:6" x14ac:dyDescent="0.25">
      <c r="A2024" s="184"/>
    </row>
    <row r="2025" spans="1:6" x14ac:dyDescent="0.25">
      <c r="A2025" s="184"/>
    </row>
    <row r="2026" spans="1:6" x14ac:dyDescent="0.25">
      <c r="A2026" s="184"/>
    </row>
    <row r="2027" spans="1:6" x14ac:dyDescent="0.25">
      <c r="A2027" s="184"/>
    </row>
    <row r="2028" spans="1:6" x14ac:dyDescent="0.25">
      <c r="A2028" s="184"/>
    </row>
    <row r="2029" spans="1:6" x14ac:dyDescent="0.25">
      <c r="A2029" s="184"/>
    </row>
    <row r="2030" spans="1:6" x14ac:dyDescent="0.25">
      <c r="A2030" s="184"/>
    </row>
    <row r="2031" spans="1:6" x14ac:dyDescent="0.25">
      <c r="A2031" s="184"/>
    </row>
    <row r="2032" spans="1:6" x14ac:dyDescent="0.25">
      <c r="A2032" s="184"/>
    </row>
    <row r="2033" spans="1:1" x14ac:dyDescent="0.25">
      <c r="A2033" s="184"/>
    </row>
    <row r="2034" spans="1:1" x14ac:dyDescent="0.25">
      <c r="A2034" s="184"/>
    </row>
    <row r="2035" spans="1:1" x14ac:dyDescent="0.25">
      <c r="A2035" s="184"/>
    </row>
    <row r="2036" spans="1:1" x14ac:dyDescent="0.25">
      <c r="A2036" s="184"/>
    </row>
    <row r="2037" spans="1:1" x14ac:dyDescent="0.25">
      <c r="A2037" s="184"/>
    </row>
    <row r="2038" spans="1:1" x14ac:dyDescent="0.25">
      <c r="A2038" s="184"/>
    </row>
    <row r="2039" spans="1:1" x14ac:dyDescent="0.25">
      <c r="A2039" s="184"/>
    </row>
    <row r="2040" spans="1:1" x14ac:dyDescent="0.25">
      <c r="A2040" s="184"/>
    </row>
    <row r="2041" spans="1:1" x14ac:dyDescent="0.25">
      <c r="A2041" s="184"/>
    </row>
    <row r="2042" spans="1:1" x14ac:dyDescent="0.25">
      <c r="A2042" s="184"/>
    </row>
    <row r="2043" spans="1:1" x14ac:dyDescent="0.25">
      <c r="A2043" s="184"/>
    </row>
    <row r="2044" spans="1:1" x14ac:dyDescent="0.25">
      <c r="A2044" s="184"/>
    </row>
    <row r="2045" spans="1:1" x14ac:dyDescent="0.25">
      <c r="A2045" s="184"/>
    </row>
    <row r="2046" spans="1:1" x14ac:dyDescent="0.25">
      <c r="A2046" s="184"/>
    </row>
    <row r="2047" spans="1:1" x14ac:dyDescent="0.25">
      <c r="A2047" s="184"/>
    </row>
    <row r="2048" spans="1:1" x14ac:dyDescent="0.25">
      <c r="A2048" s="184"/>
    </row>
    <row r="2049" spans="1:1" x14ac:dyDescent="0.25">
      <c r="A2049" s="184"/>
    </row>
    <row r="2050" spans="1:1" x14ac:dyDescent="0.25">
      <c r="A2050" s="184"/>
    </row>
    <row r="2051" spans="1:1" x14ac:dyDescent="0.25">
      <c r="A2051" s="184"/>
    </row>
    <row r="2052" spans="1:1" x14ac:dyDescent="0.25">
      <c r="A2052" s="184"/>
    </row>
    <row r="2053" spans="1:1" x14ac:dyDescent="0.25">
      <c r="A2053" s="184"/>
    </row>
    <row r="2054" spans="1:1" x14ac:dyDescent="0.25">
      <c r="A2054" s="184"/>
    </row>
    <row r="2055" spans="1:1" x14ac:dyDescent="0.25">
      <c r="A2055" s="184"/>
    </row>
    <row r="2056" spans="1:1" x14ac:dyDescent="0.25">
      <c r="A2056" s="184"/>
    </row>
    <row r="2057" spans="1:1" x14ac:dyDescent="0.25">
      <c r="A2057" s="184"/>
    </row>
    <row r="2058" spans="1:1" x14ac:dyDescent="0.25">
      <c r="A2058" s="184"/>
    </row>
    <row r="2059" spans="1:1" x14ac:dyDescent="0.25">
      <c r="A2059" s="184"/>
    </row>
    <row r="2060" spans="1:1" x14ac:dyDescent="0.25">
      <c r="A2060" s="184"/>
    </row>
    <row r="2061" spans="1:1" x14ac:dyDescent="0.25">
      <c r="A2061" s="184"/>
    </row>
    <row r="2062" spans="1:1" x14ac:dyDescent="0.25">
      <c r="A2062" s="184"/>
    </row>
    <row r="2063" spans="1:1" x14ac:dyDescent="0.25">
      <c r="A2063" s="184"/>
    </row>
    <row r="2064" spans="1:1" x14ac:dyDescent="0.25">
      <c r="A2064" s="184"/>
    </row>
    <row r="2065" spans="1:1" x14ac:dyDescent="0.25">
      <c r="A2065" s="184"/>
    </row>
    <row r="2066" spans="1:1" x14ac:dyDescent="0.25">
      <c r="A2066" s="184"/>
    </row>
    <row r="2067" spans="1:1" x14ac:dyDescent="0.25">
      <c r="A2067" s="184"/>
    </row>
    <row r="2068" spans="1:1" x14ac:dyDescent="0.25">
      <c r="A2068" s="184"/>
    </row>
    <row r="2069" spans="1:1" x14ac:dyDescent="0.25">
      <c r="A2069" s="184"/>
    </row>
    <row r="2070" spans="1:1" x14ac:dyDescent="0.25">
      <c r="A2070" s="184"/>
    </row>
    <row r="2071" spans="1:1" x14ac:dyDescent="0.25">
      <c r="A2071" s="184"/>
    </row>
    <row r="2072" spans="1:1" x14ac:dyDescent="0.25">
      <c r="A2072" s="184"/>
    </row>
    <row r="2073" spans="1:1" x14ac:dyDescent="0.25">
      <c r="A2073" s="184"/>
    </row>
    <row r="2074" spans="1:1" x14ac:dyDescent="0.25">
      <c r="A2074" s="184"/>
    </row>
    <row r="2075" spans="1:1" x14ac:dyDescent="0.25">
      <c r="A2075" s="184"/>
    </row>
    <row r="2076" spans="1:1" x14ac:dyDescent="0.25">
      <c r="A2076" s="184"/>
    </row>
    <row r="2077" spans="1:1" x14ac:dyDescent="0.25">
      <c r="A2077" s="184"/>
    </row>
    <row r="2078" spans="1:1" x14ac:dyDescent="0.25">
      <c r="A2078" s="184"/>
    </row>
    <row r="2079" spans="1:1" x14ac:dyDescent="0.25">
      <c r="A2079" s="184"/>
    </row>
    <row r="2080" spans="1:1" x14ac:dyDescent="0.25">
      <c r="A2080" s="184"/>
    </row>
    <row r="2081" spans="1:1" x14ac:dyDescent="0.25">
      <c r="A2081" s="184"/>
    </row>
    <row r="2082" spans="1:1" x14ac:dyDescent="0.25">
      <c r="A2082" s="184"/>
    </row>
    <row r="2083" spans="1:1" x14ac:dyDescent="0.25">
      <c r="A2083" s="184"/>
    </row>
    <row r="2084" spans="1:1" x14ac:dyDescent="0.25">
      <c r="A2084" s="184"/>
    </row>
    <row r="2085" spans="1:1" x14ac:dyDescent="0.25">
      <c r="A2085" s="184"/>
    </row>
    <row r="2086" spans="1:1" x14ac:dyDescent="0.25">
      <c r="A2086" s="184"/>
    </row>
    <row r="2087" spans="1:1" x14ac:dyDescent="0.25">
      <c r="A2087" s="184"/>
    </row>
    <row r="2088" spans="1:1" x14ac:dyDescent="0.25">
      <c r="A2088" s="184"/>
    </row>
    <row r="2089" spans="1:1" x14ac:dyDescent="0.25">
      <c r="A2089" s="184"/>
    </row>
    <row r="2090" spans="1:1" x14ac:dyDescent="0.25">
      <c r="A2090" s="184"/>
    </row>
    <row r="2091" spans="1:1" x14ac:dyDescent="0.25">
      <c r="A2091" s="184"/>
    </row>
    <row r="2092" spans="1:1" x14ac:dyDescent="0.25">
      <c r="A2092" s="184"/>
    </row>
    <row r="2093" spans="1:1" x14ac:dyDescent="0.25">
      <c r="A2093" s="184"/>
    </row>
    <row r="2094" spans="1:1" x14ac:dyDescent="0.25">
      <c r="A2094" s="184"/>
    </row>
    <row r="2095" spans="1:1" x14ac:dyDescent="0.25">
      <c r="A2095" s="184"/>
    </row>
    <row r="2096" spans="1:1" x14ac:dyDescent="0.25">
      <c r="A2096" s="184"/>
    </row>
    <row r="2097" spans="1:1" x14ac:dyDescent="0.25">
      <c r="A2097" s="184"/>
    </row>
    <row r="2098" spans="1:1" x14ac:dyDescent="0.25">
      <c r="A2098" s="184"/>
    </row>
    <row r="2099" spans="1:1" x14ac:dyDescent="0.25">
      <c r="A2099" s="184"/>
    </row>
    <row r="2100" spans="1:1" x14ac:dyDescent="0.25">
      <c r="A2100" s="184"/>
    </row>
    <row r="2101" spans="1:1" x14ac:dyDescent="0.25">
      <c r="A2101" s="184"/>
    </row>
    <row r="2102" spans="1:1" x14ac:dyDescent="0.25">
      <c r="A2102" s="184"/>
    </row>
    <row r="2103" spans="1:1" x14ac:dyDescent="0.25">
      <c r="A2103" s="184"/>
    </row>
    <row r="2104" spans="1:1" x14ac:dyDescent="0.25">
      <c r="A2104" s="184"/>
    </row>
    <row r="2105" spans="1:1" x14ac:dyDescent="0.25">
      <c r="A2105" s="184"/>
    </row>
    <row r="2106" spans="1:1" x14ac:dyDescent="0.25">
      <c r="A2106" s="184"/>
    </row>
    <row r="2107" spans="1:1" x14ac:dyDescent="0.25">
      <c r="A2107" s="184"/>
    </row>
    <row r="2108" spans="1:1" x14ac:dyDescent="0.25">
      <c r="A2108" s="184"/>
    </row>
  </sheetData>
  <sheetProtection algorithmName="SHA-512" hashValue="ulqZQGPR2Rr8oNwu2ZxGL1wt1toqTZw6lGswTOgIDLMpIFSWn2x3mpFDEBD8vuV1aMy4fKcbZCTHo6fFNJhE5g==" saltValue="iIYa/ZykHyYDMYr7idPWOw==" spinCount="100000" sheet="1" selectLockedCells="1" selectUnlockedCells="1"/>
  <mergeCells count="3">
    <mergeCell ref="C3:F3"/>
    <mergeCell ref="B4:F4"/>
    <mergeCell ref="A1:A2"/>
  </mergeCells>
  <phoneticPr fontId="12" type="noConversion"/>
  <conditionalFormatting sqref="D8:D115 G8:G122 D121:D385 G241:G419 G595:G760 D602:D680 D711:D840 G766:G853 D1963:D1982 D1984:D1986 D1989:D1995">
    <cfRule type="cellIs" dxfId="63" priority="3" stopIfTrue="1" operator="notEqual">
      <formula>0</formula>
    </cfRule>
  </conditionalFormatting>
  <conditionalFormatting sqref="D430:D597">
    <cfRule type="cellIs" dxfId="62" priority="2" stopIfTrue="1" operator="notEqual">
      <formula>0</formula>
    </cfRule>
  </conditionalFormatting>
  <conditionalFormatting sqref="D842:D859 E859">
    <cfRule type="cellIs" dxfId="61" priority="210" stopIfTrue="1" operator="notEqual">
      <formula>0</formula>
    </cfRule>
  </conditionalFormatting>
  <conditionalFormatting sqref="D865:D878">
    <cfRule type="cellIs" dxfId="60" priority="140" stopIfTrue="1" operator="notEqual">
      <formula>0</formula>
    </cfRule>
  </conditionalFormatting>
  <conditionalFormatting sqref="D880:D885 D887">
    <cfRule type="cellIs" dxfId="59" priority="173" stopIfTrue="1" operator="notEqual">
      <formula>0</formula>
    </cfRule>
  </conditionalFormatting>
  <conditionalFormatting sqref="D890:D893">
    <cfRule type="cellIs" dxfId="58" priority="172" stopIfTrue="1" operator="notEqual">
      <formula>0</formula>
    </cfRule>
  </conditionalFormatting>
  <conditionalFormatting sqref="D895:D905 D907:D908">
    <cfRule type="cellIs" dxfId="57" priority="171" stopIfTrue="1" operator="notEqual">
      <formula>0</formula>
    </cfRule>
  </conditionalFormatting>
  <conditionalFormatting sqref="D910:D911">
    <cfRule type="cellIs" dxfId="56" priority="139" stopIfTrue="1" operator="notEqual">
      <formula>0</formula>
    </cfRule>
  </conditionalFormatting>
  <conditionalFormatting sqref="D913:D922">
    <cfRule type="cellIs" dxfId="55" priority="132" stopIfTrue="1" operator="notEqual">
      <formula>0</formula>
    </cfRule>
  </conditionalFormatting>
  <conditionalFormatting sqref="D924:D932 D934:D937">
    <cfRule type="cellIs" dxfId="54" priority="158" stopIfTrue="1" operator="notEqual">
      <formula>0</formula>
    </cfRule>
  </conditionalFormatting>
  <conditionalFormatting sqref="D939:D944 D947:D959">
    <cfRule type="cellIs" dxfId="53" priority="137" stopIfTrue="1" operator="notEqual">
      <formula>0</formula>
    </cfRule>
  </conditionalFormatting>
  <conditionalFormatting sqref="D961:D966">
    <cfRule type="cellIs" dxfId="52" priority="134" stopIfTrue="1" operator="notEqual">
      <formula>0</formula>
    </cfRule>
  </conditionalFormatting>
  <conditionalFormatting sqref="D968:D975">
    <cfRule type="cellIs" dxfId="51" priority="144" stopIfTrue="1" operator="notEqual">
      <formula>0</formula>
    </cfRule>
  </conditionalFormatting>
  <conditionalFormatting sqref="D977:D981 D984:D987">
    <cfRule type="cellIs" dxfId="50" priority="163" stopIfTrue="1" operator="notEqual">
      <formula>0</formula>
    </cfRule>
  </conditionalFormatting>
  <conditionalFormatting sqref="D989:D990">
    <cfRule type="cellIs" dxfId="49" priority="162" stopIfTrue="1" operator="notEqual">
      <formula>0</formula>
    </cfRule>
  </conditionalFormatting>
  <conditionalFormatting sqref="D992:D1004">
    <cfRule type="cellIs" dxfId="48" priority="130" stopIfTrue="1" operator="notEqual">
      <formula>0</formula>
    </cfRule>
  </conditionalFormatting>
  <conditionalFormatting sqref="D1006:D1007">
    <cfRule type="cellIs" dxfId="47" priority="161" stopIfTrue="1" operator="notEqual">
      <formula>0</formula>
    </cfRule>
  </conditionalFormatting>
  <conditionalFormatting sqref="D1009:D1022">
    <cfRule type="cellIs" dxfId="46" priority="160" stopIfTrue="1" operator="notEqual">
      <formula>0</formula>
    </cfRule>
  </conditionalFormatting>
  <conditionalFormatting sqref="D1024:D1032">
    <cfRule type="cellIs" dxfId="45" priority="159" stopIfTrue="1" operator="notEqual">
      <formula>0</formula>
    </cfRule>
  </conditionalFormatting>
  <conditionalFormatting sqref="D1034:D1048">
    <cfRule type="cellIs" dxfId="44" priority="142" stopIfTrue="1" operator="notEqual">
      <formula>0</formula>
    </cfRule>
  </conditionalFormatting>
  <conditionalFormatting sqref="D1050:D1060">
    <cfRule type="cellIs" dxfId="43" priority="133" stopIfTrue="1" operator="notEqual">
      <formula>0</formula>
    </cfRule>
  </conditionalFormatting>
  <conditionalFormatting sqref="D1071:D1073">
    <cfRule type="cellIs" dxfId="42" priority="126" stopIfTrue="1" operator="notEqual">
      <formula>0</formula>
    </cfRule>
  </conditionalFormatting>
  <conditionalFormatting sqref="D1075:D1078">
    <cfRule type="cellIs" dxfId="41" priority="201" stopIfTrue="1" operator="notEqual">
      <formula>0</formula>
    </cfRule>
  </conditionalFormatting>
  <conditionalFormatting sqref="D1080:D1085">
    <cfRule type="cellIs" dxfId="40" priority="7" stopIfTrue="1" operator="notEqual">
      <formula>0</formula>
    </cfRule>
  </conditionalFormatting>
  <conditionalFormatting sqref="D1087:D1090">
    <cfRule type="cellIs" dxfId="39" priority="198" stopIfTrue="1" operator="notEqual">
      <formula>0</formula>
    </cfRule>
  </conditionalFormatting>
  <conditionalFormatting sqref="D1092:D1100 D1102:D1104">
    <cfRule type="cellIs" dxfId="38" priority="194" stopIfTrue="1" operator="notEqual">
      <formula>0</formula>
    </cfRule>
  </conditionalFormatting>
  <conditionalFormatting sqref="D1238:D1376">
    <cfRule type="cellIs" dxfId="37" priority="237" stopIfTrue="1" operator="notEqual">
      <formula>0</formula>
    </cfRule>
  </conditionalFormatting>
  <conditionalFormatting sqref="D1382:D1512">
    <cfRule type="cellIs" dxfId="36" priority="190" stopIfTrue="1" operator="notEqual">
      <formula>0</formula>
    </cfRule>
  </conditionalFormatting>
  <conditionalFormatting sqref="D1620:D1817">
    <cfRule type="cellIs" dxfId="35" priority="239" stopIfTrue="1" operator="notEqual">
      <formula>0</formula>
    </cfRule>
  </conditionalFormatting>
  <conditionalFormatting sqref="D1823:D1872">
    <cfRule type="cellIs" dxfId="34" priority="235" stopIfTrue="1" operator="notEqual">
      <formula>0</formula>
    </cfRule>
  </conditionalFormatting>
  <conditionalFormatting sqref="D1877:D1894">
    <cfRule type="cellIs" dxfId="33" priority="123" stopIfTrue="1" operator="notEqual">
      <formula>0</formula>
    </cfRule>
  </conditionalFormatting>
  <conditionalFormatting sqref="D2022:D65616">
    <cfRule type="cellIs" dxfId="32" priority="349" stopIfTrue="1" operator="notEqual">
      <formula>0</formula>
    </cfRule>
  </conditionalFormatting>
  <conditionalFormatting sqref="D116:E118 E121 E383:E385 E387:E388 D387:D419 D421:D428 E426:E428 E430 D599:E599 D682:D707 E711 E838:E840 E842 D1111:D1232 D1518:D1601 D1608:D1614 D1616:D1618 D1900:D1932 E1937 D1937:D1957">
    <cfRule type="cellIs" dxfId="31" priority="242" stopIfTrue="1" operator="notEqual">
      <formula>0</formula>
    </cfRule>
  </conditionalFormatting>
  <conditionalFormatting sqref="D860:E861">
    <cfRule type="cellIs" dxfId="30" priority="207" stopIfTrue="1" operator="notEqual">
      <formula>0</formula>
    </cfRule>
  </conditionalFormatting>
  <conditionalFormatting sqref="D863:E864">
    <cfRule type="cellIs" dxfId="29" priority="157" stopIfTrue="1" operator="notEqual">
      <formula>0</formula>
    </cfRule>
  </conditionalFormatting>
  <conditionalFormatting sqref="D1061:E1063">
    <cfRule type="cellIs" dxfId="28" priority="205" stopIfTrue="1" operator="notEqual">
      <formula>0</formula>
    </cfRule>
  </conditionalFormatting>
  <conditionalFormatting sqref="D1106:E1107">
    <cfRule type="cellIs" dxfId="27" priority="192" stopIfTrue="1" operator="notEqual">
      <formula>0</formula>
    </cfRule>
  </conditionalFormatting>
  <conditionalFormatting sqref="E9:E46 F26:F46 E47:F47 E48:E115 F48:F118 F120:F173 E122:E173 E174:F204 F205:F212 E205:E255 F214:F255 E256:F312 F313:F328 E313:E382 F330:F384 E431:E539 F528:F539 E540:F597 E602:E699 F627:F680 F682:F699 E700:F700 E701:E707 F701:F708 E712:E837 F722:F840 F863:F1063 E865:E1060 E1963:F1982 E1984:F1986">
    <cfRule type="cellIs" dxfId="26" priority="129" stopIfTrue="1" operator="notEqual">
      <formula>0</formula>
    </cfRule>
  </conditionalFormatting>
  <conditionalFormatting sqref="E389:E425 E843:E858 E1067:E1104 E1111:E1232 E1238:E1376 E1382:E1512 E1518:E1601 E1823:F1872 E1877:F1894 E1900:E1932 E1938:F1957">
    <cfRule type="cellIs" dxfId="25" priority="107" stopIfTrue="1" operator="notEqual">
      <formula>0</formula>
    </cfRule>
  </conditionalFormatting>
  <conditionalFormatting sqref="E1065:E1066 D1065:D1069">
    <cfRule type="cellIs" dxfId="24" priority="128" stopIfTrue="1" operator="notEqual">
      <formula>0</formula>
    </cfRule>
  </conditionalFormatting>
  <conditionalFormatting sqref="E1608:F1817">
    <cfRule type="cellIs" dxfId="23" priority="14" stopIfTrue="1" operator="notEqual">
      <formula>0</formula>
    </cfRule>
  </conditionalFormatting>
  <conditionalFormatting sqref="E1989:F1995">
    <cfRule type="cellIs" dxfId="22" priority="1" stopIfTrue="1" operator="notEqual">
      <formula>0</formula>
    </cfRule>
  </conditionalFormatting>
  <conditionalFormatting sqref="F9:F21">
    <cfRule type="cellIs" dxfId="21" priority="238" stopIfTrue="1" operator="notEqual">
      <formula>0</formula>
    </cfRule>
  </conditionalFormatting>
  <conditionalFormatting sqref="F23:F24 F387:F427 F524:F526 F624:F625 F711:F720 F1111:F1159 F1161:F1203 F1205:F1225 F1227:F1229 F1231:F1232 F1250:F1308 F1311:F1346 F1382:F1420 F1423:F1443 F1445:F1453 F1455:F1512 F1518:F1554 F1556:F1559 F1561:F1564 F1566:F1601 F1918:F1932">
    <cfRule type="cellIs" dxfId="20" priority="241" stopIfTrue="1" operator="notEqual">
      <formula>0</formula>
    </cfRule>
  </conditionalFormatting>
  <conditionalFormatting sqref="F430:F522">
    <cfRule type="cellIs" dxfId="19" priority="187" stopIfTrue="1" operator="notEqual">
      <formula>0</formula>
    </cfRule>
  </conditionalFormatting>
  <conditionalFormatting sqref="F602:F622">
    <cfRule type="cellIs" dxfId="18" priority="221" stopIfTrue="1" operator="notEqual">
      <formula>0</formula>
    </cfRule>
  </conditionalFormatting>
  <conditionalFormatting sqref="F842:F861">
    <cfRule type="cellIs" dxfId="17" priority="206" stopIfTrue="1" operator="notEqual">
      <formula>0</formula>
    </cfRule>
  </conditionalFormatting>
  <conditionalFormatting sqref="F1065:F1090">
    <cfRule type="cellIs" dxfId="16" priority="6" stopIfTrue="1" operator="notEqual">
      <formula>0</formula>
    </cfRule>
  </conditionalFormatting>
  <conditionalFormatting sqref="F1092:F1107">
    <cfRule type="cellIs" dxfId="15" priority="183" stopIfTrue="1" operator="notEqual">
      <formula>0</formula>
    </cfRule>
  </conditionalFormatting>
  <conditionalFormatting sqref="F1234">
    <cfRule type="cellIs" dxfId="14" priority="13" stopIfTrue="1" operator="notEqual">
      <formula>0</formula>
    </cfRule>
  </conditionalFormatting>
  <conditionalFormatting sqref="F1238:F1248">
    <cfRule type="cellIs" dxfId="13" priority="236" stopIfTrue="1" operator="notEqual">
      <formula>0</formula>
    </cfRule>
  </conditionalFormatting>
  <conditionalFormatting sqref="F1348:F1378">
    <cfRule type="cellIs" dxfId="12" priority="116" stopIfTrue="1" operator="notEqual">
      <formula>0</formula>
    </cfRule>
  </conditionalFormatting>
  <conditionalFormatting sqref="F1514">
    <cfRule type="cellIs" dxfId="11" priority="16" stopIfTrue="1" operator="notEqual">
      <formula>0</formula>
    </cfRule>
  </conditionalFormatting>
  <conditionalFormatting sqref="F1603">
    <cfRule type="cellIs" dxfId="10" priority="17" stopIfTrue="1" operator="notEqual">
      <formula>0</formula>
    </cfRule>
  </conditionalFormatting>
  <conditionalFormatting sqref="F1819">
    <cfRule type="cellIs" dxfId="9" priority="18" stopIfTrue="1" operator="notEqual">
      <formula>0</formula>
    </cfRule>
  </conditionalFormatting>
  <conditionalFormatting sqref="F1874">
    <cfRule type="cellIs" dxfId="8" priority="112" stopIfTrue="1" operator="notEqual">
      <formula>0</formula>
    </cfRule>
  </conditionalFormatting>
  <conditionalFormatting sqref="F1896">
    <cfRule type="cellIs" dxfId="7" priority="111" stopIfTrue="1" operator="notEqual">
      <formula>0</formula>
    </cfRule>
  </conditionalFormatting>
  <conditionalFormatting sqref="F1900:F1916">
    <cfRule type="cellIs" dxfId="6" priority="120" stopIfTrue="1" operator="notEqual">
      <formula>0</formula>
    </cfRule>
  </conditionalFormatting>
  <conditionalFormatting sqref="F1934">
    <cfRule type="cellIs" dxfId="5" priority="110" stopIfTrue="1" operator="notEqual">
      <formula>0</formula>
    </cfRule>
  </conditionalFormatting>
  <conditionalFormatting sqref="F1959">
    <cfRule type="cellIs" dxfId="4" priority="109" stopIfTrue="1" operator="notEqual">
      <formula>0</formula>
    </cfRule>
  </conditionalFormatting>
  <conditionalFormatting sqref="G129">
    <cfRule type="cellIs" dxfId="3" priority="343" stopIfTrue="1" operator="notEqual">
      <formula>0</formula>
    </cfRule>
  </conditionalFormatting>
  <conditionalFormatting sqref="G424:G453">
    <cfRule type="cellIs" dxfId="2" priority="341" stopIfTrue="1" operator="notEqual">
      <formula>0</formula>
    </cfRule>
  </conditionalFormatting>
  <conditionalFormatting sqref="G459:G590 D708:E708 G1021:G1168 G1178:G1252">
    <cfRule type="cellIs" dxfId="1" priority="351" stopIfTrue="1" operator="notEqual">
      <formula>0</formula>
    </cfRule>
  </conditionalFormatting>
  <conditionalFormatting sqref="G858:G874">
    <cfRule type="cellIs" dxfId="0" priority="337" stopIfTrue="1" operator="notEqual">
      <formula>0</formula>
    </cfRule>
  </conditionalFormatting>
  <printOptions gridLines="1"/>
  <pageMargins left="0.78740157480314965" right="0.23622047244094491" top="0.51181102362204722" bottom="0.74803149606299213" header="0.31496062992125984" footer="0.31496062992125984"/>
  <pageSetup paperSize="9" scale="67" orientation="portrait" r:id="rId1"/>
  <headerFooter alignWithMargins="0">
    <oddFooter>&amp;R&amp;P/&amp;N</oddFooter>
  </headerFooter>
  <rowBreaks count="17" manualBreakCount="17">
    <brk id="118" max="16383" man="1"/>
    <brk id="385" max="16383" man="1"/>
    <brk id="428" max="16383" man="1"/>
    <brk id="600" max="16383" man="1"/>
    <brk id="709" max="16383" man="1"/>
    <brk id="840" max="16383" man="1"/>
    <brk id="861" max="16383" man="1"/>
    <brk id="1063" max="16383" man="1"/>
    <brk id="1107" max="16383" man="1"/>
    <brk id="1235" max="16383" man="1"/>
    <brk id="1604" max="16383" man="1"/>
    <brk id="1820" max="16383" man="1"/>
    <brk id="1875" max="16383" man="1"/>
    <brk id="1897" max="16383" man="1"/>
    <brk id="1935" max="16383" man="1"/>
    <brk id="1960" max="16383" man="1"/>
    <brk id="199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6f4e610-6d57-4469-ab9c-ced3bcf070c4">
      <Terms xmlns="http://schemas.microsoft.com/office/infopath/2007/PartnerControls"/>
    </lcf76f155ced4ddcb4097134ff3c332f>
    <SharedWithUsers xmlns="18d74a7f-e489-4891-a144-6163e5694d06">
      <UserInfo>
        <DisplayName/>
        <AccountId xsi:nil="true"/>
        <AccountType/>
      </UserInfo>
    </SharedWithUsers>
    <TaxCatchAll xmlns="18d74a7f-e489-4891-a144-6163e5694d0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5CDEAF761AFA4AB0E0EC0364BF1684" ma:contentTypeVersion="18" ma:contentTypeDescription="Crée un document." ma:contentTypeScope="" ma:versionID="10df5690536da318ce1a3aefd093ed95">
  <xsd:schema xmlns:xsd="http://www.w3.org/2001/XMLSchema" xmlns:xs="http://www.w3.org/2001/XMLSchema" xmlns:p="http://schemas.microsoft.com/office/2006/metadata/properties" xmlns:ns2="18d74a7f-e489-4891-a144-6163e5694d06" xmlns:ns3="06f4e610-6d57-4469-ab9c-ced3bcf070c4" targetNamespace="http://schemas.microsoft.com/office/2006/metadata/properties" ma:root="true" ma:fieldsID="1c929bae5ba7807e85985e05ea542ab1" ns2:_="" ns3:_="">
    <xsd:import namespace="18d74a7f-e489-4891-a144-6163e5694d06"/>
    <xsd:import namespace="06f4e610-6d57-4469-ab9c-ced3bcf070c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2:TaxCatchAll" minOccurs="0"/>
                <xsd:element ref="ns3:MediaServiceGenerationTime" minOccurs="0"/>
                <xsd:element ref="ns3:MediaServiceEventHashCode" minOccurs="0"/>
                <xsd:element ref="ns3:lcf76f155ced4ddcb4097134ff3c332f" minOccurs="0"/>
                <xsd:element ref="ns3:MediaServiceOCR" minOccurs="0"/>
                <xsd:element ref="ns3:MediaServiceLocation"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d74a7f-e489-4891-a144-6163e5694d0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e3f52b36-7916-4fa4-b449-c69d7777750e}" ma:internalName="TaxCatchAll" ma:showField="CatchAllData" ma:web="18d74a7f-e489-4891-a144-6163e5694d0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f4e610-6d57-4469-ab9c-ced3bcf070c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544576b8-bfbf-4af1-be5b-b090daeea6f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851230-82E8-4D7A-9EF7-4FC0F958D876}">
  <ds:schemaRefs>
    <ds:schemaRef ds:uri="http://purl.org/dc/elements/1.1/"/>
    <ds:schemaRef ds:uri="http://schemas.microsoft.com/office/2006/metadata/properties"/>
    <ds:schemaRef ds:uri="http://schemas.microsoft.com/office/2006/documentManagement/types"/>
    <ds:schemaRef ds:uri="http://purl.org/dc/dcmitype/"/>
    <ds:schemaRef ds:uri="http://schemas.microsoft.com/office/infopath/2007/PartnerControls"/>
    <ds:schemaRef ds:uri="06f4e610-6d57-4469-ab9c-ced3bcf070c4"/>
    <ds:schemaRef ds:uri="http://schemas.openxmlformats.org/package/2006/metadata/core-properties"/>
    <ds:schemaRef ds:uri="18d74a7f-e489-4891-a144-6163e5694d06"/>
    <ds:schemaRef ds:uri="http://www.w3.org/XML/1998/namespace"/>
    <ds:schemaRef ds:uri="http://purl.org/dc/terms/"/>
  </ds:schemaRefs>
</ds:datastoreItem>
</file>

<file path=customXml/itemProps2.xml><?xml version="1.0" encoding="utf-8"?>
<ds:datastoreItem xmlns:ds="http://schemas.openxmlformats.org/officeDocument/2006/customXml" ds:itemID="{16C376AC-2D6B-456B-80D7-8EAA27F8CB06}"/>
</file>

<file path=customXml/itemProps3.xml><?xml version="1.0" encoding="utf-8"?>
<ds:datastoreItem xmlns:ds="http://schemas.openxmlformats.org/officeDocument/2006/customXml" ds:itemID="{2C334B36-BDD9-44A1-95BF-11DED90BA4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malabrydet</vt:lpstr>
      <vt:lpstr>Mode d'emploi</vt:lpstr>
      <vt:lpstr>Saisie</vt:lpstr>
      <vt:lpstr>Récapitulatif</vt:lpstr>
      <vt:lpstr>Etude de cas n°1</vt:lpstr>
      <vt:lpstr>'Etude de cas n°1'!Impression_des_titres</vt:lpstr>
      <vt:lpstr>Saisie!Impression_des_titres</vt:lpstr>
      <vt:lpstr>'Etude de cas n°1'!Zone_d_impression</vt:lpstr>
      <vt:lpstr>'Mode d''emploi'!Zone_d_impression</vt:lpstr>
      <vt:lpstr>Récapitulatif!Zone_d_impression</vt:lpstr>
      <vt:lpstr>Saisie!Zone_d_impression</vt:lpstr>
    </vt:vector>
  </TitlesOfParts>
  <Manager/>
  <Company>Edisys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KANAGAVALLI</dc:creator>
  <cp:keywords/>
  <dc:description/>
  <cp:lastModifiedBy>POMYKALA-DUFOUR Cécile</cp:lastModifiedBy>
  <cp:revision/>
  <dcterms:created xsi:type="dcterms:W3CDTF">2010-08-06T11:30:59Z</dcterms:created>
  <dcterms:modified xsi:type="dcterms:W3CDTF">2025-05-30T16:27:54Z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ET_Orient">
    <vt:lpwstr>portrait</vt:lpwstr>
  </property>
  <property fmtid="{D5CDD505-2E9C-101B-9397-08002B2CF9AE}" pid="3" name="EtapEnCours">
    <vt:i4>6</vt:i4>
  </property>
  <property fmtid="{D5CDD505-2E9C-101B-9397-08002B2CF9AE}" pid="4" name="DatDebT">
    <vt:lpwstr>06/08/2010 16:50:39</vt:lpwstr>
  </property>
  <property fmtid="{D5CDD505-2E9C-101B-9397-08002B2CF9AE}" pid="5" name="NomStd">
    <vt:lpwstr>malabry</vt:lpwstr>
  </property>
  <property fmtid="{D5CDD505-2E9C-101B-9397-08002B2CF9AE}" pid="6" name="MT_DET">
    <vt:lpwstr>=Qté_DET*PU_DET</vt:lpwstr>
  </property>
  <property fmtid="{D5CDD505-2E9C-101B-9397-08002B2CF9AE}" pid="7" name="NumDossier">
    <vt:lpwstr>1435646</vt:lpwstr>
  </property>
  <property fmtid="{D5CDD505-2E9C-101B-9397-08002B2CF9AE}" pid="8" name="TVA">
    <vt:lpwstr>0.196</vt:lpwstr>
  </property>
  <property fmtid="{D5CDD505-2E9C-101B-9397-08002B2CF9AE}" pid="9" name="Unit">
    <vt:bool>false</vt:bool>
  </property>
  <property fmtid="{D5CDD505-2E9C-101B-9397-08002B2CF9AE}" pid="10" name="StdVersion">
    <vt:lpwstr>3.3.7</vt:lpwstr>
  </property>
  <property fmtid="{D5CDD505-2E9C-101B-9397-08002B2CF9AE}" pid="11" name="bRecap">
    <vt:bool>false</vt:bool>
  </property>
  <property fmtid="{D5CDD505-2E9C-101B-9397-08002B2CF9AE}" pid="12" name="DET_NbPages">
    <vt:i4>138</vt:i4>
  </property>
  <property fmtid="{D5CDD505-2E9C-101B-9397-08002B2CF9AE}" pid="13" name="DET_NbGarde">
    <vt:i4>1</vt:i4>
  </property>
  <property fmtid="{D5CDD505-2E9C-101B-9397-08002B2CF9AE}" pid="14" name="BPX_Orient">
    <vt:lpwstr>portrait</vt:lpwstr>
  </property>
  <property fmtid="{D5CDD505-2E9C-101B-9397-08002B2CF9AE}" pid="15" name="BPX_NbPages">
    <vt:i4>0</vt:i4>
  </property>
  <property fmtid="{D5CDD505-2E9C-101B-9397-08002B2CF9AE}" pid="16" name="BPX_NbGarde">
    <vt:i4>0</vt:i4>
  </property>
  <property fmtid="{D5CDD505-2E9C-101B-9397-08002B2CF9AE}" pid="17" name="BPX_Type">
    <vt:i4>1</vt:i4>
  </property>
  <property fmtid="{D5CDD505-2E9C-101B-9397-08002B2CF9AE}" pid="18" name="DebutDossier">
    <vt:i4>4</vt:i4>
  </property>
  <property fmtid="{D5CDD505-2E9C-101B-9397-08002B2CF9AE}" pid="19" name="cLsiQte">
    <vt:i4>4</vt:i4>
  </property>
  <property fmtid="{D5CDD505-2E9C-101B-9397-08002B2CF9AE}" pid="20" name="cLsiPU">
    <vt:i4>5</vt:i4>
  </property>
  <property fmtid="{D5CDD505-2E9C-101B-9397-08002B2CF9AE}" pid="21" name="Déci">
    <vt:i4>2</vt:i4>
  </property>
  <property fmtid="{D5CDD505-2E9C-101B-9397-08002B2CF9AE}" pid="22" name="DDE">
    <vt:bool>false</vt:bool>
  </property>
  <property fmtid="{D5CDD505-2E9C-101B-9397-08002B2CF9AE}" pid="23" name="Romain">
    <vt:bool>false</vt:bool>
  </property>
  <property fmtid="{D5CDD505-2E9C-101B-9397-08002B2CF9AE}" pid="24" name="RecupCols">
    <vt:lpwstr>-Qté-PU-</vt:lpwstr>
  </property>
  <property fmtid="{D5CDD505-2E9C-101B-9397-08002B2CF9AE}" pid="25" name="TexteCols">
    <vt:lpwstr>-</vt:lpwstr>
  </property>
  <property fmtid="{D5CDD505-2E9C-101B-9397-08002B2CF9AE}" pid="26" name="Doublons">
    <vt:bool>false</vt:bool>
  </property>
  <property fmtid="{D5CDD505-2E9C-101B-9397-08002B2CF9AE}" pid="27" name="Liaisons">
    <vt:bool>false</vt:bool>
  </property>
  <property fmtid="{D5CDD505-2E9C-101B-9397-08002B2CF9AE}" pid="28" name="IsUpdateFiles">
    <vt:bool>true</vt:bool>
  </property>
  <property fmtid="{D5CDD505-2E9C-101B-9397-08002B2CF9AE}" pid="29" name="VisuQtte">
    <vt:lpwstr>Qté</vt:lpwstr>
  </property>
  <property fmtid="{D5CDD505-2E9C-101B-9397-08002B2CF9AE}" pid="30" name="DatFinT">
    <vt:lpwstr>09/08/2010 13:59:12</vt:lpwstr>
  </property>
  <property fmtid="{D5CDD505-2E9C-101B-9397-08002B2CF9AE}" pid="31" name="DateDebT">
    <vt:lpwstr>09/08/2010 13:59:13</vt:lpwstr>
  </property>
  <property fmtid="{D5CDD505-2E9C-101B-9397-08002B2CF9AE}" pid="32" name="DateFinT">
    <vt:lpwstr>09/08/2010 13:59:13</vt:lpwstr>
  </property>
  <property fmtid="{D5CDD505-2E9C-101B-9397-08002B2CF9AE}" pid="33" name="dateMU">
    <vt:lpwstr>1435646|09/08/2010 15:20:33|06/08/2010 17:14:33|06/08/2010 17:30:41|06/08/2010 17:58:21|09/08/2010 15:25:29|09/08/2010 13:52:39</vt:lpwstr>
  </property>
  <property fmtid="{D5CDD505-2E9C-101B-9397-08002B2CF9AE}" pid="34" name="comments">
    <vt:lpwstr>Numéro du dossier : 1435646</vt:lpwstr>
  </property>
  <property fmtid="{D5CDD505-2E9C-101B-9397-08002B2CF9AE}" pid="35" name="MailAgence">
    <vt:lpwstr>paris@edisys.eu</vt:lpwstr>
  </property>
  <property fmtid="{D5CDD505-2E9C-101B-9397-08002B2CF9AE}" pid="36" name="ContentTypeId">
    <vt:lpwstr>0x0101005B5CDEAF761AFA4AB0E0EC0364BF1684</vt:lpwstr>
  </property>
  <property fmtid="{D5CDD505-2E9C-101B-9397-08002B2CF9AE}" pid="37" name="Order">
    <vt:r8>2423800</vt:r8>
  </property>
  <property fmtid="{D5CDD505-2E9C-101B-9397-08002B2CF9AE}" pid="38" name="ComplianceAssetId">
    <vt:lpwstr/>
  </property>
  <property fmtid="{D5CDD505-2E9C-101B-9397-08002B2CF9AE}" pid="39" name="_ExtendedDescription">
    <vt:lpwstr/>
  </property>
  <property fmtid="{D5CDD505-2E9C-101B-9397-08002B2CF9AE}" pid="40" name="TriggerFlowInfo">
    <vt:lpwstr/>
  </property>
  <property fmtid="{D5CDD505-2E9C-101B-9397-08002B2CF9AE}" pid="41" name="MediaServiceImageTags">
    <vt:lpwstr/>
  </property>
</Properties>
</file>