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valleesud.sharepoint.com/sites/Directionjuridiqueetcommandepublique/Documents partages/S7-DOSSIER MARCHES/Travaux/2025/25TRX08_AC Tvx Infra/01Prep/V2/PiècesTechniquesLot2/Etude de cas n°2/"/>
    </mc:Choice>
  </mc:AlternateContent>
  <xr:revisionPtr revIDLastSave="79" documentId="13_ncr:1_{5AA01545-3B7F-47FA-8510-A8926EF1E5D5}" xr6:coauthVersionLast="47" xr6:coauthVersionMax="47" xr10:uidLastSave="{FE55BF26-F885-4C41-86E7-3DB44E4D31C6}"/>
  <bookViews>
    <workbookView xWindow="28680" yWindow="-120" windowWidth="29040" windowHeight="15840" firstSheet="1" activeTab="1" xr2:uid="{00000000-000D-0000-FFFF-FFFF00000000}"/>
  </bookViews>
  <sheets>
    <sheet name="malabrydet" sheetId="4" state="hidden" r:id="rId1"/>
    <sheet name="Cas 2" sheetId="25" r:id="rId2"/>
  </sheets>
  <definedNames>
    <definedName name="_xlnm._FilterDatabase" localSheetId="1" hidden="1">'Cas 2'!$A$9:$G$1380</definedName>
    <definedName name="EURO">6.55957</definedName>
    <definedName name="HT_0_HT01" localSheetId="1">#REF!</definedName>
    <definedName name="HT_0_HT01">#REF!</definedName>
    <definedName name="_xlnm.Print_Titles" localSheetId="1">'Cas 2'!$1:$7</definedName>
    <definedName name="MT" localSheetId="1">#REF!</definedName>
    <definedName name="MT">#REF!</definedName>
    <definedName name="P_1_1.1.1" localSheetId="1">#REF!</definedName>
    <definedName name="P_1_1.1.1">#REF!</definedName>
    <definedName name="P_1_1.1.2" localSheetId="1">#REF!</definedName>
    <definedName name="P_1_1.1.2">#REF!</definedName>
    <definedName name="P_1_1.2">#REF!</definedName>
    <definedName name="P_1_1.3.1.1" localSheetId="1">#REF!</definedName>
    <definedName name="P_1_1.3.1.1">#REF!</definedName>
    <definedName name="P_1_1.3.1.2" localSheetId="1">#REF!</definedName>
    <definedName name="P_1_1.3.1.2">#REF!</definedName>
    <definedName name="P_1_1.3.1.3" localSheetId="1">#REF!</definedName>
    <definedName name="P_1_1.3.1.3">#REF!</definedName>
    <definedName name="P_1_1.3.1.4" localSheetId="1">#REF!</definedName>
    <definedName name="P_1_1.3.1.4">#REF!</definedName>
    <definedName name="P_1_1.3.1.5" localSheetId="1">#REF!</definedName>
    <definedName name="P_1_1.3.1.5">#REF!</definedName>
    <definedName name="P_1_1.3.1.6" localSheetId="1">#REF!</definedName>
    <definedName name="P_1_1.3.1.6">#REF!</definedName>
    <definedName name="P_1_1.3.1.7" localSheetId="1">#REF!</definedName>
    <definedName name="P_1_1.3.1.7">#REF!</definedName>
    <definedName name="P_1_1.3.1.8" localSheetId="1">#REF!</definedName>
    <definedName name="P_1_1.3.1.8">#REF!</definedName>
    <definedName name="P_1_1.3.10">#REF!</definedName>
    <definedName name="P_1_1.3.11" localSheetId="1">#REF!</definedName>
    <definedName name="P_1_1.3.11">#REF!</definedName>
    <definedName name="P_1_1.3.2.1" localSheetId="1">#REF!</definedName>
    <definedName name="P_1_1.3.2.1">#REF!</definedName>
    <definedName name="P_1_1.3.2.2" localSheetId="1">#REF!</definedName>
    <definedName name="P_1_1.3.2.2">#REF!</definedName>
    <definedName name="P_1_1.3.2.3" localSheetId="1">#REF!</definedName>
    <definedName name="P_1_1.3.2.3">#REF!</definedName>
    <definedName name="P_1_1.3.2.4" localSheetId="1">#REF!</definedName>
    <definedName name="P_1_1.3.2.4">#REF!</definedName>
    <definedName name="P_1_1.3.3.1" localSheetId="1">#REF!</definedName>
    <definedName name="P_1_1.3.3.1">#REF!</definedName>
    <definedName name="P_1_1.3.3.2" localSheetId="1">#REF!</definedName>
    <definedName name="P_1_1.3.3.2">#REF!</definedName>
    <definedName name="P_1_1.3.3.3" localSheetId="1">#REF!</definedName>
    <definedName name="P_1_1.3.3.3">#REF!</definedName>
    <definedName name="P_1_1.3.3.4" localSheetId="1">#REF!</definedName>
    <definedName name="P_1_1.3.3.4">#REF!</definedName>
    <definedName name="P_1_1.3.4">#REF!</definedName>
    <definedName name="P_1_1.3.5">#REF!</definedName>
    <definedName name="P_1_1.3.6">#REF!</definedName>
    <definedName name="P_1_1.3.7">#REF!</definedName>
    <definedName name="P_1_1.3.8">#REF!</definedName>
    <definedName name="P_1_1.3.9">#REF!</definedName>
    <definedName name="P_1_1.4.1">#REF!</definedName>
    <definedName name="P_1_1.4.2">#REF!</definedName>
    <definedName name="P_1_1.4.3">#REF!</definedName>
    <definedName name="P_1_1.5">#REF!</definedName>
    <definedName name="P_1_1.6">#REF!</definedName>
    <definedName name="P_1_1.7.1" localSheetId="1">#REF!</definedName>
    <definedName name="P_1_1.7.1">#REF!</definedName>
    <definedName name="P_1_1.7.2" localSheetId="1">#REF!</definedName>
    <definedName name="P_1_1.7.2">#REF!</definedName>
    <definedName name="P_1_1.7.3" localSheetId="1">#REF!</definedName>
    <definedName name="P_1_1.7.3">#REF!</definedName>
    <definedName name="P_1_10.1.1">#REF!</definedName>
    <definedName name="P_1_10.1.10">#REF!</definedName>
    <definedName name="P_1_10.1.11">#REF!</definedName>
    <definedName name="P_1_10.1.2">#REF!</definedName>
    <definedName name="P_1_10.1.3">#REF!</definedName>
    <definedName name="P_1_10.1.4">#REF!</definedName>
    <definedName name="P_1_10.1.5">#REF!</definedName>
    <definedName name="P_1_10.1.6">#REF!</definedName>
    <definedName name="P_1_10.1.7">#REF!</definedName>
    <definedName name="P_1_10.1.8">#REF!</definedName>
    <definedName name="P_1_10.1.9">#REF!</definedName>
    <definedName name="P_1_10.2.1" localSheetId="1">#REF!</definedName>
    <definedName name="P_1_10.2.1">#REF!</definedName>
    <definedName name="P_1_10.2.10.1" localSheetId="1">#REF!</definedName>
    <definedName name="P_1_10.2.10.1">#REF!</definedName>
    <definedName name="P_1_10.2.10.2" localSheetId="1">#REF!</definedName>
    <definedName name="P_1_10.2.10.2">#REF!</definedName>
    <definedName name="P_1_10.2.11.1" localSheetId="1">#REF!</definedName>
    <definedName name="P_1_10.2.11.1">#REF!</definedName>
    <definedName name="P_1_10.2.11.2" localSheetId="1">#REF!</definedName>
    <definedName name="P_1_10.2.11.2">#REF!</definedName>
    <definedName name="P_1_10.2.12.1" localSheetId="1">#REF!</definedName>
    <definedName name="P_1_10.2.12.1">#REF!</definedName>
    <definedName name="P_1_10.2.12.2" localSheetId="1">#REF!</definedName>
    <definedName name="P_1_10.2.12.2">#REF!</definedName>
    <definedName name="P_1_10.2.13.1.1" localSheetId="1">#REF!</definedName>
    <definedName name="P_1_10.2.13.1.1">#REF!</definedName>
    <definedName name="P_1_10.2.13.1.2" localSheetId="1">#REF!</definedName>
    <definedName name="P_1_10.2.13.1.2">#REF!</definedName>
    <definedName name="P_1_10.2.13.1.3" localSheetId="1">#REF!</definedName>
    <definedName name="P_1_10.2.13.1.3">#REF!</definedName>
    <definedName name="P_1_10.2.13.1.4" localSheetId="1">#REF!</definedName>
    <definedName name="P_1_10.2.13.1.4">#REF!</definedName>
    <definedName name="P_1_10.2.13.1.5" localSheetId="1">#REF!</definedName>
    <definedName name="P_1_10.2.13.1.5">#REF!</definedName>
    <definedName name="P_1_10.2.13.1.6" localSheetId="1">#REF!</definedName>
    <definedName name="P_1_10.2.13.1.6">#REF!</definedName>
    <definedName name="P_1_10.2.13.2.1" localSheetId="1">#REF!</definedName>
    <definedName name="P_1_10.2.13.2.1">#REF!</definedName>
    <definedName name="P_1_10.2.13.2.2" localSheetId="1">#REF!</definedName>
    <definedName name="P_1_10.2.13.2.2">#REF!</definedName>
    <definedName name="P_1_10.2.13.2.3" localSheetId="1">#REF!</definedName>
    <definedName name="P_1_10.2.13.2.3">#REF!</definedName>
    <definedName name="P_1_10.2.13.2.4" localSheetId="1">#REF!</definedName>
    <definedName name="P_1_10.2.13.2.4">#REF!</definedName>
    <definedName name="P_1_10.2.13.2.5" localSheetId="1">#REF!</definedName>
    <definedName name="P_1_10.2.13.2.5">#REF!</definedName>
    <definedName name="P_1_10.2.13.2.6" localSheetId="1">#REF!</definedName>
    <definedName name="P_1_10.2.13.2.6">#REF!</definedName>
    <definedName name="P_1_10.2.13.3.1" localSheetId="1">#REF!</definedName>
    <definedName name="P_1_10.2.13.3.1">#REF!</definedName>
    <definedName name="P_1_10.2.13.3.2" localSheetId="1">#REF!</definedName>
    <definedName name="P_1_10.2.13.3.2">#REF!</definedName>
    <definedName name="P_1_10.2.13.3.3" localSheetId="1">#REF!</definedName>
    <definedName name="P_1_10.2.13.3.3">#REF!</definedName>
    <definedName name="P_1_10.2.13.3.4" localSheetId="1">#REF!</definedName>
    <definedName name="P_1_10.2.13.3.4">#REF!</definedName>
    <definedName name="P_1_10.2.13.3.5" localSheetId="1">#REF!</definedName>
    <definedName name="P_1_10.2.13.3.5">#REF!</definedName>
    <definedName name="P_1_10.2.13.3.6" localSheetId="1">#REF!</definedName>
    <definedName name="P_1_10.2.13.3.6">#REF!</definedName>
    <definedName name="P_1_10.2.13.4.1" localSheetId="1">#REF!</definedName>
    <definedName name="P_1_10.2.13.4.1">#REF!</definedName>
    <definedName name="P_1_10.2.13.4.2" localSheetId="1">#REF!</definedName>
    <definedName name="P_1_10.2.13.4.2">#REF!</definedName>
    <definedName name="P_1_10.2.13.4.3" localSheetId="1">#REF!</definedName>
    <definedName name="P_1_10.2.13.4.3">#REF!</definedName>
    <definedName name="P_1_10.2.13.4.4" localSheetId="1">#REF!</definedName>
    <definedName name="P_1_10.2.13.4.4">#REF!</definedName>
    <definedName name="P_1_10.2.13.4.5" localSheetId="1">#REF!</definedName>
    <definedName name="P_1_10.2.13.4.5">#REF!</definedName>
    <definedName name="P_1_10.2.14.1.1" localSheetId="1">#REF!</definedName>
    <definedName name="P_1_10.2.14.1.1">#REF!</definedName>
    <definedName name="P_1_10.2.14.1.2" localSheetId="1">#REF!</definedName>
    <definedName name="P_1_10.2.14.1.2">#REF!</definedName>
    <definedName name="P_1_10.2.14.1.3" localSheetId="1">#REF!</definedName>
    <definedName name="P_1_10.2.14.1.3">#REF!</definedName>
    <definedName name="P_1_10.2.14.1.4" localSheetId="1">#REF!</definedName>
    <definedName name="P_1_10.2.14.1.4">#REF!</definedName>
    <definedName name="P_1_10.2.14.1.5" localSheetId="1">#REF!</definedName>
    <definedName name="P_1_10.2.14.1.5">#REF!</definedName>
    <definedName name="P_1_10.2.14.1.6" localSheetId="1">#REF!</definedName>
    <definedName name="P_1_10.2.14.1.6">#REF!</definedName>
    <definedName name="P_1_10.2.14.2.1" localSheetId="1">#REF!</definedName>
    <definedName name="P_1_10.2.14.2.1">#REF!</definedName>
    <definedName name="P_1_10.2.14.2.2" localSheetId="1">#REF!</definedName>
    <definedName name="P_1_10.2.14.2.2">#REF!</definedName>
    <definedName name="P_1_10.2.14.2.3" localSheetId="1">#REF!</definedName>
    <definedName name="P_1_10.2.14.2.3">#REF!</definedName>
    <definedName name="P_1_10.2.14.2.4" localSheetId="1">#REF!</definedName>
    <definedName name="P_1_10.2.14.2.4">#REF!</definedName>
    <definedName name="P_1_10.2.14.2.5" localSheetId="1">#REF!</definedName>
    <definedName name="P_1_10.2.14.2.5">#REF!</definedName>
    <definedName name="P_1_10.2.14.2.6" localSheetId="1">#REF!</definedName>
    <definedName name="P_1_10.2.14.2.6">#REF!</definedName>
    <definedName name="P_1_10.2.14.3.1" localSheetId="1">#REF!</definedName>
    <definedName name="P_1_10.2.14.3.1">#REF!</definedName>
    <definedName name="P_1_10.2.14.3.2" localSheetId="1">#REF!</definedName>
    <definedName name="P_1_10.2.14.3.2">#REF!</definedName>
    <definedName name="P_1_10.2.14.3.3" localSheetId="1">#REF!</definedName>
    <definedName name="P_1_10.2.14.3.3">#REF!</definedName>
    <definedName name="P_1_10.2.14.3.4" localSheetId="1">#REF!</definedName>
    <definedName name="P_1_10.2.14.3.4">#REF!</definedName>
    <definedName name="P_1_10.2.14.3.5" localSheetId="1">#REF!</definedName>
    <definedName name="P_1_10.2.14.3.5">#REF!</definedName>
    <definedName name="P_1_10.2.14.3.6" localSheetId="1">#REF!</definedName>
    <definedName name="P_1_10.2.14.3.6">#REF!</definedName>
    <definedName name="P_1_10.2.14.4.1" localSheetId="1">#REF!</definedName>
    <definedName name="P_1_10.2.14.4.1">#REF!</definedName>
    <definedName name="P_1_10.2.14.4.2" localSheetId="1">#REF!</definedName>
    <definedName name="P_1_10.2.14.4.2">#REF!</definedName>
    <definedName name="P_1_10.2.14.4.3" localSheetId="1">#REF!</definedName>
    <definedName name="P_1_10.2.14.4.3">#REF!</definedName>
    <definedName name="P_1_10.2.14.4.4" localSheetId="1">#REF!</definedName>
    <definedName name="P_1_10.2.14.4.4">#REF!</definedName>
    <definedName name="P_1_10.2.14.4.5" localSheetId="1">#REF!</definedName>
    <definedName name="P_1_10.2.14.4.5">#REF!</definedName>
    <definedName name="P_1_10.2.14.4.6" localSheetId="1">#REF!</definedName>
    <definedName name="P_1_10.2.14.4.6">#REF!</definedName>
    <definedName name="P_1_10.2.15.1" localSheetId="1">#REF!</definedName>
    <definedName name="P_1_10.2.15.1">#REF!</definedName>
    <definedName name="P_1_10.2.15.2" localSheetId="1">#REF!</definedName>
    <definedName name="P_1_10.2.15.2">#REF!</definedName>
    <definedName name="P_1_10.2.15.3" localSheetId="1">#REF!</definedName>
    <definedName name="P_1_10.2.15.3">#REF!</definedName>
    <definedName name="P_1_10.2.15.4" localSheetId="1">#REF!</definedName>
    <definedName name="P_1_10.2.15.4">#REF!</definedName>
    <definedName name="P_1_10.2.2" localSheetId="1">#REF!</definedName>
    <definedName name="P_1_10.2.2">#REF!</definedName>
    <definedName name="P_1_10.2.3" localSheetId="1">#REF!</definedName>
    <definedName name="P_1_10.2.3">#REF!</definedName>
    <definedName name="P_1_10.2.4.1" localSheetId="1">#REF!</definedName>
    <definedName name="P_1_10.2.4.1">#REF!</definedName>
    <definedName name="P_1_10.2.4.2" localSheetId="1">#REF!</definedName>
    <definedName name="P_1_10.2.4.2">#REF!</definedName>
    <definedName name="P_1_10.2.4.3" localSheetId="1">#REF!</definedName>
    <definedName name="P_1_10.2.4.3">#REF!</definedName>
    <definedName name="P_1_10.2.4.4" localSheetId="1">#REF!</definedName>
    <definedName name="P_1_10.2.4.4">#REF!</definedName>
    <definedName name="P_1_10.2.4.5" localSheetId="1">#REF!</definedName>
    <definedName name="P_1_10.2.4.5">#REF!</definedName>
    <definedName name="P_1_10.2.4.6" localSheetId="1">#REF!</definedName>
    <definedName name="P_1_10.2.4.6">#REF!</definedName>
    <definedName name="P_1_10.2.5.1" localSheetId="1">#REF!</definedName>
    <definedName name="P_1_10.2.5.1">#REF!</definedName>
    <definedName name="P_1_10.2.5.2" localSheetId="1">#REF!</definedName>
    <definedName name="P_1_10.2.5.2">#REF!</definedName>
    <definedName name="P_1_10.2.5.3" localSheetId="1">#REF!</definedName>
    <definedName name="P_1_10.2.5.3">#REF!</definedName>
    <definedName name="P_1_10.2.5.4" localSheetId="1">#REF!</definedName>
    <definedName name="P_1_10.2.5.4">#REF!</definedName>
    <definedName name="P_1_10.2.5.5" localSheetId="1">#REF!</definedName>
    <definedName name="P_1_10.2.5.5">#REF!</definedName>
    <definedName name="P_1_10.2.5.6" localSheetId="1">#REF!</definedName>
    <definedName name="P_1_10.2.5.6">#REF!</definedName>
    <definedName name="P_1_10.2.6.1" localSheetId="1">#REF!</definedName>
    <definedName name="P_1_10.2.6.1">#REF!</definedName>
    <definedName name="P_1_10.2.6.2" localSheetId="1">#REF!</definedName>
    <definedName name="P_1_10.2.6.2">#REF!</definedName>
    <definedName name="P_1_10.2.6.3" localSheetId="1">#REF!</definedName>
    <definedName name="P_1_10.2.6.3">#REF!</definedName>
    <definedName name="P_1_10.2.7.1" localSheetId="1">#REF!</definedName>
    <definedName name="P_1_10.2.7.1">#REF!</definedName>
    <definedName name="P_1_10.2.7.2" localSheetId="1">#REF!</definedName>
    <definedName name="P_1_10.2.7.2">#REF!</definedName>
    <definedName name="P_1_10.2.7.3" localSheetId="1">#REF!</definedName>
    <definedName name="P_1_10.2.7.3">#REF!</definedName>
    <definedName name="P_1_10.2.7.4" localSheetId="1">#REF!</definedName>
    <definedName name="P_1_10.2.7.4">#REF!</definedName>
    <definedName name="P_1_10.2.7.5" localSheetId="1">#REF!</definedName>
    <definedName name="P_1_10.2.7.5">#REF!</definedName>
    <definedName name="P_1_10.2.7.6" localSheetId="1">#REF!</definedName>
    <definedName name="P_1_10.2.7.6">#REF!</definedName>
    <definedName name="P_1_10.2.8.1" localSheetId="1">#REF!</definedName>
    <definedName name="P_1_10.2.8.1">#REF!</definedName>
    <definedName name="P_1_10.2.8.2" localSheetId="1">#REF!</definedName>
    <definedName name="P_1_10.2.8.2">#REF!</definedName>
    <definedName name="P_1_10.2.8.3" localSheetId="1">#REF!</definedName>
    <definedName name="P_1_10.2.8.3">#REF!</definedName>
    <definedName name="P_1_10.2.8.4" localSheetId="1">#REF!</definedName>
    <definedName name="P_1_10.2.8.4">#REF!</definedName>
    <definedName name="P_1_10.2.8.5" localSheetId="1">#REF!</definedName>
    <definedName name="P_1_10.2.8.5">#REF!</definedName>
    <definedName name="P_1_10.2.8.6" localSheetId="1">#REF!</definedName>
    <definedName name="P_1_10.2.8.6">#REF!</definedName>
    <definedName name="P_1_10.2.9.1" localSheetId="1">#REF!</definedName>
    <definedName name="P_1_10.2.9.1">#REF!</definedName>
    <definedName name="P_1_10.2.9.2" localSheetId="1">#REF!</definedName>
    <definedName name="P_1_10.2.9.2">#REF!</definedName>
    <definedName name="P_1_10.3.1">#REF!</definedName>
    <definedName name="P_1_10.3.10">#REF!</definedName>
    <definedName name="P_1_10.3.11">#REF!</definedName>
    <definedName name="P_1_10.3.12">#REF!</definedName>
    <definedName name="P_1_10.3.13">#REF!</definedName>
    <definedName name="P_1_10.3.14">#REF!</definedName>
    <definedName name="P_1_10.3.15">#REF!</definedName>
    <definedName name="P_1_10.3.16" localSheetId="1">#REF!</definedName>
    <definedName name="P_1_10.3.16">#REF!</definedName>
    <definedName name="P_1_10.3.17" localSheetId="1">#REF!</definedName>
    <definedName name="P_1_10.3.17">#REF!</definedName>
    <definedName name="P_1_10.3.18" localSheetId="1">#REF!</definedName>
    <definedName name="P_1_10.3.18">#REF!</definedName>
    <definedName name="P_1_10.3.19" localSheetId="1">#REF!</definedName>
    <definedName name="P_1_10.3.19">#REF!</definedName>
    <definedName name="P_1_10.3.2" localSheetId="1">#REF!</definedName>
    <definedName name="P_1_10.3.2">#REF!</definedName>
    <definedName name="P_1_10.3.20" localSheetId="1">#REF!</definedName>
    <definedName name="P_1_10.3.20">#REF!</definedName>
    <definedName name="P_1_10.3.21" localSheetId="1">#REF!</definedName>
    <definedName name="P_1_10.3.21">#REF!</definedName>
    <definedName name="P_1_10.3.3" localSheetId="1">#REF!</definedName>
    <definedName name="P_1_10.3.3">#REF!</definedName>
    <definedName name="P_1_10.3.4" localSheetId="1">#REF!</definedName>
    <definedName name="P_1_10.3.4">#REF!</definedName>
    <definedName name="P_1_10.3.5" localSheetId="1">#REF!</definedName>
    <definedName name="P_1_10.3.5">#REF!</definedName>
    <definedName name="P_1_10.3.6" localSheetId="1">#REF!</definedName>
    <definedName name="P_1_10.3.6">#REF!</definedName>
    <definedName name="P_1_10.3.7" localSheetId="1">#REF!</definedName>
    <definedName name="P_1_10.3.7">#REF!</definedName>
    <definedName name="P_1_10.3.8">#REF!</definedName>
    <definedName name="P_1_10.3.9">#REF!</definedName>
    <definedName name="P_1_10.4.1">#REF!</definedName>
    <definedName name="P_1_10.4.10">#REF!</definedName>
    <definedName name="P_1_10.4.11">#REF!</definedName>
    <definedName name="P_1_10.4.12">#REF!</definedName>
    <definedName name="P_1_10.4.13" localSheetId="1">#REF!</definedName>
    <definedName name="P_1_10.4.13">#REF!</definedName>
    <definedName name="P_1_10.4.14" localSheetId="1">#REF!</definedName>
    <definedName name="P_1_10.4.14">#REF!</definedName>
    <definedName name="P_1_10.4.15">#REF!</definedName>
    <definedName name="P_1_10.4.2">#REF!</definedName>
    <definedName name="P_1_10.4.3">#REF!</definedName>
    <definedName name="P_1_10.4.4" localSheetId="1">#REF!</definedName>
    <definedName name="P_1_10.4.4">#REF!</definedName>
    <definedName name="P_1_10.4.5">#REF!</definedName>
    <definedName name="P_1_10.4.6">#REF!</definedName>
    <definedName name="P_1_10.4.7">#REF!</definedName>
    <definedName name="P_1_10.4.8">#REF!</definedName>
    <definedName name="P_1_10.4.9">#REF!</definedName>
    <definedName name="P_1_11.1.1.1">#REF!</definedName>
    <definedName name="P_1_11.1.1.2">#REF!</definedName>
    <definedName name="P_1_11.1.1.3">#REF!</definedName>
    <definedName name="P_1_11.1.1.4">#REF!</definedName>
    <definedName name="P_1_11.1.2.1">#REF!</definedName>
    <definedName name="P_1_11.1.2.2">#REF!</definedName>
    <definedName name="P_1_11.1.2.3">#REF!</definedName>
    <definedName name="P_1_11.1.2.4">#REF!</definedName>
    <definedName name="P_1_11.1.3.1">#REF!</definedName>
    <definedName name="P_1_11.1.3.2">#REF!</definedName>
    <definedName name="P_1_11.1.3.3">#REF!</definedName>
    <definedName name="P_1_11.1.3.4">#REF!</definedName>
    <definedName name="P_1_11.2.1">#REF!</definedName>
    <definedName name="P_1_11.2.2">#REF!</definedName>
    <definedName name="P_1_11.2.3">#REF!</definedName>
    <definedName name="P_1_11.2.4">#REF!</definedName>
    <definedName name="P_1_11.2.5">#REF!</definedName>
    <definedName name="P_1_11.3.1">#REF!</definedName>
    <definedName name="P_1_11.3.2">#REF!</definedName>
    <definedName name="P_1_11.3.3">#REF!</definedName>
    <definedName name="P_1_11.3.4">#REF!</definedName>
    <definedName name="P_1_11.3.5">#REF!</definedName>
    <definedName name="P_1_11.3.6">#REF!</definedName>
    <definedName name="P_1_11.4.1" localSheetId="1">#REF!</definedName>
    <definedName name="P_1_11.4.1">#REF!</definedName>
    <definedName name="P_1_11.4.2.1" localSheetId="1">#REF!</definedName>
    <definedName name="P_1_11.4.2.1">#REF!</definedName>
    <definedName name="P_1_11.4.2.2" localSheetId="1">#REF!</definedName>
    <definedName name="P_1_11.4.2.2">#REF!</definedName>
    <definedName name="P_1_11.4.2.3" localSheetId="1">#REF!</definedName>
    <definedName name="P_1_11.4.2.3">#REF!</definedName>
    <definedName name="P_1_11.4.2.4" localSheetId="1">#REF!</definedName>
    <definedName name="P_1_11.4.2.4">#REF!</definedName>
    <definedName name="P_1_11.4.2.5" localSheetId="1">#REF!</definedName>
    <definedName name="P_1_11.4.2.5">#REF!</definedName>
    <definedName name="P_1_11.4.3.1" localSheetId="1">#REF!</definedName>
    <definedName name="P_1_11.4.3.1">#REF!</definedName>
    <definedName name="P_1_11.4.3.2" localSheetId="1">#REF!</definedName>
    <definedName name="P_1_11.4.3.2">#REF!</definedName>
    <definedName name="P_1_11.4.3.3" localSheetId="1">#REF!</definedName>
    <definedName name="P_1_11.4.3.3">#REF!</definedName>
    <definedName name="P_1_11.4.3.4" localSheetId="1">#REF!</definedName>
    <definedName name="P_1_11.4.3.4">#REF!</definedName>
    <definedName name="P_1_11.4.3.5" localSheetId="1">#REF!</definedName>
    <definedName name="P_1_11.4.3.5">#REF!</definedName>
    <definedName name="P_1_11.4.4.1" localSheetId="1">#REF!</definedName>
    <definedName name="P_1_11.4.4.1">#REF!</definedName>
    <definedName name="P_1_11.4.4.2" localSheetId="1">#REF!</definedName>
    <definedName name="P_1_11.4.4.2">#REF!</definedName>
    <definedName name="P_1_11.4.4.3" localSheetId="1">#REF!</definedName>
    <definedName name="P_1_11.4.4.3">#REF!</definedName>
    <definedName name="P_1_11.4.4.4" localSheetId="1">#REF!</definedName>
    <definedName name="P_1_11.4.4.4">#REF!</definedName>
    <definedName name="P_1_11.4.4.5" localSheetId="1">#REF!</definedName>
    <definedName name="P_1_11.4.4.5">#REF!</definedName>
    <definedName name="P_1_11.5.1">#REF!</definedName>
    <definedName name="P_1_11.5.2">#REF!</definedName>
    <definedName name="P_1_11.5.3">#REF!</definedName>
    <definedName name="P_1_11.5.4">#REF!</definedName>
    <definedName name="P_1_11.5.5">#REF!</definedName>
    <definedName name="P_1_11.5.6">#REF!</definedName>
    <definedName name="P_1_11.5.7">#REF!</definedName>
    <definedName name="P_1_11.6.1.1">#REF!</definedName>
    <definedName name="P_1_11.6.1.10">#REF!</definedName>
    <definedName name="P_1_11.6.1.11">#REF!</definedName>
    <definedName name="P_1_11.6.1.12">#REF!</definedName>
    <definedName name="P_1_11.6.1.2">#REF!</definedName>
    <definedName name="P_1_11.6.1.3">#REF!</definedName>
    <definedName name="P_1_11.6.1.4">#REF!</definedName>
    <definedName name="P_1_11.6.1.5">#REF!</definedName>
    <definedName name="P_1_11.6.1.6">#REF!</definedName>
    <definedName name="P_1_11.6.1.7">#REF!</definedName>
    <definedName name="P_1_11.6.1.8">#REF!</definedName>
    <definedName name="P_1_11.6.1.9">#REF!</definedName>
    <definedName name="P_1_11.6.2.1">#REF!</definedName>
    <definedName name="P_1_11.6.2.10">#REF!</definedName>
    <definedName name="P_1_11.6.2.11">#REF!</definedName>
    <definedName name="P_1_11.6.2.12">#REF!</definedName>
    <definedName name="P_1_11.6.2.2">#REF!</definedName>
    <definedName name="P_1_11.6.2.3">#REF!</definedName>
    <definedName name="P_1_11.6.2.4">#REF!</definedName>
    <definedName name="P_1_11.6.2.5">#REF!</definedName>
    <definedName name="P_1_11.6.2.6">#REF!</definedName>
    <definedName name="P_1_11.6.2.7">#REF!</definedName>
    <definedName name="P_1_11.6.2.8">#REF!</definedName>
    <definedName name="P_1_11.6.2.9">#REF!</definedName>
    <definedName name="P_1_11.7.1">#REF!</definedName>
    <definedName name="P_1_11.7.2">#REF!</definedName>
    <definedName name="P_1_11.7.3">#REF!</definedName>
    <definedName name="P_1_11.8.1">#REF!</definedName>
    <definedName name="P_1_11.8.2">#REF!</definedName>
    <definedName name="P_1_11.8.3">#REF!</definedName>
    <definedName name="P_1_11.8.4" localSheetId="1">#REF!</definedName>
    <definedName name="P_1_11.8.4">#REF!</definedName>
    <definedName name="P_1_11.8.5" localSheetId="1">#REF!</definedName>
    <definedName name="P_1_11.8.5">#REF!</definedName>
    <definedName name="P_1_12.1.1" localSheetId="1">#REF!</definedName>
    <definedName name="P_1_12.1.1">#REF!</definedName>
    <definedName name="P_1_12.1.2" localSheetId="1">#REF!</definedName>
    <definedName name="P_1_12.1.2">#REF!</definedName>
    <definedName name="P_1_12.1.3" localSheetId="1">#REF!</definedName>
    <definedName name="P_1_12.1.3">#REF!</definedName>
    <definedName name="P_1_12.1.4" localSheetId="1">#REF!</definedName>
    <definedName name="P_1_12.1.4">#REF!</definedName>
    <definedName name="P_1_12.10.1">#REF!</definedName>
    <definedName name="P_1_12.10.2">#REF!</definedName>
    <definedName name="P_1_12.10.3">#REF!</definedName>
    <definedName name="P_1_12.10.4">#REF!</definedName>
    <definedName name="P_1_12.10.5">#REF!</definedName>
    <definedName name="P_1_12.11.1" localSheetId="1">#REF!</definedName>
    <definedName name="P_1_12.11.1">#REF!</definedName>
    <definedName name="P_1_12.11.2" localSheetId="1">#REF!</definedName>
    <definedName name="P_1_12.11.2">#REF!</definedName>
    <definedName name="P_1_12.11.3" localSheetId="1">#REF!</definedName>
    <definedName name="P_1_12.11.3">#REF!</definedName>
    <definedName name="P_1_12.11.4" localSheetId="1">#REF!</definedName>
    <definedName name="P_1_12.11.4">#REF!</definedName>
    <definedName name="P_1_12.2.1.1">#REF!</definedName>
    <definedName name="P_1_12.2.1.2">#REF!</definedName>
    <definedName name="P_1_12.2.1.3">#REF!</definedName>
    <definedName name="P_1_12.2.1.4">#REF!</definedName>
    <definedName name="P_1_12.2.1.5">#REF!</definedName>
    <definedName name="P_1_12.2.1.6">#REF!</definedName>
    <definedName name="P_1_12.2.1.7">#REF!</definedName>
    <definedName name="P_1_12.2.1.8">#REF!</definedName>
    <definedName name="P_1_12.2.1.9">#REF!</definedName>
    <definedName name="P_1_12.2.2.1" localSheetId="1">#REF!</definedName>
    <definedName name="P_1_12.2.2.1">#REF!</definedName>
    <definedName name="P_1_12.2.2.2" localSheetId="1">#REF!</definedName>
    <definedName name="P_1_12.2.2.2">#REF!</definedName>
    <definedName name="P_1_12.2.2.3" localSheetId="1">#REF!</definedName>
    <definedName name="P_1_12.2.2.3">#REF!</definedName>
    <definedName name="P_1_12.2.2.4" localSheetId="1">#REF!</definedName>
    <definedName name="P_1_12.2.2.4">#REF!</definedName>
    <definedName name="P_1_12.2.2.5" localSheetId="1">#REF!</definedName>
    <definedName name="P_1_12.2.2.5">#REF!</definedName>
    <definedName name="P_1_12.2.3">#REF!</definedName>
    <definedName name="P_1_12.2.4" localSheetId="1">#REF!</definedName>
    <definedName name="P_1_12.2.4">#REF!</definedName>
    <definedName name="P_1_12.3.1">#REF!</definedName>
    <definedName name="P_1_12.3.2">#REF!</definedName>
    <definedName name="P_1_12.3.3">#REF!</definedName>
    <definedName name="P_1_12.3.4">#REF!</definedName>
    <definedName name="P_1_12.4.1" localSheetId="1">#REF!</definedName>
    <definedName name="P_1_12.4.1">#REF!</definedName>
    <definedName name="P_1_12.4.2" localSheetId="1">#REF!</definedName>
    <definedName name="P_1_12.4.2">#REF!</definedName>
    <definedName name="P_1_12.4.3">#REF!</definedName>
    <definedName name="P_1_12.4.4" localSheetId="1">#REF!</definedName>
    <definedName name="P_1_12.4.4">#REF!</definedName>
    <definedName name="P_1_12.4.5" localSheetId="1">#REF!</definedName>
    <definedName name="P_1_12.4.5">#REF!</definedName>
    <definedName name="P_1_12.4.6" localSheetId="1">#REF!</definedName>
    <definedName name="P_1_12.4.6">#REF!</definedName>
    <definedName name="P_1_12.4.7" localSheetId="1">#REF!</definedName>
    <definedName name="P_1_12.4.7">#REF!</definedName>
    <definedName name="P_1_12.4.8" localSheetId="1">#REF!</definedName>
    <definedName name="P_1_12.4.8">#REF!</definedName>
    <definedName name="P_1_12.5.1">#REF!</definedName>
    <definedName name="P_1_12.5.2">#REF!</definedName>
    <definedName name="P_1_12.5.3">#REF!</definedName>
    <definedName name="P_1_12.5.4">#REF!</definedName>
    <definedName name="P_1_12.5.5">#REF!</definedName>
    <definedName name="P_1_12.5.6">#REF!</definedName>
    <definedName name="P_1_12.6.1">#REF!</definedName>
    <definedName name="P_1_12.6.2" localSheetId="1">#REF!</definedName>
    <definedName name="P_1_12.6.2">#REF!</definedName>
    <definedName name="P_1_12.6.3.1">#REF!</definedName>
    <definedName name="P_1_12.6.3.2">#REF!</definedName>
    <definedName name="P_1_12.6.3.3">#REF!</definedName>
    <definedName name="P_1_12.6.3.4">#REF!</definedName>
    <definedName name="P_1_12.6.3.5">#REF!</definedName>
    <definedName name="P_1_12.6.3.6">#REF!</definedName>
    <definedName name="P_1_12.6.3.7">#REF!</definedName>
    <definedName name="P_1_12.7.1">#REF!</definedName>
    <definedName name="P_1_12.7.10">#REF!</definedName>
    <definedName name="P_1_12.7.2">#REF!</definedName>
    <definedName name="P_1_12.7.3">#REF!</definedName>
    <definedName name="P_1_12.7.4">#REF!</definedName>
    <definedName name="P_1_12.7.5">#REF!</definedName>
    <definedName name="P_1_12.7.6">#REF!</definedName>
    <definedName name="P_1_12.7.7">#REF!</definedName>
    <definedName name="P_1_12.7.8">#REF!</definedName>
    <definedName name="P_1_12.7.9">#REF!</definedName>
    <definedName name="P_1_12.8.1">#REF!</definedName>
    <definedName name="P_1_12.8.2">#REF!</definedName>
    <definedName name="P_1_12.8.3">#REF!</definedName>
    <definedName name="P_1_12.8.4">#REF!</definedName>
    <definedName name="P_1_12.9.1.1">#REF!</definedName>
    <definedName name="P_1_12.9.1.2" localSheetId="1">#REF!</definedName>
    <definedName name="P_1_12.9.1.2">#REF!</definedName>
    <definedName name="P_1_12.9.1.3" localSheetId="1">#REF!</definedName>
    <definedName name="P_1_12.9.1.3">#REF!</definedName>
    <definedName name="P_1_12.9.1.4" localSheetId="1">#REF!</definedName>
    <definedName name="P_1_12.9.1.4">#REF!</definedName>
    <definedName name="P_1_12.9.1.5" localSheetId="1">#REF!</definedName>
    <definedName name="P_1_12.9.1.5">#REF!</definedName>
    <definedName name="P_1_12.9.2.1">#REF!</definedName>
    <definedName name="P_1_12.9.2.2">#REF!</definedName>
    <definedName name="P_1_12.9.2.3" localSheetId="1">#REF!</definedName>
    <definedName name="P_1_12.9.2.3">#REF!</definedName>
    <definedName name="P_1_12.9.2.4" localSheetId="1">#REF!</definedName>
    <definedName name="P_1_12.9.2.4">#REF!</definedName>
    <definedName name="P_1_12.9.2.5" localSheetId="1">#REF!</definedName>
    <definedName name="P_1_12.9.2.5">#REF!</definedName>
    <definedName name="P_1_12.9.2.6">#REF!</definedName>
    <definedName name="P_1_12.9.2.7" localSheetId="1">#REF!</definedName>
    <definedName name="P_1_12.9.2.7">#REF!</definedName>
    <definedName name="P_1_12.9.2.8" localSheetId="1">#REF!</definedName>
    <definedName name="P_1_12.9.2.8">#REF!</definedName>
    <definedName name="P_1_12.9.3.1">#REF!</definedName>
    <definedName name="P_1_12.9.3.2">#REF!</definedName>
    <definedName name="P_1_12.9.3.3">#REF!</definedName>
    <definedName name="P_1_12.9.4.1" localSheetId="1">#REF!</definedName>
    <definedName name="P_1_12.9.4.1">#REF!</definedName>
    <definedName name="P_1_12.9.4.10">#REF!</definedName>
    <definedName name="P_1_12.9.4.11" localSheetId="1">#REF!</definedName>
    <definedName name="P_1_12.9.4.11">#REF!</definedName>
    <definedName name="P_1_12.9.4.12" localSheetId="1">#REF!</definedName>
    <definedName name="P_1_12.9.4.12">#REF!</definedName>
    <definedName name="P_1_12.9.4.13" localSheetId="1">#REF!</definedName>
    <definedName name="P_1_12.9.4.13">#REF!</definedName>
    <definedName name="P_1_12.9.4.14" localSheetId="1">#REF!</definedName>
    <definedName name="P_1_12.9.4.14">#REF!</definedName>
    <definedName name="P_1_12.9.4.15" localSheetId="1">#REF!</definedName>
    <definedName name="P_1_12.9.4.15">#REF!</definedName>
    <definedName name="P_1_12.9.4.16" localSheetId="1">#REF!</definedName>
    <definedName name="P_1_12.9.4.16">#REF!</definedName>
    <definedName name="P_1_12.9.4.17">#REF!</definedName>
    <definedName name="P_1_12.9.4.18">#REF!</definedName>
    <definedName name="P_1_12.9.4.19">#REF!</definedName>
    <definedName name="P_1_12.9.4.2" localSheetId="1">#REF!</definedName>
    <definedName name="P_1_12.9.4.2">#REF!</definedName>
    <definedName name="P_1_12.9.4.20">#REF!</definedName>
    <definedName name="P_1_12.9.4.21">#REF!</definedName>
    <definedName name="P_1_12.9.4.22">#REF!</definedName>
    <definedName name="P_1_12.9.4.23">#REF!</definedName>
    <definedName name="P_1_12.9.4.24">#REF!</definedName>
    <definedName name="P_1_12.9.4.25">#REF!</definedName>
    <definedName name="P_1_12.9.4.26">#REF!</definedName>
    <definedName name="P_1_12.9.4.27">#REF!</definedName>
    <definedName name="P_1_12.9.4.28">#REF!</definedName>
    <definedName name="P_1_12.9.4.29.1">#REF!</definedName>
    <definedName name="P_1_12.9.4.29.2">#REF!</definedName>
    <definedName name="P_1_12.9.4.29.3">#REF!</definedName>
    <definedName name="P_1_12.9.4.29.4">#REF!</definedName>
    <definedName name="P_1_12.9.4.3" localSheetId="1">#REF!</definedName>
    <definedName name="P_1_12.9.4.3">#REF!</definedName>
    <definedName name="P_1_12.9.4.30.1">#REF!</definedName>
    <definedName name="P_1_12.9.4.30.10">#REF!</definedName>
    <definedName name="P_1_12.9.4.30.2">#REF!</definedName>
    <definedName name="P_1_12.9.4.30.3">#REF!</definedName>
    <definedName name="P_1_12.9.4.30.4">#REF!</definedName>
    <definedName name="P_1_12.9.4.30.5">#REF!</definedName>
    <definedName name="P_1_12.9.4.30.6">#REF!</definedName>
    <definedName name="P_1_12.9.4.30.7">#REF!</definedName>
    <definedName name="P_1_12.9.4.30.8">#REF!</definedName>
    <definedName name="P_1_12.9.4.30.9">#REF!</definedName>
    <definedName name="P_1_12.9.4.4" localSheetId="1">#REF!</definedName>
    <definedName name="P_1_12.9.4.4">#REF!</definedName>
    <definedName name="P_1_12.9.4.5" localSheetId="1">#REF!</definedName>
    <definedName name="P_1_12.9.4.5">#REF!</definedName>
    <definedName name="P_1_12.9.4.6" localSheetId="1">#REF!</definedName>
    <definedName name="P_1_12.9.4.6">#REF!</definedName>
    <definedName name="P_1_12.9.4.7">#REF!</definedName>
    <definedName name="P_1_12.9.4.8">#REF!</definedName>
    <definedName name="P_1_12.9.4.9">#REF!</definedName>
    <definedName name="P_1_12.9.5.1.1">#REF!</definedName>
    <definedName name="P_1_12.9.5.1.2">#REF!</definedName>
    <definedName name="P_1_12.9.5.1.3">#REF!</definedName>
    <definedName name="P_1_12.9.5.1.4">#REF!</definedName>
    <definedName name="P_1_12.9.5.1.5">#REF!</definedName>
    <definedName name="P_1_12.9.5.1.6">#REF!</definedName>
    <definedName name="P_1_12.9.5.1.7">#REF!</definedName>
    <definedName name="P_1_12.9.5.2.1">#REF!</definedName>
    <definedName name="P_1_12.9.5.2.2">#REF!</definedName>
    <definedName name="P_1_12.9.5.2.3">#REF!</definedName>
    <definedName name="P_1_12.9.5.2.4">#REF!</definedName>
    <definedName name="P_1_12.9.5.2.5">#REF!</definedName>
    <definedName name="P_1_12.9.5.2.6">#REF!</definedName>
    <definedName name="P_1_12.9.5.3.1">#REF!</definedName>
    <definedName name="P_1_12.9.5.3.2">#REF!</definedName>
    <definedName name="P_1_12.9.5.3.3">#REF!</definedName>
    <definedName name="P_1_12.9.6.1">#REF!</definedName>
    <definedName name="P_1_12.9.6.2">#REF!</definedName>
    <definedName name="P_1_12.9.6.3">#REF!</definedName>
    <definedName name="P_1_12.9.6.4">#REF!</definedName>
    <definedName name="P_1_12.9.7.1" localSheetId="1">#REF!</definedName>
    <definedName name="P_1_12.9.7.1">#REF!</definedName>
    <definedName name="P_1_12.9.7.2" localSheetId="1">#REF!</definedName>
    <definedName name="P_1_12.9.7.2">#REF!</definedName>
    <definedName name="P_1_12.9.7.3" localSheetId="1">#REF!</definedName>
    <definedName name="P_1_12.9.7.3">#REF!</definedName>
    <definedName name="P_1_12.9.7.4" localSheetId="1">#REF!</definedName>
    <definedName name="P_1_12.9.7.4">#REF!</definedName>
    <definedName name="P_1_13.1.1">#REF!</definedName>
    <definedName name="P_1_13.1.10" localSheetId="1">#REF!</definedName>
    <definedName name="P_1_13.1.10">#REF!</definedName>
    <definedName name="P_1_13.1.11" localSheetId="1">#REF!</definedName>
    <definedName name="P_1_13.1.11">#REF!</definedName>
    <definedName name="P_1_13.1.12" localSheetId="1">#REF!</definedName>
    <definedName name="P_1_13.1.12">#REF!</definedName>
    <definedName name="P_1_13.1.13" localSheetId="1">#REF!</definedName>
    <definedName name="P_1_13.1.13">#REF!</definedName>
    <definedName name="P_1_13.1.2">#REF!</definedName>
    <definedName name="P_1_13.1.3">#REF!</definedName>
    <definedName name="P_1_13.1.4">#REF!</definedName>
    <definedName name="P_1_13.1.5">#REF!</definedName>
    <definedName name="P_1_13.1.6">#REF!</definedName>
    <definedName name="P_1_13.1.7">#REF!</definedName>
    <definedName name="P_1_13.1.8">#REF!</definedName>
    <definedName name="P_1_13.1.9">#REF!</definedName>
    <definedName name="P_1_13.2.1">#REF!</definedName>
    <definedName name="P_1_13.2.10">#REF!</definedName>
    <definedName name="P_1_13.2.2">#REF!</definedName>
    <definedName name="P_1_13.2.3">#REF!</definedName>
    <definedName name="P_1_13.2.4">#REF!</definedName>
    <definedName name="P_1_13.2.5">#REF!</definedName>
    <definedName name="P_1_13.2.6">#REF!</definedName>
    <definedName name="P_1_13.2.7">#REF!</definedName>
    <definedName name="P_1_13.2.8">#REF!</definedName>
    <definedName name="P_1_13.2.9">#REF!</definedName>
    <definedName name="P_1_13.3.1">#REF!</definedName>
    <definedName name="P_1_13.3.10">#REF!</definedName>
    <definedName name="P_1_13.3.2">#REF!</definedName>
    <definedName name="P_1_13.3.3">#REF!</definedName>
    <definedName name="P_1_13.3.4">#REF!</definedName>
    <definedName name="P_1_13.3.5">#REF!</definedName>
    <definedName name="P_1_13.3.6">#REF!</definedName>
    <definedName name="P_1_13.3.7">#REF!</definedName>
    <definedName name="P_1_13.3.8">#REF!</definedName>
    <definedName name="P_1_13.3.9" localSheetId="1">#REF!</definedName>
    <definedName name="P_1_13.3.9">#REF!</definedName>
    <definedName name="P_1_13.4.1">#REF!</definedName>
    <definedName name="P_1_13.4.2">#REF!</definedName>
    <definedName name="P_1_13.4.3">#REF!</definedName>
    <definedName name="P_1_13.5.1" localSheetId="1">#REF!</definedName>
    <definedName name="P_1_13.5.1">#REF!</definedName>
    <definedName name="P_1_13.5.2" localSheetId="1">#REF!</definedName>
    <definedName name="P_1_13.5.2">#REF!</definedName>
    <definedName name="P_1_13.5.3" localSheetId="1">#REF!</definedName>
    <definedName name="P_1_13.5.3">#REF!</definedName>
    <definedName name="P_1_13.5.4" localSheetId="1">#REF!</definedName>
    <definedName name="P_1_13.5.4">#REF!</definedName>
    <definedName name="P_1_13.6.1" localSheetId="1">#REF!</definedName>
    <definedName name="P_1_13.6.1">#REF!</definedName>
    <definedName name="P_1_13.6.10" localSheetId="1">#REF!</definedName>
    <definedName name="P_1_13.6.10">#REF!</definedName>
    <definedName name="P_1_13.6.11" localSheetId="1">#REF!</definedName>
    <definedName name="P_1_13.6.11">#REF!</definedName>
    <definedName name="P_1_13.6.12" localSheetId="1">#REF!</definedName>
    <definedName name="P_1_13.6.12">#REF!</definedName>
    <definedName name="P_1_13.6.13" localSheetId="1">#REF!</definedName>
    <definedName name="P_1_13.6.13">#REF!</definedName>
    <definedName name="P_1_13.6.14" localSheetId="1">#REF!</definedName>
    <definedName name="P_1_13.6.14">#REF!</definedName>
    <definedName name="P_1_13.6.15" localSheetId="1">#REF!</definedName>
    <definedName name="P_1_13.6.15">#REF!</definedName>
    <definedName name="P_1_13.6.16" localSheetId="1">#REF!</definedName>
    <definedName name="P_1_13.6.16">#REF!</definedName>
    <definedName name="P_1_13.6.17" localSheetId="1">#REF!</definedName>
    <definedName name="P_1_13.6.17">#REF!</definedName>
    <definedName name="P_1_13.6.18" localSheetId="1">#REF!</definedName>
    <definedName name="P_1_13.6.18">#REF!</definedName>
    <definedName name="P_1_13.6.19" localSheetId="1">#REF!</definedName>
    <definedName name="P_1_13.6.19">#REF!</definedName>
    <definedName name="P_1_13.6.2" localSheetId="1">#REF!</definedName>
    <definedName name="P_1_13.6.2">#REF!</definedName>
    <definedName name="P_1_13.6.20" localSheetId="1">#REF!</definedName>
    <definedName name="P_1_13.6.20">#REF!</definedName>
    <definedName name="P_1_13.6.3" localSheetId="1">#REF!</definedName>
    <definedName name="P_1_13.6.3">#REF!</definedName>
    <definedName name="P_1_13.6.4" localSheetId="1">#REF!</definedName>
    <definedName name="P_1_13.6.4">#REF!</definedName>
    <definedName name="P_1_13.6.5" localSheetId="1">#REF!</definedName>
    <definedName name="P_1_13.6.5">#REF!</definedName>
    <definedName name="P_1_13.6.6" localSheetId="1">#REF!</definedName>
    <definedName name="P_1_13.6.6">#REF!</definedName>
    <definedName name="P_1_13.6.7" localSheetId="1">#REF!</definedName>
    <definedName name="P_1_13.6.7">#REF!</definedName>
    <definedName name="P_1_13.6.8" localSheetId="1">#REF!</definedName>
    <definedName name="P_1_13.6.8">#REF!</definedName>
    <definedName name="P_1_13.6.9" localSheetId="1">#REF!</definedName>
    <definedName name="P_1_13.6.9">#REF!</definedName>
    <definedName name="P_1_13.7.1" localSheetId="1">#REF!</definedName>
    <definedName name="P_1_13.7.1">#REF!</definedName>
    <definedName name="P_1_13.7.10" localSheetId="1">#REF!</definedName>
    <definedName name="P_1_13.7.10">#REF!</definedName>
    <definedName name="P_1_13.7.11" localSheetId="1">#REF!</definedName>
    <definedName name="P_1_13.7.11">#REF!</definedName>
    <definedName name="P_1_13.7.12" localSheetId="1">#REF!</definedName>
    <definedName name="P_1_13.7.12">#REF!</definedName>
    <definedName name="P_1_13.7.13" localSheetId="1">#REF!</definedName>
    <definedName name="P_1_13.7.13">#REF!</definedName>
    <definedName name="P_1_13.7.14" localSheetId="1">#REF!</definedName>
    <definedName name="P_1_13.7.14">#REF!</definedName>
    <definedName name="P_1_13.7.2" localSheetId="1">#REF!</definedName>
    <definedName name="P_1_13.7.2">#REF!</definedName>
    <definedName name="P_1_13.7.3" localSheetId="1">#REF!</definedName>
    <definedName name="P_1_13.7.3">#REF!</definedName>
    <definedName name="P_1_13.7.4" localSheetId="1">#REF!</definedName>
    <definedName name="P_1_13.7.4">#REF!</definedName>
    <definedName name="P_1_13.7.5" localSheetId="1">#REF!</definedName>
    <definedName name="P_1_13.7.5">#REF!</definedName>
    <definedName name="P_1_13.7.6" localSheetId="1">#REF!</definedName>
    <definedName name="P_1_13.7.6">#REF!</definedName>
    <definedName name="P_1_13.7.7" localSheetId="1">#REF!</definedName>
    <definedName name="P_1_13.7.7">#REF!</definedName>
    <definedName name="P_1_13.7.8" localSheetId="1">#REF!</definedName>
    <definedName name="P_1_13.7.8">#REF!</definedName>
    <definedName name="P_1_13.7.9" localSheetId="1">#REF!</definedName>
    <definedName name="P_1_13.7.9">#REF!</definedName>
    <definedName name="P_1_13.8.1" localSheetId="1">#REF!</definedName>
    <definedName name="P_1_13.8.1">#REF!</definedName>
    <definedName name="P_1_13.8.10" localSheetId="1">#REF!</definedName>
    <definedName name="P_1_13.8.10">#REF!</definedName>
    <definedName name="P_1_13.8.11" localSheetId="1">#REF!</definedName>
    <definedName name="P_1_13.8.11">#REF!</definedName>
    <definedName name="P_1_13.8.12" localSheetId="1">#REF!</definedName>
    <definedName name="P_1_13.8.12">#REF!</definedName>
    <definedName name="P_1_13.8.13" localSheetId="1">#REF!</definedName>
    <definedName name="P_1_13.8.13">#REF!</definedName>
    <definedName name="P_1_13.8.14" localSheetId="1">#REF!</definedName>
    <definedName name="P_1_13.8.14">#REF!</definedName>
    <definedName name="P_1_13.8.15" localSheetId="1">#REF!</definedName>
    <definedName name="P_1_13.8.15">#REF!</definedName>
    <definedName name="P_1_13.8.16" localSheetId="1">#REF!</definedName>
    <definedName name="P_1_13.8.16">#REF!</definedName>
    <definedName name="P_1_13.8.17" localSheetId="1">#REF!</definedName>
    <definedName name="P_1_13.8.17">#REF!</definedName>
    <definedName name="P_1_13.8.18" localSheetId="1">#REF!</definedName>
    <definedName name="P_1_13.8.18">#REF!</definedName>
    <definedName name="P_1_13.8.19" localSheetId="1">#REF!</definedName>
    <definedName name="P_1_13.8.19">#REF!</definedName>
    <definedName name="P_1_13.8.2">#REF!</definedName>
    <definedName name="P_1_13.8.20" localSheetId="1">#REF!</definedName>
    <definedName name="P_1_13.8.20">#REF!</definedName>
    <definedName name="P_1_13.8.21" localSheetId="1">#REF!</definedName>
    <definedName name="P_1_13.8.21">#REF!</definedName>
    <definedName name="P_1_13.8.22" localSheetId="1">#REF!</definedName>
    <definedName name="P_1_13.8.22">#REF!</definedName>
    <definedName name="P_1_13.8.23" localSheetId="1">#REF!</definedName>
    <definedName name="P_1_13.8.23">#REF!</definedName>
    <definedName name="P_1_13.8.24" localSheetId="1">#REF!</definedName>
    <definedName name="P_1_13.8.24">#REF!</definedName>
    <definedName name="P_1_13.8.25" localSheetId="1">#REF!</definedName>
    <definedName name="P_1_13.8.25">#REF!</definedName>
    <definedName name="P_1_13.8.26" localSheetId="1">#REF!</definedName>
    <definedName name="P_1_13.8.26">#REF!</definedName>
    <definedName name="P_1_13.8.27" localSheetId="1">#REF!</definedName>
    <definedName name="P_1_13.8.27">#REF!</definedName>
    <definedName name="P_1_13.8.28" localSheetId="1">#REF!</definedName>
    <definedName name="P_1_13.8.28">#REF!</definedName>
    <definedName name="P_1_13.8.29" localSheetId="1">#REF!</definedName>
    <definedName name="P_1_13.8.29">#REF!</definedName>
    <definedName name="P_1_13.8.3" localSheetId="1">#REF!</definedName>
    <definedName name="P_1_13.8.3">#REF!</definedName>
    <definedName name="P_1_13.8.30" localSheetId="1">#REF!</definedName>
    <definedName name="P_1_13.8.30">#REF!</definedName>
    <definedName name="P_1_13.8.31" localSheetId="1">#REF!</definedName>
    <definedName name="P_1_13.8.31">#REF!</definedName>
    <definedName name="P_1_13.8.4" localSheetId="1">#REF!</definedName>
    <definedName name="P_1_13.8.4">#REF!</definedName>
    <definedName name="P_1_13.8.5" localSheetId="1">#REF!</definedName>
    <definedName name="P_1_13.8.5">#REF!</definedName>
    <definedName name="P_1_13.8.6">#REF!</definedName>
    <definedName name="P_1_13.8.7" localSheetId="1">#REF!</definedName>
    <definedName name="P_1_13.8.7">#REF!</definedName>
    <definedName name="P_1_13.8.8" localSheetId="1">#REF!</definedName>
    <definedName name="P_1_13.8.8">#REF!</definedName>
    <definedName name="P_1_13.8.9" localSheetId="1">#REF!</definedName>
    <definedName name="P_1_13.8.9">#REF!</definedName>
    <definedName name="P_1_2.1.1" localSheetId="1">#REF!</definedName>
    <definedName name="P_1_2.1.1">#REF!</definedName>
    <definedName name="P_1_2.1.2" localSheetId="1">#REF!</definedName>
    <definedName name="P_1_2.1.2">#REF!</definedName>
    <definedName name="P_1_2.1.3" localSheetId="1">#REF!</definedName>
    <definedName name="P_1_2.1.3">#REF!</definedName>
    <definedName name="P_1_2.1.4" localSheetId="1">#REF!</definedName>
    <definedName name="P_1_2.1.4">#REF!</definedName>
    <definedName name="P_1_2.1.5" localSheetId="1">#REF!</definedName>
    <definedName name="P_1_2.1.5">#REF!</definedName>
    <definedName name="P_1_2.2.1" localSheetId="1">#REF!</definedName>
    <definedName name="P_1_2.2.1">#REF!</definedName>
    <definedName name="P_1_2.2.2" localSheetId="1">#REF!</definedName>
    <definedName name="P_1_2.2.2">#REF!</definedName>
    <definedName name="P_1_2.2.3" localSheetId="1">#REF!</definedName>
    <definedName name="P_1_2.2.3">#REF!</definedName>
    <definedName name="P_1_2.2.4" localSheetId="1">#REF!</definedName>
    <definedName name="P_1_2.2.4">#REF!</definedName>
    <definedName name="P_1_2.2.5" localSheetId="1">#REF!</definedName>
    <definedName name="P_1_2.2.5">#REF!</definedName>
    <definedName name="P_1_2.2.6" localSheetId="1">#REF!</definedName>
    <definedName name="P_1_2.2.6">#REF!</definedName>
    <definedName name="P_1_2.2.7" localSheetId="1">#REF!</definedName>
    <definedName name="P_1_2.2.7">#REF!</definedName>
    <definedName name="P_1_2.2.8" localSheetId="1">#REF!</definedName>
    <definedName name="P_1_2.2.8">#REF!</definedName>
    <definedName name="P_1_2.3.1" localSheetId="1">#REF!</definedName>
    <definedName name="P_1_2.3.1">#REF!</definedName>
    <definedName name="P_1_2.3.2" localSheetId="1">#REF!</definedName>
    <definedName name="P_1_2.3.2">#REF!</definedName>
    <definedName name="P_1_2.3.3" localSheetId="1">#REF!</definedName>
    <definedName name="P_1_2.3.3">#REF!</definedName>
    <definedName name="P_1_2.3.4" localSheetId="1">#REF!</definedName>
    <definedName name="P_1_2.3.4">#REF!</definedName>
    <definedName name="P_1_2.3.5" localSheetId="1">#REF!</definedName>
    <definedName name="P_1_2.3.5">#REF!</definedName>
    <definedName name="P_1_2.4.1">#REF!</definedName>
    <definedName name="P_1_2.4.2">#REF!</definedName>
    <definedName name="P_1_2.4.3">#REF!</definedName>
    <definedName name="P_1_2.4.4">#REF!</definedName>
    <definedName name="P_1_2.4.5">#REF!</definedName>
    <definedName name="P_1_2.4.6">#REF!</definedName>
    <definedName name="P_1_2.4.7">#REF!</definedName>
    <definedName name="P_1_2.5.1">#REF!</definedName>
    <definedName name="P_1_2.5.2">#REF!</definedName>
    <definedName name="P_1_2.5.3">#REF!</definedName>
    <definedName name="P_1_2.5.4">#REF!</definedName>
    <definedName name="P_1_2.5.5">#REF!</definedName>
    <definedName name="P_1_2.6.1">#REF!</definedName>
    <definedName name="P_1_2.6.2">#REF!</definedName>
    <definedName name="P_1_2.6.3">#REF!</definedName>
    <definedName name="P_1_2.6.4">#REF!</definedName>
    <definedName name="P_1_3.1.1" localSheetId="1">#REF!</definedName>
    <definedName name="P_1_3.1.1">#REF!</definedName>
    <definedName name="P_1_3.1.2" localSheetId="1">#REF!</definedName>
    <definedName name="P_1_3.1.2">#REF!</definedName>
    <definedName name="P_1_3.1.3" localSheetId="1">#REF!</definedName>
    <definedName name="P_1_3.1.3">#REF!</definedName>
    <definedName name="P_1_3.1.5" localSheetId="1">#REF!</definedName>
    <definedName name="P_1_3.1.5">#REF!</definedName>
    <definedName name="P_1_3.1.6" localSheetId="1">#REF!</definedName>
    <definedName name="P_1_3.1.6">#REF!</definedName>
    <definedName name="P_1_3.2.1" localSheetId="1">#REF!</definedName>
    <definedName name="P_1_3.2.1">#REF!</definedName>
    <definedName name="P_1_3.2.2" localSheetId="1">#REF!</definedName>
    <definedName name="P_1_3.2.2">#REF!</definedName>
    <definedName name="P_1_3.2.3" localSheetId="1">#REF!</definedName>
    <definedName name="P_1_3.2.3">#REF!</definedName>
    <definedName name="P_1_3.3.1" localSheetId="1">#REF!</definedName>
    <definedName name="P_1_3.3.1">#REF!</definedName>
    <definedName name="P_1_3.3.2" localSheetId="1">#REF!</definedName>
    <definedName name="P_1_3.3.2">#REF!</definedName>
    <definedName name="P_1_3.3.3" localSheetId="1">#REF!</definedName>
    <definedName name="P_1_3.3.3">#REF!</definedName>
    <definedName name="P_1_3.4" localSheetId="1">#REF!</definedName>
    <definedName name="P_1_3.4">#REF!</definedName>
    <definedName name="P_1_3.4.1" localSheetId="1">#REF!</definedName>
    <definedName name="P_1_3.4.1">#REF!</definedName>
    <definedName name="P_1_3.4.2" localSheetId="1">#REF!</definedName>
    <definedName name="P_1_3.4.2">#REF!</definedName>
    <definedName name="P_1_3.4.3" localSheetId="1">#REF!</definedName>
    <definedName name="P_1_3.4.3">#REF!</definedName>
    <definedName name="P_1_3.5.1" localSheetId="1">#REF!</definedName>
    <definedName name="P_1_3.5.1">#REF!</definedName>
    <definedName name="P_1_3.5.2" localSheetId="1">#REF!</definedName>
    <definedName name="P_1_3.5.2">#REF!</definedName>
    <definedName name="P_1_3.7" localSheetId="1">#REF!</definedName>
    <definedName name="P_1_3.7">#REF!</definedName>
    <definedName name="P_1_3.8" localSheetId="1">#REF!</definedName>
    <definedName name="P_1_3.8">#REF!</definedName>
    <definedName name="P_1_4.1.1" localSheetId="1">#REF!</definedName>
    <definedName name="P_1_4.1.1">#REF!</definedName>
    <definedName name="P_1_4.1.10" localSheetId="1">#REF!</definedName>
    <definedName name="P_1_4.1.10">#REF!</definedName>
    <definedName name="P_1_4.1.11" localSheetId="1">#REF!</definedName>
    <definedName name="P_1_4.1.11">#REF!</definedName>
    <definedName name="P_1_4.1.12" localSheetId="1">#REF!</definedName>
    <definedName name="P_1_4.1.12">#REF!</definedName>
    <definedName name="P_1_4.1.13" localSheetId="1">#REF!</definedName>
    <definedName name="P_1_4.1.13">#REF!</definedName>
    <definedName name="P_1_4.1.14" localSheetId="1">#REF!</definedName>
    <definedName name="P_1_4.1.14">#REF!</definedName>
    <definedName name="P_1_4.1.2" localSheetId="1">#REF!</definedName>
    <definedName name="P_1_4.1.2">#REF!</definedName>
    <definedName name="P_1_4.1.3" localSheetId="1">#REF!</definedName>
    <definedName name="P_1_4.1.3">#REF!</definedName>
    <definedName name="P_1_4.1.4" localSheetId="1">#REF!</definedName>
    <definedName name="P_1_4.1.4">#REF!</definedName>
    <definedName name="P_1_4.1.5" localSheetId="1">#REF!</definedName>
    <definedName name="P_1_4.1.5">#REF!</definedName>
    <definedName name="P_1_4.1.6" localSheetId="1">#REF!</definedName>
    <definedName name="P_1_4.1.6">#REF!</definedName>
    <definedName name="P_1_4.1.7" localSheetId="1">#REF!</definedName>
    <definedName name="P_1_4.1.7">#REF!</definedName>
    <definedName name="P_1_4.1.8" localSheetId="1">#REF!</definedName>
    <definedName name="P_1_4.1.8">#REF!</definedName>
    <definedName name="P_1_4.1.9" localSheetId="1">#REF!</definedName>
    <definedName name="P_1_4.1.9">#REF!</definedName>
    <definedName name="P_1_4.2.1" localSheetId="1">#REF!</definedName>
    <definedName name="P_1_4.2.1">#REF!</definedName>
    <definedName name="P_1_4.2.2" localSheetId="1">#REF!</definedName>
    <definedName name="P_1_4.2.2">#REF!</definedName>
    <definedName name="P_1_4.2.3" localSheetId="1">#REF!</definedName>
    <definedName name="P_1_4.2.3">#REF!</definedName>
    <definedName name="P_1_4.2.4" localSheetId="1">#REF!</definedName>
    <definedName name="P_1_4.2.4">#REF!</definedName>
    <definedName name="P_1_4.2.5" localSheetId="1">#REF!</definedName>
    <definedName name="P_1_4.2.5">#REF!</definedName>
    <definedName name="P_1_4.2.6.1" localSheetId="1">#REF!</definedName>
    <definedName name="P_1_4.2.6.1">#REF!</definedName>
    <definedName name="P_1_4.2.6.2" localSheetId="1">#REF!</definedName>
    <definedName name="P_1_4.2.6.2">#REF!</definedName>
    <definedName name="P_1_4.2.6.3" localSheetId="1">#REF!</definedName>
    <definedName name="P_1_4.2.6.3">#REF!</definedName>
    <definedName name="P_1_4.2.7.1" localSheetId="1">#REF!</definedName>
    <definedName name="P_1_4.2.7.1">#REF!</definedName>
    <definedName name="P_1_4.2.7.2" localSheetId="1">#REF!</definedName>
    <definedName name="P_1_4.2.7.2">#REF!</definedName>
    <definedName name="P_1_4.2.7.3" localSheetId="1">#REF!</definedName>
    <definedName name="P_1_4.2.7.3">#REF!</definedName>
    <definedName name="P_1_5.1.1" localSheetId="1">#REF!</definedName>
    <definedName name="P_1_5.1.1">#REF!</definedName>
    <definedName name="P_1_5.1.10.1">#REF!</definedName>
    <definedName name="P_1_5.1.10.2" localSheetId="1">#REF!</definedName>
    <definedName name="P_1_5.1.10.2">#REF!</definedName>
    <definedName name="P_1_5.1.10.3" localSheetId="1">#REF!</definedName>
    <definedName name="P_1_5.1.10.3">#REF!</definedName>
    <definedName name="P_1_5.1.11.1" localSheetId="1">#REF!</definedName>
    <definedName name="P_1_5.1.11.1">#REF!</definedName>
    <definedName name="P_1_5.1.11.2" localSheetId="1">#REF!</definedName>
    <definedName name="P_1_5.1.11.2">#REF!</definedName>
    <definedName name="P_1_5.1.11.3" localSheetId="1">#REF!</definedName>
    <definedName name="P_1_5.1.11.3">#REF!</definedName>
    <definedName name="P_1_5.1.12" localSheetId="1">#REF!</definedName>
    <definedName name="P_1_5.1.12">#REF!</definedName>
    <definedName name="P_1_5.1.13.1">#REF!</definedName>
    <definedName name="P_1_5.1.13.2">#REF!</definedName>
    <definedName name="P_1_5.1.2" localSheetId="1">#REF!</definedName>
    <definedName name="P_1_5.1.2">#REF!</definedName>
    <definedName name="P_1_5.1.3" localSheetId="1">#REF!</definedName>
    <definedName name="P_1_5.1.3">#REF!</definedName>
    <definedName name="P_1_5.1.4" localSheetId="1">#REF!</definedName>
    <definedName name="P_1_5.1.4">#REF!</definedName>
    <definedName name="P_1_5.1.5" localSheetId="1">#REF!</definedName>
    <definedName name="P_1_5.1.5">#REF!</definedName>
    <definedName name="P_1_5.1.6" localSheetId="1">#REF!</definedName>
    <definedName name="P_1_5.1.6">#REF!</definedName>
    <definedName name="P_1_5.1.7" localSheetId="1">#REF!</definedName>
    <definedName name="P_1_5.1.7">#REF!</definedName>
    <definedName name="P_1_5.1.8" localSheetId="1">#REF!</definedName>
    <definedName name="P_1_5.1.8">#REF!</definedName>
    <definedName name="P_1_5.1.9.1" localSheetId="1">#REF!</definedName>
    <definedName name="P_1_5.1.9.1">#REF!</definedName>
    <definedName name="P_1_5.1.9.10" localSheetId="1">#REF!</definedName>
    <definedName name="P_1_5.1.9.10">#REF!</definedName>
    <definedName name="P_1_5.1.9.2" localSheetId="1">#REF!</definedName>
    <definedName name="P_1_5.1.9.2">#REF!</definedName>
    <definedName name="P_1_5.1.9.3" localSheetId="1">#REF!</definedName>
    <definedName name="P_1_5.1.9.3">#REF!</definedName>
    <definedName name="P_1_5.1.9.4" localSheetId="1">#REF!</definedName>
    <definedName name="P_1_5.1.9.4">#REF!</definedName>
    <definedName name="P_1_5.1.9.5" localSheetId="1">#REF!</definedName>
    <definedName name="P_1_5.1.9.5">#REF!</definedName>
    <definedName name="P_1_5.1.9.6" localSheetId="1">#REF!</definedName>
    <definedName name="P_1_5.1.9.6">#REF!</definedName>
    <definedName name="P_1_5.1.9.7" localSheetId="1">#REF!</definedName>
    <definedName name="P_1_5.1.9.7">#REF!</definedName>
    <definedName name="P_1_5.1.9.8" localSheetId="1">#REF!</definedName>
    <definedName name="P_1_5.1.9.8">#REF!</definedName>
    <definedName name="P_1_5.1.9.9" localSheetId="1">#REF!</definedName>
    <definedName name="P_1_5.1.9.9">#REF!</definedName>
    <definedName name="P_1_5.2.1.1">#REF!</definedName>
    <definedName name="P_1_5.2.1.10" localSheetId="1">#REF!</definedName>
    <definedName name="P_1_5.2.1.10">#REF!</definedName>
    <definedName name="P_1_5.2.1.11" localSheetId="1">#REF!</definedName>
    <definedName name="P_1_5.2.1.11">#REF!</definedName>
    <definedName name="P_1_5.2.1.12" localSheetId="1">#REF!</definedName>
    <definedName name="P_1_5.2.1.12">#REF!</definedName>
    <definedName name="P_1_5.2.1.13" localSheetId="1">#REF!</definedName>
    <definedName name="P_1_5.2.1.13">#REF!</definedName>
    <definedName name="P_1_5.2.1.2">#REF!</definedName>
    <definedName name="P_1_5.2.1.3" localSheetId="1">#REF!</definedName>
    <definedName name="P_1_5.2.1.3">#REF!</definedName>
    <definedName name="P_1_5.2.1.4" localSheetId="1">#REF!</definedName>
    <definedName name="P_1_5.2.1.4">#REF!</definedName>
    <definedName name="P_1_5.2.1.5" localSheetId="1">#REF!</definedName>
    <definedName name="P_1_5.2.1.5">#REF!</definedName>
    <definedName name="P_1_5.2.1.6" localSheetId="1">#REF!</definedName>
    <definedName name="P_1_5.2.1.6">#REF!</definedName>
    <definedName name="P_1_5.2.1.7" localSheetId="1">#REF!</definedName>
    <definedName name="P_1_5.2.1.7">#REF!</definedName>
    <definedName name="P_1_5.2.1.8" localSheetId="1">#REF!</definedName>
    <definedName name="P_1_5.2.1.8">#REF!</definedName>
    <definedName name="P_1_5.2.1.9" localSheetId="1">#REF!</definedName>
    <definedName name="P_1_5.2.1.9">#REF!</definedName>
    <definedName name="P_1_5.2.2.1" localSheetId="1">#REF!</definedName>
    <definedName name="P_1_5.2.2.1">#REF!</definedName>
    <definedName name="P_1_5.2.2.10">#REF!</definedName>
    <definedName name="P_1_5.2.2.2" localSheetId="1">#REF!</definedName>
    <definedName name="P_1_5.2.2.2">#REF!</definedName>
    <definedName name="P_1_5.2.2.3" localSheetId="1">#REF!</definedName>
    <definedName name="P_1_5.2.2.3">#REF!</definedName>
    <definedName name="P_1_5.2.2.4" localSheetId="1">#REF!</definedName>
    <definedName name="P_1_5.2.2.4">#REF!</definedName>
    <definedName name="P_1_5.2.2.5" localSheetId="1">#REF!</definedName>
    <definedName name="P_1_5.2.2.5">#REF!</definedName>
    <definedName name="P_1_5.2.2.6" localSheetId="1">#REF!</definedName>
    <definedName name="P_1_5.2.2.6">#REF!</definedName>
    <definedName name="P_1_5.2.2.7" localSheetId="1">#REF!</definedName>
    <definedName name="P_1_5.2.2.7">#REF!</definedName>
    <definedName name="P_1_5.2.2.8">#REF!</definedName>
    <definedName name="P_1_5.2.2.9">#REF!</definedName>
    <definedName name="P_1_5.2.3.1">#REF!</definedName>
    <definedName name="P_1_5.2.3.2">#REF!</definedName>
    <definedName name="P_1_5.2.4.1">#REF!</definedName>
    <definedName name="P_1_5.2.4.10">#REF!</definedName>
    <definedName name="P_1_5.2.4.11">#REF!</definedName>
    <definedName name="P_1_5.2.4.12">#REF!</definedName>
    <definedName name="P_1_5.2.4.13">#REF!</definedName>
    <definedName name="P_1_5.2.4.14">#REF!</definedName>
    <definedName name="P_1_5.2.4.15">#REF!</definedName>
    <definedName name="P_1_5.2.4.16">#REF!</definedName>
    <definedName name="P_1_5.2.4.17">#REF!</definedName>
    <definedName name="P_1_5.2.4.2">#REF!</definedName>
    <definedName name="P_1_5.2.4.3">#REF!</definedName>
    <definedName name="P_1_5.2.4.4">#REF!</definedName>
    <definedName name="P_1_5.2.4.5">#REF!</definedName>
    <definedName name="P_1_5.2.4.6">#REF!</definedName>
    <definedName name="P_1_5.2.4.7">#REF!</definedName>
    <definedName name="P_1_5.2.4.8">#REF!</definedName>
    <definedName name="P_1_5.2.4.9">#REF!</definedName>
    <definedName name="P_1_5.3.1">#REF!</definedName>
    <definedName name="P_1_5.3.10">#REF!</definedName>
    <definedName name="P_1_5.3.11">#REF!</definedName>
    <definedName name="P_1_5.3.12">#REF!</definedName>
    <definedName name="P_1_5.3.13">#REF!</definedName>
    <definedName name="P_1_5.3.14">#REF!</definedName>
    <definedName name="P_1_5.3.15">#REF!</definedName>
    <definedName name="P_1_5.3.16">#REF!</definedName>
    <definedName name="P_1_5.3.17">#REF!</definedName>
    <definedName name="P_1_5.3.2">#REF!</definedName>
    <definedName name="P_1_5.3.3">#REF!</definedName>
    <definedName name="P_1_5.3.4">#REF!</definedName>
    <definedName name="P_1_5.3.5">#REF!</definedName>
    <definedName name="P_1_5.3.6">#REF!</definedName>
    <definedName name="P_1_5.3.7">#REF!</definedName>
    <definedName name="P_1_5.3.8" localSheetId="1">#REF!</definedName>
    <definedName name="P_1_5.3.8">#REF!</definedName>
    <definedName name="P_1_5.3.9">#REF!</definedName>
    <definedName name="P_1_6.1">#REF!</definedName>
    <definedName name="P_1_6.10.1" localSheetId="1">#REF!</definedName>
    <definedName name="P_1_6.10.1">#REF!</definedName>
    <definedName name="P_1_6.10.2" localSheetId="1">#REF!</definedName>
    <definedName name="P_1_6.10.2">#REF!</definedName>
    <definedName name="P_1_6.10.3" localSheetId="1">#REF!</definedName>
    <definedName name="P_1_6.10.3">#REF!</definedName>
    <definedName name="P_1_6.11" localSheetId="1">#REF!</definedName>
    <definedName name="P_1_6.11">#REF!</definedName>
    <definedName name="P_1_6.12.1" localSheetId="1">#REF!</definedName>
    <definedName name="P_1_6.12.1">#REF!</definedName>
    <definedName name="P_1_6.12.2" localSheetId="1">#REF!</definedName>
    <definedName name="P_1_6.12.2">#REF!</definedName>
    <definedName name="P_1_6.13" localSheetId="1">#REF!</definedName>
    <definedName name="P_1_6.13">#REF!</definedName>
    <definedName name="P_1_6.14" localSheetId="1">#REF!</definedName>
    <definedName name="P_1_6.14">#REF!</definedName>
    <definedName name="P_1_6.15" localSheetId="1">#REF!</definedName>
    <definedName name="P_1_6.15">#REF!</definedName>
    <definedName name="P_1_6.16" localSheetId="1">#REF!</definedName>
    <definedName name="P_1_6.16">#REF!</definedName>
    <definedName name="P_1_6.17.1">#REF!</definedName>
    <definedName name="P_1_6.17.2">#REF!</definedName>
    <definedName name="P_1_6.17.3">#REF!</definedName>
    <definedName name="P_1_6.17.4">#REF!</definedName>
    <definedName name="P_1_6.17.5">#REF!</definedName>
    <definedName name="P_1_6.2" localSheetId="1">#REF!</definedName>
    <definedName name="P_1_6.2">#REF!</definedName>
    <definedName name="P_1_6.3" localSheetId="1">#REF!</definedName>
    <definedName name="P_1_6.3">#REF!</definedName>
    <definedName name="P_1_6.4" localSheetId="1">#REF!</definedName>
    <definedName name="P_1_6.4">#REF!</definedName>
    <definedName name="P_1_6.5.1" localSheetId="1">#REF!</definedName>
    <definedName name="P_1_6.5.1">#REF!</definedName>
    <definedName name="P_1_6.5.2" localSheetId="1">#REF!</definedName>
    <definedName name="P_1_6.5.2">#REF!</definedName>
    <definedName name="P_1_6.5.3" localSheetId="1">#REF!</definedName>
    <definedName name="P_1_6.5.3">#REF!</definedName>
    <definedName name="P_1_6.6.1" localSheetId="1">#REF!</definedName>
    <definedName name="P_1_6.6.1">#REF!</definedName>
    <definedName name="P_1_6.6.2" localSheetId="1">#REF!</definedName>
    <definedName name="P_1_6.6.2">#REF!</definedName>
    <definedName name="P_1_6.6.3" localSheetId="1">#REF!</definedName>
    <definedName name="P_1_6.6.3">#REF!</definedName>
    <definedName name="P_1_6.7.1" localSheetId="1">#REF!</definedName>
    <definedName name="P_1_6.7.1">#REF!</definedName>
    <definedName name="P_1_6.7.2" localSheetId="1">#REF!</definedName>
    <definedName name="P_1_6.7.2">#REF!</definedName>
    <definedName name="P_1_6.7.3" localSheetId="1">#REF!</definedName>
    <definedName name="P_1_6.7.3">#REF!</definedName>
    <definedName name="P_1_6.8.1" localSheetId="1">#REF!</definedName>
    <definedName name="P_1_6.8.1">#REF!</definedName>
    <definedName name="P_1_6.8.2" localSheetId="1">#REF!</definedName>
    <definedName name="P_1_6.8.2">#REF!</definedName>
    <definedName name="P_1_6.8.3" localSheetId="1">#REF!</definedName>
    <definedName name="P_1_6.8.3">#REF!</definedName>
    <definedName name="P_1_6.9.1" localSheetId="1">#REF!</definedName>
    <definedName name="P_1_6.9.1">#REF!</definedName>
    <definedName name="P_1_6.9.2" localSheetId="1">#REF!</definedName>
    <definedName name="P_1_6.9.2">#REF!</definedName>
    <definedName name="P_1_6.9.3" localSheetId="1">#REF!</definedName>
    <definedName name="P_1_6.9.3">#REF!</definedName>
    <definedName name="P_1_7.1.1">#REF!</definedName>
    <definedName name="P_1_7.1.2">#REF!</definedName>
    <definedName name="P_1_7.1.3">#REF!</definedName>
    <definedName name="P_1_7.1.4">#REF!</definedName>
    <definedName name="P_1_7.1.5">#REF!</definedName>
    <definedName name="P_1_7.1.6">#REF!</definedName>
    <definedName name="P_1_7.1.7" localSheetId="1">#REF!</definedName>
    <definedName name="P_1_7.1.7">#REF!</definedName>
    <definedName name="P_1_7.2.1">#REF!</definedName>
    <definedName name="P_1_7.2.2">#REF!</definedName>
    <definedName name="P_1_7.2.3">#REF!</definedName>
    <definedName name="P_1_8.1">#REF!</definedName>
    <definedName name="P_1_8.10.1" localSheetId="1">#REF!</definedName>
    <definedName name="P_1_8.10.1">#REF!</definedName>
    <definedName name="P_1_8.10.10" localSheetId="1">#REF!</definedName>
    <definedName name="P_1_8.10.10">#REF!</definedName>
    <definedName name="P_1_8.10.11" localSheetId="1">#REF!</definedName>
    <definedName name="P_1_8.10.11">#REF!</definedName>
    <definedName name="P_1_8.10.12" localSheetId="1">#REF!</definedName>
    <definedName name="P_1_8.10.12">#REF!</definedName>
    <definedName name="P_1_8.10.2" localSheetId="1">#REF!</definedName>
    <definedName name="P_1_8.10.2">#REF!</definedName>
    <definedName name="P_1_8.10.3" localSheetId="1">#REF!</definedName>
    <definedName name="P_1_8.10.3">#REF!</definedName>
    <definedName name="P_1_8.10.4" localSheetId="1">#REF!</definedName>
    <definedName name="P_1_8.10.4">#REF!</definedName>
    <definedName name="P_1_8.10.5" localSheetId="1">#REF!</definedName>
    <definedName name="P_1_8.10.5">#REF!</definedName>
    <definedName name="P_1_8.10.6" localSheetId="1">#REF!</definedName>
    <definedName name="P_1_8.10.6">#REF!</definedName>
    <definedName name="P_1_8.10.7" localSheetId="1">#REF!</definedName>
    <definedName name="P_1_8.10.7">#REF!</definedName>
    <definedName name="P_1_8.10.8" localSheetId="1">#REF!</definedName>
    <definedName name="P_1_8.10.8">#REF!</definedName>
    <definedName name="P_1_8.10.9" localSheetId="1">#REF!</definedName>
    <definedName name="P_1_8.10.9">#REF!</definedName>
    <definedName name="P_1_8.11.1" localSheetId="1">#REF!</definedName>
    <definedName name="P_1_8.11.1">#REF!</definedName>
    <definedName name="P_1_8.11.10" localSheetId="1">#REF!</definedName>
    <definedName name="P_1_8.11.10">#REF!</definedName>
    <definedName name="P_1_8.11.11" localSheetId="1">#REF!</definedName>
    <definedName name="P_1_8.11.11">#REF!</definedName>
    <definedName name="P_1_8.11.12" localSheetId="1">#REF!</definedName>
    <definedName name="P_1_8.11.12">#REF!</definedName>
    <definedName name="P_1_8.11.2" localSheetId="1">#REF!</definedName>
    <definedName name="P_1_8.11.2">#REF!</definedName>
    <definedName name="P_1_8.11.3" localSheetId="1">#REF!</definedName>
    <definedName name="P_1_8.11.3">#REF!</definedName>
    <definedName name="P_1_8.11.4" localSheetId="1">#REF!</definedName>
    <definedName name="P_1_8.11.4">#REF!</definedName>
    <definedName name="P_1_8.11.5" localSheetId="1">#REF!</definedName>
    <definedName name="P_1_8.11.5">#REF!</definedName>
    <definedName name="P_1_8.11.6" localSheetId="1">#REF!</definedName>
    <definedName name="P_1_8.11.6">#REF!</definedName>
    <definedName name="P_1_8.11.7" localSheetId="1">#REF!</definedName>
    <definedName name="P_1_8.11.7">#REF!</definedName>
    <definedName name="P_1_8.11.8" localSheetId="1">#REF!</definedName>
    <definedName name="P_1_8.11.8">#REF!</definedName>
    <definedName name="P_1_8.11.9" localSheetId="1">#REF!</definedName>
    <definedName name="P_1_8.11.9">#REF!</definedName>
    <definedName name="P_1_8.12.1">#REF!</definedName>
    <definedName name="P_1_8.12.2">#REF!</definedName>
    <definedName name="P_1_8.12.3">#REF!</definedName>
    <definedName name="P_1_8.12.4">#REF!</definedName>
    <definedName name="P_1_8.13.1" localSheetId="1">#REF!</definedName>
    <definedName name="P_1_8.13.1">#REF!</definedName>
    <definedName name="P_1_8.13.2" localSheetId="1">#REF!</definedName>
    <definedName name="P_1_8.13.2">#REF!</definedName>
    <definedName name="P_1_8.13.3" localSheetId="1">#REF!</definedName>
    <definedName name="P_1_8.13.3">#REF!</definedName>
    <definedName name="P_1_8.13.4" localSheetId="1">#REF!</definedName>
    <definedName name="P_1_8.13.4">#REF!</definedName>
    <definedName name="P_1_8.14.1" localSheetId="1">#REF!</definedName>
    <definedName name="P_1_8.14.1">#REF!</definedName>
    <definedName name="P_1_8.14.2" localSheetId="1">#REF!</definedName>
    <definedName name="P_1_8.14.2">#REF!</definedName>
    <definedName name="P_1_8.14.3" localSheetId="1">#REF!</definedName>
    <definedName name="P_1_8.14.3">#REF!</definedName>
    <definedName name="P_1_8.14.4" localSheetId="1">#REF!</definedName>
    <definedName name="P_1_8.14.4">#REF!</definedName>
    <definedName name="P_1_8.15.1" localSheetId="1">#REF!</definedName>
    <definedName name="P_1_8.15.1">#REF!</definedName>
    <definedName name="P_1_8.15.2" localSheetId="1">#REF!</definedName>
    <definedName name="P_1_8.15.2">#REF!</definedName>
    <definedName name="P_1_8.15.3" localSheetId="1">#REF!</definedName>
    <definedName name="P_1_8.15.3">#REF!</definedName>
    <definedName name="P_1_8.15.4" localSheetId="1">#REF!</definedName>
    <definedName name="P_1_8.15.4">#REF!</definedName>
    <definedName name="P_1_8.15.5" localSheetId="1">#REF!</definedName>
    <definedName name="P_1_8.15.5">#REF!</definedName>
    <definedName name="P_1_8.15.6" localSheetId="1">#REF!</definedName>
    <definedName name="P_1_8.15.6">#REF!</definedName>
    <definedName name="P_1_8.15.7" localSheetId="1">#REF!</definedName>
    <definedName name="P_1_8.15.7">#REF!</definedName>
    <definedName name="P_1_8.16.1" localSheetId="1">#REF!</definedName>
    <definedName name="P_1_8.16.1">#REF!</definedName>
    <definedName name="P_1_8.16.2" localSheetId="1">#REF!</definedName>
    <definedName name="P_1_8.16.2">#REF!</definedName>
    <definedName name="P_1_8.16.3" localSheetId="1">#REF!</definedName>
    <definedName name="P_1_8.16.3">#REF!</definedName>
    <definedName name="P_1_8.16.4" localSheetId="1">#REF!</definedName>
    <definedName name="P_1_8.16.4">#REF!</definedName>
    <definedName name="P_1_8.17.1">#REF!</definedName>
    <definedName name="P_1_8.17.10">#REF!</definedName>
    <definedName name="P_1_8.17.2">#REF!</definedName>
    <definedName name="P_1_8.17.3">#REF!</definedName>
    <definedName name="P_1_8.17.4">#REF!</definedName>
    <definedName name="P_1_8.17.5">#REF!</definedName>
    <definedName name="P_1_8.17.6">#REF!</definedName>
    <definedName name="P_1_8.17.7">#REF!</definedName>
    <definedName name="P_1_8.17.8">#REF!</definedName>
    <definedName name="P_1_8.17.9">#REF!</definedName>
    <definedName name="P_1_8.18.1">#REF!</definedName>
    <definedName name="P_1_8.18.10">#REF!</definedName>
    <definedName name="P_1_8.18.2">#REF!</definedName>
    <definedName name="P_1_8.18.3">#REF!</definedName>
    <definedName name="P_1_8.18.4">#REF!</definedName>
    <definedName name="P_1_8.18.5">#REF!</definedName>
    <definedName name="P_1_8.18.6">#REF!</definedName>
    <definedName name="P_1_8.18.7">#REF!</definedName>
    <definedName name="P_1_8.18.8">#REF!</definedName>
    <definedName name="P_1_8.18.9">#REF!</definedName>
    <definedName name="P_1_8.19.1">#REF!</definedName>
    <definedName name="P_1_8.19.2">#REF!</definedName>
    <definedName name="P_1_8.19.3">#REF!</definedName>
    <definedName name="P_1_8.19.4">#REF!</definedName>
    <definedName name="P_1_8.19.5">#REF!</definedName>
    <definedName name="P_1_8.19.6">#REF!</definedName>
    <definedName name="P_1_8.2.1" localSheetId="1">#REF!</definedName>
    <definedName name="P_1_8.2.1">#REF!</definedName>
    <definedName name="P_1_8.2.2" localSheetId="1">#REF!</definedName>
    <definedName name="P_1_8.2.2">#REF!</definedName>
    <definedName name="P_1_8.2.3" localSheetId="1">#REF!</definedName>
    <definedName name="P_1_8.2.3">#REF!</definedName>
    <definedName name="P_1_8.2.4" localSheetId="1">#REF!</definedName>
    <definedName name="P_1_8.2.4">#REF!</definedName>
    <definedName name="P_1_8.2.5" localSheetId="1">#REF!</definedName>
    <definedName name="P_1_8.2.5">#REF!</definedName>
    <definedName name="P_1_8.2.6" localSheetId="1">#REF!</definedName>
    <definedName name="P_1_8.2.6">#REF!</definedName>
    <definedName name="P_1_8.2.7" localSheetId="1">#REF!</definedName>
    <definedName name="P_1_8.2.7">#REF!</definedName>
    <definedName name="P_1_8.20.1">#REF!</definedName>
    <definedName name="P_1_8.20.2">#REF!</definedName>
    <definedName name="P_1_8.20.3">#REF!</definedName>
    <definedName name="P_1_8.20.4">#REF!</definedName>
    <definedName name="P_1_8.20.5">#REF!</definedName>
    <definedName name="P_1_8.20.6">#REF!</definedName>
    <definedName name="P_1_8.21.1">#REF!</definedName>
    <definedName name="P_1_8.21.2">#REF!</definedName>
    <definedName name="P_1_8.21.3">#REF!</definedName>
    <definedName name="P_1_8.21.4">#REF!</definedName>
    <definedName name="P_1_8.22.1">#REF!</definedName>
    <definedName name="P_1_8.22.2">#REF!</definedName>
    <definedName name="P_1_8.22.3">#REF!</definedName>
    <definedName name="P_1_8.22.4">#REF!</definedName>
    <definedName name="P_1_8.22.5">#REF!</definedName>
    <definedName name="P_1_8.23.1">#REF!</definedName>
    <definedName name="P_1_8.23.2">#REF!</definedName>
    <definedName name="P_1_8.23.3">#REF!</definedName>
    <definedName name="P_1_8.23.4">#REF!</definedName>
    <definedName name="P_1_8.24.1" localSheetId="1">#REF!</definedName>
    <definedName name="P_1_8.24.1">#REF!</definedName>
    <definedName name="P_1_8.24.2" localSheetId="1">#REF!</definedName>
    <definedName name="P_1_8.24.2">#REF!</definedName>
    <definedName name="P_1_8.24.3" localSheetId="1">#REF!</definedName>
    <definedName name="P_1_8.24.3">#REF!</definedName>
    <definedName name="P_1_8.24.4" localSheetId="1">#REF!</definedName>
    <definedName name="P_1_8.24.4">#REF!</definedName>
    <definedName name="P_1_8.25.1" localSheetId="1">#REF!</definedName>
    <definedName name="P_1_8.25.1">#REF!</definedName>
    <definedName name="P_1_8.25.2" localSheetId="1">#REF!</definedName>
    <definedName name="P_1_8.25.2">#REF!</definedName>
    <definedName name="P_1_8.25.3" localSheetId="1">#REF!</definedName>
    <definedName name="P_1_8.25.3">#REF!</definedName>
    <definedName name="P_1_8.25.4" localSheetId="1">#REF!</definedName>
    <definedName name="P_1_8.25.4">#REF!</definedName>
    <definedName name="P_1_8.26.1">#REF!</definedName>
    <definedName name="P_1_8.26.2">#REF!</definedName>
    <definedName name="P_1_8.26.3">#REF!</definedName>
    <definedName name="P_1_8.26.4">#REF!</definedName>
    <definedName name="P_1_8.26.5">#REF!</definedName>
    <definedName name="P_1_8.26.6">#REF!</definedName>
    <definedName name="P_1_8.27.1">#REF!</definedName>
    <definedName name="P_1_8.27.2">#REF!</definedName>
    <definedName name="P_1_8.27.3">#REF!</definedName>
    <definedName name="P_1_8.27.4">#REF!</definedName>
    <definedName name="P_1_8.27.5">#REF!</definedName>
    <definedName name="P_1_8.27.6">#REF!</definedName>
    <definedName name="P_1_8.27.7">#REF!</definedName>
    <definedName name="P_1_8.27.8">#REF!</definedName>
    <definedName name="P_1_8.28.1">#REF!</definedName>
    <definedName name="P_1_8.28.2">#REF!</definedName>
    <definedName name="P_1_8.28.3">#REF!</definedName>
    <definedName name="P_1_8.28.4">#REF!</definedName>
    <definedName name="P_1_8.28.5">#REF!</definedName>
    <definedName name="P_1_8.28.6">#REF!</definedName>
    <definedName name="P_1_8.28.7">#REF!</definedName>
    <definedName name="P_1_8.28.8">#REF!</definedName>
    <definedName name="P_1_8.29.1" localSheetId="1">#REF!</definedName>
    <definedName name="P_1_8.29.1">#REF!</definedName>
    <definedName name="P_1_8.29.2" localSheetId="1">#REF!</definedName>
    <definedName name="P_1_8.29.2">#REF!</definedName>
    <definedName name="P_1_8.29.3" localSheetId="1">#REF!</definedName>
    <definedName name="P_1_8.29.3">#REF!</definedName>
    <definedName name="P_1_8.29.4" localSheetId="1">#REF!</definedName>
    <definedName name="P_1_8.29.4">#REF!</definedName>
    <definedName name="P_1_8.29.5" localSheetId="1">#REF!</definedName>
    <definedName name="P_1_8.29.5">#REF!</definedName>
    <definedName name="P_1_8.29.6" localSheetId="1">#REF!</definedName>
    <definedName name="P_1_8.29.6">#REF!</definedName>
    <definedName name="P_1_8.3.1" localSheetId="1">#REF!</definedName>
    <definedName name="P_1_8.3.1">#REF!</definedName>
    <definedName name="P_1_8.3.10">#REF!</definedName>
    <definedName name="P_1_8.3.11">#REF!</definedName>
    <definedName name="P_1_8.3.2" localSheetId="1">#REF!</definedName>
    <definedName name="P_1_8.3.2">#REF!</definedName>
    <definedName name="P_1_8.3.3">#REF!</definedName>
    <definedName name="P_1_8.3.4">#REF!</definedName>
    <definedName name="P_1_8.3.5">#REF!</definedName>
    <definedName name="P_1_8.3.6">#REF!</definedName>
    <definedName name="P_1_8.3.7">#REF!</definedName>
    <definedName name="P_1_8.3.8">#REF!</definedName>
    <definedName name="P_1_8.3.9">#REF!</definedName>
    <definedName name="P_1_8.30.1">#REF!</definedName>
    <definedName name="P_1_8.30.2">#REF!</definedName>
    <definedName name="P_1_8.30.3">#REF!</definedName>
    <definedName name="P_1_8.30.4">#REF!</definedName>
    <definedName name="P_1_8.31.1" localSheetId="1">#REF!</definedName>
    <definedName name="P_1_8.31.1">#REF!</definedName>
    <definedName name="P_1_8.31.2" localSheetId="1">#REF!</definedName>
    <definedName name="P_1_8.31.2">#REF!</definedName>
    <definedName name="P_1_8.31.3" localSheetId="1">#REF!</definedName>
    <definedName name="P_1_8.31.3">#REF!</definedName>
    <definedName name="P_1_8.31.4" localSheetId="1">#REF!</definedName>
    <definedName name="P_1_8.31.4">#REF!</definedName>
    <definedName name="P_1_8.31.5" localSheetId="1">#REF!</definedName>
    <definedName name="P_1_8.31.5">#REF!</definedName>
    <definedName name="P_1_8.31.6" localSheetId="1">#REF!</definedName>
    <definedName name="P_1_8.31.6">#REF!</definedName>
    <definedName name="P_1_8.31.7" localSheetId="1">#REF!</definedName>
    <definedName name="P_1_8.31.7">#REF!</definedName>
    <definedName name="P_1_8.4.1" localSheetId="1">#REF!</definedName>
    <definedName name="P_1_8.4.1">#REF!</definedName>
    <definedName name="P_1_8.4.10" localSheetId="1">#REF!</definedName>
    <definedName name="P_1_8.4.10">#REF!</definedName>
    <definedName name="P_1_8.4.11" localSheetId="1">#REF!</definedName>
    <definedName name="P_1_8.4.11">#REF!</definedName>
    <definedName name="P_1_8.4.2" localSheetId="1">#REF!</definedName>
    <definedName name="P_1_8.4.2">#REF!</definedName>
    <definedName name="P_1_8.4.3" localSheetId="1">#REF!</definedName>
    <definedName name="P_1_8.4.3">#REF!</definedName>
    <definedName name="P_1_8.4.4" localSheetId="1">#REF!</definedName>
    <definedName name="P_1_8.4.4">#REF!</definedName>
    <definedName name="P_1_8.4.5" localSheetId="1">#REF!</definedName>
    <definedName name="P_1_8.4.5">#REF!</definedName>
    <definedName name="P_1_8.4.6" localSheetId="1">#REF!</definedName>
    <definedName name="P_1_8.4.6">#REF!</definedName>
    <definedName name="P_1_8.4.7" localSheetId="1">#REF!</definedName>
    <definedName name="P_1_8.4.7">#REF!</definedName>
    <definedName name="P_1_8.4.8" localSheetId="1">#REF!</definedName>
    <definedName name="P_1_8.4.8">#REF!</definedName>
    <definedName name="P_1_8.4.9" localSheetId="1">#REF!</definedName>
    <definedName name="P_1_8.4.9">#REF!</definedName>
    <definedName name="P_1_8.5.1" localSheetId="1">#REF!</definedName>
    <definedName name="P_1_8.5.1">#REF!</definedName>
    <definedName name="P_1_8.5.10" localSheetId="1">#REF!</definedName>
    <definedName name="P_1_8.5.10">#REF!</definedName>
    <definedName name="P_1_8.5.11" localSheetId="1">#REF!</definedName>
    <definedName name="P_1_8.5.11">#REF!</definedName>
    <definedName name="P_1_8.5.2" localSheetId="1">#REF!</definedName>
    <definedName name="P_1_8.5.2">#REF!</definedName>
    <definedName name="P_1_8.5.3" localSheetId="1">#REF!</definedName>
    <definedName name="P_1_8.5.3">#REF!</definedName>
    <definedName name="P_1_8.5.4" localSheetId="1">#REF!</definedName>
    <definedName name="P_1_8.5.4">#REF!</definedName>
    <definedName name="P_1_8.5.5" localSheetId="1">#REF!</definedName>
    <definedName name="P_1_8.5.5">#REF!</definedName>
    <definedName name="P_1_8.5.6" localSheetId="1">#REF!</definedName>
    <definedName name="P_1_8.5.6">#REF!</definedName>
    <definedName name="P_1_8.5.7" localSheetId="1">#REF!</definedName>
    <definedName name="P_1_8.5.7">#REF!</definedName>
    <definedName name="P_1_8.5.8" localSheetId="1">#REF!</definedName>
    <definedName name="P_1_8.5.8">#REF!</definedName>
    <definedName name="P_1_8.5.9" localSheetId="1">#REF!</definedName>
    <definedName name="P_1_8.5.9">#REF!</definedName>
    <definedName name="P_1_8.6.1">#REF!</definedName>
    <definedName name="P_1_8.6.10">#REF!</definedName>
    <definedName name="P_1_8.6.11">#REF!</definedName>
    <definedName name="P_1_8.6.2">#REF!</definedName>
    <definedName name="P_1_8.6.3">#REF!</definedName>
    <definedName name="P_1_8.6.4">#REF!</definedName>
    <definedName name="P_1_8.6.5">#REF!</definedName>
    <definedName name="P_1_8.6.6">#REF!</definedName>
    <definedName name="P_1_8.6.7">#REF!</definedName>
    <definedName name="P_1_8.6.8">#REF!</definedName>
    <definedName name="P_1_8.7.2" localSheetId="1">#REF!</definedName>
    <definedName name="P_1_8.7.2">#REF!</definedName>
    <definedName name="P_1_8.8.1">#REF!</definedName>
    <definedName name="P_1_8.8.2">#REF!</definedName>
    <definedName name="P_1_8.8.3">#REF!</definedName>
    <definedName name="P_1_8.8.4">#REF!</definedName>
    <definedName name="P_1_8.8.5">#REF!</definedName>
    <definedName name="P_1_8.8.6">#REF!</definedName>
    <definedName name="P_1_8.8.7">#REF!</definedName>
    <definedName name="P_1_8.9.1">#REF!</definedName>
    <definedName name="P_1_8.9.10">#REF!</definedName>
    <definedName name="P_1_8.9.11">#REF!</definedName>
    <definedName name="P_1_8.9.12">#REF!</definedName>
    <definedName name="P_1_8.9.2">#REF!</definedName>
    <definedName name="P_1_8.9.3">#REF!</definedName>
    <definedName name="P_1_8.9.4">#REF!</definedName>
    <definedName name="P_1_8.9.5">#REF!</definedName>
    <definedName name="P_1_8.9.6">#REF!</definedName>
    <definedName name="P_1_8.9.7">#REF!</definedName>
    <definedName name="P_1_8.9.8">#REF!</definedName>
    <definedName name="P_1_8.9.9">#REF!</definedName>
    <definedName name="P_1_87.1" localSheetId="1">#REF!</definedName>
    <definedName name="P_1_87.1">#REF!</definedName>
    <definedName name="P_1_9.1">#REF!</definedName>
    <definedName name="P_1_9.2">#REF!</definedName>
    <definedName name="P_1_9.3.1">#REF!</definedName>
    <definedName name="P_1_9.3.2" localSheetId="1">#REF!</definedName>
    <definedName name="P_1_9.3.2">#REF!</definedName>
    <definedName name="P_1_9.3.3" localSheetId="1">#REF!</definedName>
    <definedName name="P_1_9.3.3">#REF!</definedName>
    <definedName name="P_1_9.3.4">#REF!</definedName>
    <definedName name="P_1_9.4.1">#REF!</definedName>
    <definedName name="P_1_9.4.2" localSheetId="1">#REF!</definedName>
    <definedName name="P_1_9.4.2">#REF!</definedName>
    <definedName name="P_1_9.4.3" localSheetId="1">#REF!</definedName>
    <definedName name="P_1_9.4.3">#REF!</definedName>
    <definedName name="P_1_9.4.4">#REF!</definedName>
    <definedName name="P_1_9.5.1" localSheetId="1">#REF!</definedName>
    <definedName name="P_1_9.5.1">#REF!</definedName>
    <definedName name="P_1_9.5.2">#REF!</definedName>
    <definedName name="P_1_9.5.3">#REF!</definedName>
    <definedName name="P_1_9.5.4">#REF!</definedName>
    <definedName name="P_1_9.5.5">#REF!</definedName>
    <definedName name="P_1_9.5.6">#REF!</definedName>
    <definedName name="P_1_9.5.7" localSheetId="1">#REF!</definedName>
    <definedName name="P_1_9.5.7">#REF!</definedName>
    <definedName name="P_1_9.5.8">#REF!</definedName>
    <definedName name="PU" localSheetId="1">#REF!</definedName>
    <definedName name="PU">#REF!</definedName>
    <definedName name="Qté" localSheetId="1">#REF!</definedName>
    <definedName name="Qté">#REF!</definedName>
    <definedName name="TVA">0.196</definedName>
    <definedName name="_xlnm.Print_Area" localSheetId="1">'Cas 2'!$A$1:$F$1416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14" i="25" l="1"/>
  <c r="F1413" i="25"/>
  <c r="F1386" i="25"/>
  <c r="F1387" i="25"/>
  <c r="F1388" i="25"/>
  <c r="F1385" i="25"/>
  <c r="F1390" i="25" s="1"/>
  <c r="F1411" i="25" s="1"/>
  <c r="F571" i="25"/>
  <c r="F572" i="25"/>
  <c r="F573" i="25"/>
  <c r="F574" i="25"/>
  <c r="F1340" i="25"/>
  <c r="F1380" i="25"/>
  <c r="F1379" i="25"/>
  <c r="F1378" i="25"/>
  <c r="F1377" i="25"/>
  <c r="F1376" i="25"/>
  <c r="F1374" i="25"/>
  <c r="F1373" i="25"/>
  <c r="F1372" i="25"/>
  <c r="F1371" i="25"/>
  <c r="F1370" i="25"/>
  <c r="F1369" i="25"/>
  <c r="F1368" i="25"/>
  <c r="F1367" i="25"/>
  <c r="F1366" i="25"/>
  <c r="F1365" i="25"/>
  <c r="F1364" i="25"/>
  <c r="F1363" i="25"/>
  <c r="F1362" i="25"/>
  <c r="F1361" i="25"/>
  <c r="F1360" i="25"/>
  <c r="F1359" i="25"/>
  <c r="F1358" i="25"/>
  <c r="F1357" i="25"/>
  <c r="F1351" i="25"/>
  <c r="F1350" i="25"/>
  <c r="F1349" i="25"/>
  <c r="F1348" i="25"/>
  <c r="F1347" i="25"/>
  <c r="F1346" i="25"/>
  <c r="F1345" i="25"/>
  <c r="F1343" i="25"/>
  <c r="F1342" i="25"/>
  <c r="F1341" i="25"/>
  <c r="F1339" i="25"/>
  <c r="F1338" i="25"/>
  <c r="F1337" i="25"/>
  <c r="F1335" i="25"/>
  <c r="F1334" i="25"/>
  <c r="F1333" i="25"/>
  <c r="F1332" i="25"/>
  <c r="F1331" i="25"/>
  <c r="F1330" i="25"/>
  <c r="F1329" i="25"/>
  <c r="F1327" i="25"/>
  <c r="F1326" i="25"/>
  <c r="F1325" i="25"/>
  <c r="F1324" i="25"/>
  <c r="F1323" i="25"/>
  <c r="F1322" i="25"/>
  <c r="F1321" i="25"/>
  <c r="F1320" i="25"/>
  <c r="F1319" i="25"/>
  <c r="F1318" i="25"/>
  <c r="F1317" i="25"/>
  <c r="F1311" i="25"/>
  <c r="F1310" i="25"/>
  <c r="F1309" i="25"/>
  <c r="F1308" i="25"/>
  <c r="F1307" i="25"/>
  <c r="F1306" i="25"/>
  <c r="F1305" i="25"/>
  <c r="F1304" i="25"/>
  <c r="F1303" i="25"/>
  <c r="F1301" i="25"/>
  <c r="F1300" i="25"/>
  <c r="F1299" i="25"/>
  <c r="F1298" i="25"/>
  <c r="F1297" i="25"/>
  <c r="F1296" i="25"/>
  <c r="F1295" i="25"/>
  <c r="F1294" i="25"/>
  <c r="F1293" i="25"/>
  <c r="F1291" i="25"/>
  <c r="F1290" i="25"/>
  <c r="F1289" i="25"/>
  <c r="F1287" i="25"/>
  <c r="F1286" i="25"/>
  <c r="F1284" i="25"/>
  <c r="F1283" i="25"/>
  <c r="F1282" i="25"/>
  <c r="F1281" i="25"/>
  <c r="F1280" i="25"/>
  <c r="F1279" i="25"/>
  <c r="F1278" i="25"/>
  <c r="F1277" i="25"/>
  <c r="F1274" i="25"/>
  <c r="F1273" i="25"/>
  <c r="F1272" i="25"/>
  <c r="F1271" i="25"/>
  <c r="F1270" i="25"/>
  <c r="F1269" i="25"/>
  <c r="F1267" i="25"/>
  <c r="F1266" i="25"/>
  <c r="F1265" i="25"/>
  <c r="F1264" i="25"/>
  <c r="F1263" i="25"/>
  <c r="F1262" i="25"/>
  <c r="F1261" i="25"/>
  <c r="F1260" i="25"/>
  <c r="F1259" i="25"/>
  <c r="F1257" i="25"/>
  <c r="F1256" i="25"/>
  <c r="F1255" i="25"/>
  <c r="F1254" i="25"/>
  <c r="F1253" i="25"/>
  <c r="F1252" i="25"/>
  <c r="F1250" i="25"/>
  <c r="F1249" i="25"/>
  <c r="F1248" i="25"/>
  <c r="F1247" i="25"/>
  <c r="F1246" i="25"/>
  <c r="F1245" i="25"/>
  <c r="F1244" i="25"/>
  <c r="F1243" i="25"/>
  <c r="F1242" i="25"/>
  <c r="F1241" i="25"/>
  <c r="F1240" i="25"/>
  <c r="F1239" i="25"/>
  <c r="F1237" i="25"/>
  <c r="F1236" i="25"/>
  <c r="F1235" i="25"/>
  <c r="F1234" i="25"/>
  <c r="F1233" i="25"/>
  <c r="F1231" i="25"/>
  <c r="F1230" i="25"/>
  <c r="F1229" i="25"/>
  <c r="F1228" i="25"/>
  <c r="F1227" i="25"/>
  <c r="F1226" i="25"/>
  <c r="F1225" i="25"/>
  <c r="F1224" i="25"/>
  <c r="F1223" i="25"/>
  <c r="F1222" i="25"/>
  <c r="F1221" i="25"/>
  <c r="F1220" i="25"/>
  <c r="F1219" i="25"/>
  <c r="F1218" i="25"/>
  <c r="F1217" i="25"/>
  <c r="F1216" i="25"/>
  <c r="F1215" i="25"/>
  <c r="F1214" i="25"/>
  <c r="F1213" i="25"/>
  <c r="F1212" i="25"/>
  <c r="F1211" i="25"/>
  <c r="F1210" i="25"/>
  <c r="F1209" i="25"/>
  <c r="F1207" i="25"/>
  <c r="F1206" i="25"/>
  <c r="F1205" i="25"/>
  <c r="F1204" i="25"/>
  <c r="F1203" i="25"/>
  <c r="F1202" i="25"/>
  <c r="F1200" i="25"/>
  <c r="F1199" i="25"/>
  <c r="F1198" i="25"/>
  <c r="F1197" i="25"/>
  <c r="F1196" i="25"/>
  <c r="F1195" i="25"/>
  <c r="F1194" i="25"/>
  <c r="F1193" i="25"/>
  <c r="F1192" i="25"/>
  <c r="F1191" i="25"/>
  <c r="F1190" i="25"/>
  <c r="F1189" i="25"/>
  <c r="F1188" i="25"/>
  <c r="F1187" i="25"/>
  <c r="F1186" i="25"/>
  <c r="F1185" i="25"/>
  <c r="F1184" i="25"/>
  <c r="F1183" i="25"/>
  <c r="F1182" i="25"/>
  <c r="F1181" i="25"/>
  <c r="F1180" i="25"/>
  <c r="F1179" i="25"/>
  <c r="F1178" i="25"/>
  <c r="F1177" i="25"/>
  <c r="F1176" i="25"/>
  <c r="F1175" i="25"/>
  <c r="F1173" i="25"/>
  <c r="F1172" i="25"/>
  <c r="F1171" i="25"/>
  <c r="F1170" i="25"/>
  <c r="F1169" i="25"/>
  <c r="F1168" i="25"/>
  <c r="F1167" i="25"/>
  <c r="F1165" i="25"/>
  <c r="F1164" i="25"/>
  <c r="F1163" i="25"/>
  <c r="F1162" i="25"/>
  <c r="F1161" i="25"/>
  <c r="F1160" i="25"/>
  <c r="F1158" i="25"/>
  <c r="F1157" i="25"/>
  <c r="F1156" i="25"/>
  <c r="F1154" i="25"/>
  <c r="F1153" i="25"/>
  <c r="F1151" i="25"/>
  <c r="F1150" i="25"/>
  <c r="F1149" i="25"/>
  <c r="F1147" i="25"/>
  <c r="F1146" i="25"/>
  <c r="F1145" i="25"/>
  <c r="F1144" i="25"/>
  <c r="F1142" i="25"/>
  <c r="F1141" i="25"/>
  <c r="F1140" i="25"/>
  <c r="F1139" i="25"/>
  <c r="F1138" i="25"/>
  <c r="F1137" i="25"/>
  <c r="F1136" i="25"/>
  <c r="F1135" i="25"/>
  <c r="F1134" i="25"/>
  <c r="F1133" i="25"/>
  <c r="F1132" i="25"/>
  <c r="F1131" i="25"/>
  <c r="F1130" i="25"/>
  <c r="F1129" i="25"/>
  <c r="F1128" i="25"/>
  <c r="F1127" i="25"/>
  <c r="F1126" i="25"/>
  <c r="F1125" i="25"/>
  <c r="F1124" i="25"/>
  <c r="F1118" i="25"/>
  <c r="F1117" i="25"/>
  <c r="F1116" i="25"/>
  <c r="F1115" i="25"/>
  <c r="F1114" i="25"/>
  <c r="F1112" i="25"/>
  <c r="F1111" i="25"/>
  <c r="F1110" i="25"/>
  <c r="F1109" i="25"/>
  <c r="F1108" i="25"/>
  <c r="F1106" i="25"/>
  <c r="F1105" i="25"/>
  <c r="F1104" i="25"/>
  <c r="F1103" i="25"/>
  <c r="F1102" i="25"/>
  <c r="F1101" i="25"/>
  <c r="F1100" i="25"/>
  <c r="F1099" i="25"/>
  <c r="F1097" i="25"/>
  <c r="F1096" i="25"/>
  <c r="F1095" i="25"/>
  <c r="F1094" i="25"/>
  <c r="F1093" i="25"/>
  <c r="F1092" i="25"/>
  <c r="F1090" i="25"/>
  <c r="F1089" i="25"/>
  <c r="F1088" i="25"/>
  <c r="F1087" i="25"/>
  <c r="F1086" i="25"/>
  <c r="F1085" i="25"/>
  <c r="F1084" i="25"/>
  <c r="F1083" i="25"/>
  <c r="F1082" i="25"/>
  <c r="F1080" i="25"/>
  <c r="F1079" i="25"/>
  <c r="F1078" i="25"/>
  <c r="F1077" i="25"/>
  <c r="F1076" i="25"/>
  <c r="F1075" i="25"/>
  <c r="F1074" i="25"/>
  <c r="F1073" i="25"/>
  <c r="F1072" i="25"/>
  <c r="F1071" i="25"/>
  <c r="F1070" i="25"/>
  <c r="F1069" i="25"/>
  <c r="F1068" i="25"/>
  <c r="F1066" i="25"/>
  <c r="F1065" i="25"/>
  <c r="F1063" i="25"/>
  <c r="F1062" i="25"/>
  <c r="F1061" i="25"/>
  <c r="F1060" i="25"/>
  <c r="F1059" i="25"/>
  <c r="F1058" i="25"/>
  <c r="F1057" i="25"/>
  <c r="F1056" i="25"/>
  <c r="F1055" i="25"/>
  <c r="F1054" i="25"/>
  <c r="F1053" i="25"/>
  <c r="F1052" i="25"/>
  <c r="F1051" i="25"/>
  <c r="F1049" i="25"/>
  <c r="F1048" i="25"/>
  <c r="F1046" i="25"/>
  <c r="F1045" i="25"/>
  <c r="F1044" i="25"/>
  <c r="F1043" i="25"/>
  <c r="F1040" i="25"/>
  <c r="F1039" i="25"/>
  <c r="F1038" i="25"/>
  <c r="F1037" i="25"/>
  <c r="F1036" i="25"/>
  <c r="F1034" i="25"/>
  <c r="F1033" i="25"/>
  <c r="F1032" i="25"/>
  <c r="F1031" i="25"/>
  <c r="F1030" i="25"/>
  <c r="F1029" i="25"/>
  <c r="F1028" i="25"/>
  <c r="F1025" i="25"/>
  <c r="F1024" i="25"/>
  <c r="F1022" i="25"/>
  <c r="F1021" i="25"/>
  <c r="F1020" i="25"/>
  <c r="F1018" i="25"/>
  <c r="F1017" i="25"/>
  <c r="F1016" i="25"/>
  <c r="F1015" i="25"/>
  <c r="F1014" i="25"/>
  <c r="F1013" i="25"/>
  <c r="F1012" i="25"/>
  <c r="F1011" i="25"/>
  <c r="F1010" i="25"/>
  <c r="F1007" i="25"/>
  <c r="F1006" i="25"/>
  <c r="F1003" i="25"/>
  <c r="F1002" i="25"/>
  <c r="F1001" i="25"/>
  <c r="F1000" i="25"/>
  <c r="F999" i="25"/>
  <c r="F998" i="25"/>
  <c r="F996" i="25"/>
  <c r="F995" i="25"/>
  <c r="F994" i="25"/>
  <c r="F993" i="25"/>
  <c r="F991" i="25"/>
  <c r="F990" i="25"/>
  <c r="F989" i="25"/>
  <c r="F988" i="25"/>
  <c r="F987" i="25"/>
  <c r="F986" i="25"/>
  <c r="F985" i="25"/>
  <c r="F984" i="25"/>
  <c r="F983" i="25"/>
  <c r="F981" i="25"/>
  <c r="F980" i="25"/>
  <c r="F979" i="25"/>
  <c r="F978" i="25"/>
  <c r="F977" i="25"/>
  <c r="F976" i="25"/>
  <c r="F974" i="25"/>
  <c r="F973" i="25"/>
  <c r="F972" i="25"/>
  <c r="F970" i="25"/>
  <c r="F969" i="25"/>
  <c r="F967" i="25"/>
  <c r="F966" i="25"/>
  <c r="F964" i="25"/>
  <c r="F963" i="25"/>
  <c r="F962" i="25"/>
  <c r="F961" i="25"/>
  <c r="F960" i="25"/>
  <c r="F959" i="25"/>
  <c r="F958" i="25"/>
  <c r="F957" i="25"/>
  <c r="F956" i="25"/>
  <c r="F955" i="25"/>
  <c r="F954" i="25"/>
  <c r="F952" i="25"/>
  <c r="F951" i="25"/>
  <c r="F950" i="25"/>
  <c r="F949" i="25"/>
  <c r="F946" i="25"/>
  <c r="F944" i="25"/>
  <c r="F943" i="25"/>
  <c r="F942" i="25"/>
  <c r="F941" i="25"/>
  <c r="F940" i="25"/>
  <c r="F939" i="25"/>
  <c r="F937" i="25"/>
  <c r="F936" i="25"/>
  <c r="F935" i="25"/>
  <c r="F934" i="25"/>
  <c r="F933" i="25"/>
  <c r="F931" i="25"/>
  <c r="F930" i="25"/>
  <c r="F929" i="25"/>
  <c r="F928" i="25"/>
  <c r="F926" i="25"/>
  <c r="F925" i="25"/>
  <c r="F924" i="25"/>
  <c r="F917" i="25"/>
  <c r="F916" i="25"/>
  <c r="F915" i="25"/>
  <c r="F914" i="25"/>
  <c r="F913" i="25"/>
  <c r="F912" i="25"/>
  <c r="F911" i="25"/>
  <c r="F910" i="25"/>
  <c r="F909" i="25"/>
  <c r="F907" i="25"/>
  <c r="F906" i="25"/>
  <c r="F905" i="25"/>
  <c r="F904" i="25"/>
  <c r="F903" i="25"/>
  <c r="F902" i="25"/>
  <c r="F901" i="25"/>
  <c r="F900" i="25"/>
  <c r="F898" i="25"/>
  <c r="F897" i="25"/>
  <c r="F896" i="25"/>
  <c r="F889" i="25"/>
  <c r="F888" i="25"/>
  <c r="F887" i="25"/>
  <c r="F886" i="25"/>
  <c r="F885" i="25"/>
  <c r="F884" i="25"/>
  <c r="F883" i="25"/>
  <c r="F882" i="25"/>
  <c r="F881" i="25"/>
  <c r="F880" i="25"/>
  <c r="F879" i="25"/>
  <c r="F878" i="25"/>
  <c r="F877" i="25"/>
  <c r="F876" i="25"/>
  <c r="F875" i="25"/>
  <c r="F874" i="25"/>
  <c r="F873" i="25"/>
  <c r="F872" i="25"/>
  <c r="F871" i="25"/>
  <c r="F870" i="25"/>
  <c r="F869" i="25"/>
  <c r="F868" i="25"/>
  <c r="F867" i="25"/>
  <c r="F866" i="25"/>
  <c r="F865" i="25"/>
  <c r="F864" i="25"/>
  <c r="F863" i="25"/>
  <c r="F862" i="25"/>
  <c r="F861" i="25"/>
  <c r="F859" i="25"/>
  <c r="F858" i="25"/>
  <c r="F857" i="25"/>
  <c r="F856" i="25"/>
  <c r="F855" i="25"/>
  <c r="F854" i="25"/>
  <c r="F853" i="25"/>
  <c r="F852" i="25"/>
  <c r="F851" i="25"/>
  <c r="F849" i="25"/>
  <c r="F848" i="25"/>
  <c r="F847" i="25"/>
  <c r="F846" i="25"/>
  <c r="F845" i="25"/>
  <c r="F844" i="25"/>
  <c r="F843" i="25"/>
  <c r="F842" i="25"/>
  <c r="F841" i="25"/>
  <c r="F839" i="25"/>
  <c r="F838" i="25"/>
  <c r="F837" i="25"/>
  <c r="F836" i="25"/>
  <c r="F835" i="25"/>
  <c r="F834" i="25"/>
  <c r="F833" i="25"/>
  <c r="F831" i="25"/>
  <c r="F830" i="25"/>
  <c r="F829" i="25"/>
  <c r="F828" i="25"/>
  <c r="F826" i="25"/>
  <c r="F825" i="25"/>
  <c r="F824" i="25"/>
  <c r="F823" i="25"/>
  <c r="F822" i="25"/>
  <c r="F821" i="25"/>
  <c r="F820" i="25"/>
  <c r="F819" i="25"/>
  <c r="F818" i="25"/>
  <c r="F816" i="25"/>
  <c r="F815" i="25"/>
  <c r="F814" i="25"/>
  <c r="F813" i="25"/>
  <c r="F810" i="25"/>
  <c r="F809" i="25"/>
  <c r="F808" i="25"/>
  <c r="F807" i="25"/>
  <c r="F806" i="25"/>
  <c r="F805" i="25"/>
  <c r="F804" i="25"/>
  <c r="F803" i="25"/>
  <c r="F802" i="25"/>
  <c r="F801" i="25"/>
  <c r="F799" i="25"/>
  <c r="F798" i="25"/>
  <c r="F797" i="25"/>
  <c r="F796" i="25"/>
  <c r="F790" i="25"/>
  <c r="F789" i="25"/>
  <c r="F788" i="25"/>
  <c r="F787" i="25"/>
  <c r="F786" i="25"/>
  <c r="F785" i="25"/>
  <c r="F783" i="25"/>
  <c r="F782" i="25"/>
  <c r="F781" i="25"/>
  <c r="F780" i="25"/>
  <c r="F779" i="25"/>
  <c r="F778" i="25"/>
  <c r="F772" i="25"/>
  <c r="F771" i="25"/>
  <c r="F770" i="25"/>
  <c r="F769" i="25"/>
  <c r="F768" i="25"/>
  <c r="F767" i="25"/>
  <c r="F765" i="25"/>
  <c r="F764" i="25"/>
  <c r="F763" i="25"/>
  <c r="F762" i="25"/>
  <c r="F761" i="25"/>
  <c r="F760" i="25"/>
  <c r="F759" i="25"/>
  <c r="F758" i="25"/>
  <c r="F757" i="25"/>
  <c r="F756" i="25"/>
  <c r="F754" i="25"/>
  <c r="F753" i="25"/>
  <c r="F752" i="25"/>
  <c r="F751" i="25"/>
  <c r="F750" i="25"/>
  <c r="F749" i="25"/>
  <c r="F748" i="25"/>
  <c r="F746" i="25"/>
  <c r="F745" i="25"/>
  <c r="F744" i="25"/>
  <c r="F743" i="25"/>
  <c r="F741" i="25"/>
  <c r="F740" i="25"/>
  <c r="F739" i="25"/>
  <c r="F738" i="25"/>
  <c r="F737" i="25"/>
  <c r="F736" i="25"/>
  <c r="F735" i="25"/>
  <c r="F734" i="25"/>
  <c r="F733" i="25"/>
  <c r="F732" i="25"/>
  <c r="F731" i="25"/>
  <c r="F730" i="25"/>
  <c r="F729" i="25"/>
  <c r="F727" i="25"/>
  <c r="F726" i="25"/>
  <c r="F725" i="25"/>
  <c r="F724" i="25"/>
  <c r="F723" i="25"/>
  <c r="F722" i="25"/>
  <c r="F721" i="25"/>
  <c r="F720" i="25"/>
  <c r="F719" i="25"/>
  <c r="F717" i="25"/>
  <c r="F716" i="25"/>
  <c r="F715" i="25"/>
  <c r="F713" i="25"/>
  <c r="F712" i="25"/>
  <c r="F710" i="25"/>
  <c r="F709" i="25"/>
  <c r="F708" i="25"/>
  <c r="F707" i="25"/>
  <c r="F706" i="25"/>
  <c r="F704" i="25"/>
  <c r="F703" i="25"/>
  <c r="F702" i="25"/>
  <c r="F701" i="25"/>
  <c r="F699" i="25"/>
  <c r="F698" i="25"/>
  <c r="F697" i="25"/>
  <c r="F696" i="25"/>
  <c r="F694" i="25"/>
  <c r="F693" i="25"/>
  <c r="F692" i="25"/>
  <c r="F691" i="25"/>
  <c r="F689" i="25"/>
  <c r="F688" i="25"/>
  <c r="F686" i="25"/>
  <c r="F685" i="25"/>
  <c r="F684" i="25"/>
  <c r="F682" i="25"/>
  <c r="F681" i="25"/>
  <c r="F680" i="25"/>
  <c r="F679" i="25"/>
  <c r="F677" i="25"/>
  <c r="F676" i="25"/>
  <c r="F674" i="25"/>
  <c r="F673" i="25"/>
  <c r="F672" i="25"/>
  <c r="F671" i="25"/>
  <c r="F670" i="25"/>
  <c r="F669" i="25"/>
  <c r="F668" i="25"/>
  <c r="F666" i="25"/>
  <c r="F665" i="25"/>
  <c r="F664" i="25"/>
  <c r="F663" i="25"/>
  <c r="F662" i="25"/>
  <c r="F660" i="25"/>
  <c r="F659" i="25"/>
  <c r="F658" i="25"/>
  <c r="F657" i="25"/>
  <c r="F655" i="25"/>
  <c r="F654" i="25"/>
  <c r="F653" i="25"/>
  <c r="F652" i="25"/>
  <c r="F649" i="25"/>
  <c r="F648" i="25"/>
  <c r="F647" i="25"/>
  <c r="F646" i="25"/>
  <c r="F645" i="25"/>
  <c r="F644" i="25"/>
  <c r="F643" i="25"/>
  <c r="F642" i="25"/>
  <c r="F641" i="25"/>
  <c r="F640" i="25"/>
  <c r="F639" i="25"/>
  <c r="F638" i="25"/>
  <c r="F636" i="25"/>
  <c r="F631" i="25"/>
  <c r="F630" i="25"/>
  <c r="F629" i="25"/>
  <c r="F628" i="25"/>
  <c r="F627" i="25"/>
  <c r="F626" i="25"/>
  <c r="F625" i="25"/>
  <c r="F624" i="25"/>
  <c r="F623" i="25"/>
  <c r="F622" i="25"/>
  <c r="F621" i="25"/>
  <c r="F619" i="25"/>
  <c r="F618" i="25"/>
  <c r="F617" i="25"/>
  <c r="F616" i="25"/>
  <c r="F615" i="25"/>
  <c r="F614" i="25"/>
  <c r="F613" i="25"/>
  <c r="F612" i="25"/>
  <c r="F611" i="25"/>
  <c r="F610" i="25"/>
  <c r="F609" i="25"/>
  <c r="F608" i="25"/>
  <c r="F607" i="25"/>
  <c r="F606" i="25"/>
  <c r="F605" i="25"/>
  <c r="F604" i="25"/>
  <c r="F603" i="25"/>
  <c r="F602" i="25"/>
  <c r="F601" i="25"/>
  <c r="F600" i="25"/>
  <c r="F598" i="25"/>
  <c r="F597" i="25"/>
  <c r="F596" i="25"/>
  <c r="F595" i="25"/>
  <c r="F594" i="25"/>
  <c r="F593" i="25"/>
  <c r="F592" i="25"/>
  <c r="F591" i="25"/>
  <c r="F590" i="25"/>
  <c r="F589" i="25"/>
  <c r="F588" i="25"/>
  <c r="F587" i="25"/>
  <c r="F586" i="25"/>
  <c r="F585" i="25"/>
  <c r="F584" i="25"/>
  <c r="F583" i="25"/>
  <c r="F581" i="25"/>
  <c r="F580" i="25"/>
  <c r="F579" i="25"/>
  <c r="F578" i="25"/>
  <c r="F576" i="25"/>
  <c r="F575" i="25"/>
  <c r="F570" i="25"/>
  <c r="F569" i="25"/>
  <c r="F568" i="25"/>
  <c r="F567" i="25"/>
  <c r="F566" i="25"/>
  <c r="F564" i="25"/>
  <c r="F563" i="25"/>
  <c r="F562" i="25"/>
  <c r="F561" i="25"/>
  <c r="F560" i="25"/>
  <c r="F559" i="25"/>
  <c r="F558" i="25"/>
  <c r="F557" i="25"/>
  <c r="F556" i="25"/>
  <c r="F555" i="25"/>
  <c r="F554" i="25"/>
  <c r="F552" i="25"/>
  <c r="F551" i="25"/>
  <c r="F550" i="25"/>
  <c r="F549" i="25"/>
  <c r="F548" i="25"/>
  <c r="F546" i="25"/>
  <c r="F545" i="25"/>
  <c r="F544" i="25"/>
  <c r="F543" i="25"/>
  <c r="F542" i="25"/>
  <c r="F541" i="25"/>
  <c r="F539" i="25"/>
  <c r="F538" i="25"/>
  <c r="F532" i="25"/>
  <c r="F531" i="25"/>
  <c r="F530" i="25"/>
  <c r="F528" i="25"/>
  <c r="F526" i="25"/>
  <c r="F525" i="25"/>
  <c r="F524" i="25"/>
  <c r="F522" i="25"/>
  <c r="F521" i="25"/>
  <c r="F520" i="25"/>
  <c r="F514" i="25"/>
  <c r="F513" i="25"/>
  <c r="F512" i="25"/>
  <c r="F510" i="25"/>
  <c r="F509" i="25"/>
  <c r="F508" i="25"/>
  <c r="F507" i="25"/>
  <c r="F505" i="25"/>
  <c r="F504" i="25"/>
  <c r="F503" i="25"/>
  <c r="F502" i="25"/>
  <c r="F499" i="25"/>
  <c r="F498" i="25"/>
  <c r="F497" i="25"/>
  <c r="F496" i="25"/>
  <c r="F495" i="25"/>
  <c r="F494" i="25"/>
  <c r="F493" i="25"/>
  <c r="F492" i="25"/>
  <c r="F490" i="25"/>
  <c r="F489" i="25"/>
  <c r="F488" i="25"/>
  <c r="F481" i="25"/>
  <c r="F480" i="25"/>
  <c r="F478" i="25"/>
  <c r="F477" i="25"/>
  <c r="F476" i="25"/>
  <c r="F475" i="25"/>
  <c r="F473" i="25"/>
  <c r="F472" i="25"/>
  <c r="F471" i="25"/>
  <c r="F470" i="25"/>
  <c r="F469" i="25"/>
  <c r="F468" i="25"/>
  <c r="F466" i="25"/>
  <c r="F465" i="25"/>
  <c r="F464" i="25"/>
  <c r="F463" i="25"/>
  <c r="F460" i="25"/>
  <c r="F459" i="25"/>
  <c r="F458" i="25"/>
  <c r="F457" i="25"/>
  <c r="F456" i="25"/>
  <c r="F455" i="25"/>
  <c r="F454" i="25"/>
  <c r="F453" i="25"/>
  <c r="F452" i="25"/>
  <c r="F450" i="25"/>
  <c r="F449" i="25"/>
  <c r="F448" i="25"/>
  <c r="F447" i="25"/>
  <c r="F446" i="25"/>
  <c r="F445" i="25"/>
  <c r="F439" i="25"/>
  <c r="F438" i="25"/>
  <c r="F437" i="25"/>
  <c r="F436" i="25"/>
  <c r="F435" i="25"/>
  <c r="F434" i="25"/>
  <c r="F433" i="25"/>
  <c r="F432" i="25"/>
  <c r="F431" i="25"/>
  <c r="F429" i="25"/>
  <c r="F428" i="25"/>
  <c r="F427" i="25"/>
  <c r="F426" i="25"/>
  <c r="F425" i="25"/>
  <c r="F423" i="25"/>
  <c r="F422" i="25"/>
  <c r="F421" i="25"/>
  <c r="F420" i="25"/>
  <c r="F419" i="25"/>
  <c r="F418" i="25"/>
  <c r="F416" i="25"/>
  <c r="F415" i="25"/>
  <c r="F414" i="25"/>
  <c r="F413" i="25"/>
  <c r="F412" i="25"/>
  <c r="F411" i="25"/>
  <c r="F410" i="25"/>
  <c r="F409" i="25"/>
  <c r="F408" i="25"/>
  <c r="F407" i="25"/>
  <c r="F406" i="25"/>
  <c r="F405" i="25"/>
  <c r="F404" i="25"/>
  <c r="F403" i="25"/>
  <c r="F401" i="25"/>
  <c r="F400" i="25"/>
  <c r="F399" i="25"/>
  <c r="F398" i="25"/>
  <c r="F397" i="25"/>
  <c r="F396" i="25"/>
  <c r="F395" i="25"/>
  <c r="F394" i="25"/>
  <c r="F393" i="25"/>
  <c r="F392" i="25"/>
  <c r="F391" i="25"/>
  <c r="F390" i="25"/>
  <c r="F389" i="25"/>
  <c r="F388" i="25"/>
  <c r="F387" i="25"/>
  <c r="F386" i="25"/>
  <c r="F385" i="25"/>
  <c r="F384" i="25"/>
  <c r="F383" i="25"/>
  <c r="F382" i="25"/>
  <c r="F381" i="25"/>
  <c r="F380" i="25"/>
  <c r="F379" i="25"/>
  <c r="F378" i="25"/>
  <c r="F377" i="25"/>
  <c r="F376" i="25"/>
  <c r="F375" i="25"/>
  <c r="F374" i="25"/>
  <c r="F373" i="25"/>
  <c r="F370" i="25"/>
  <c r="F369" i="25"/>
  <c r="F368" i="25"/>
  <c r="F367" i="25"/>
  <c r="F361" i="25"/>
  <c r="F360" i="25"/>
  <c r="F359" i="25"/>
  <c r="F358" i="25"/>
  <c r="F357" i="25"/>
  <c r="F355" i="25"/>
  <c r="F354" i="25"/>
  <c r="F353" i="25"/>
  <c r="F352" i="25"/>
  <c r="F351" i="25"/>
  <c r="F350" i="25"/>
  <c r="F349" i="25"/>
  <c r="F348" i="25"/>
  <c r="F346" i="25"/>
  <c r="F345" i="25"/>
  <c r="F344" i="25"/>
  <c r="F342" i="25"/>
  <c r="F341" i="25"/>
  <c r="F335" i="25"/>
  <c r="F334" i="25"/>
  <c r="F333" i="25"/>
  <c r="F332" i="25"/>
  <c r="F331" i="25"/>
  <c r="F330" i="25"/>
  <c r="F329" i="25"/>
  <c r="F327" i="25"/>
  <c r="F326" i="25"/>
  <c r="F325" i="25"/>
  <c r="F324" i="25"/>
  <c r="F322" i="25"/>
  <c r="F321" i="25"/>
  <c r="F319" i="25"/>
  <c r="F318" i="25"/>
  <c r="F317" i="25"/>
  <c r="F316" i="25"/>
  <c r="F314" i="25"/>
  <c r="F313" i="25"/>
  <c r="F312" i="25"/>
  <c r="F311" i="25"/>
  <c r="F310" i="25"/>
  <c r="F308" i="25"/>
  <c r="F307" i="25"/>
  <c r="F305" i="25"/>
  <c r="F304" i="25"/>
  <c r="F299" i="25"/>
  <c r="F298" i="25"/>
  <c r="F297" i="25"/>
  <c r="F296" i="25"/>
  <c r="F295" i="25"/>
  <c r="F294" i="25"/>
  <c r="F293" i="25"/>
  <c r="F291" i="25"/>
  <c r="F290" i="25"/>
  <c r="F289" i="25"/>
  <c r="F287" i="25"/>
  <c r="F286" i="25"/>
  <c r="F285" i="25"/>
  <c r="F284" i="25"/>
  <c r="F283" i="25"/>
  <c r="F282" i="25"/>
  <c r="F281" i="25"/>
  <c r="F280" i="25"/>
  <c r="F279" i="25"/>
  <c r="F278" i="25"/>
  <c r="F277" i="25"/>
  <c r="F276" i="25"/>
  <c r="F275" i="25"/>
  <c r="F274" i="25"/>
  <c r="F273" i="25"/>
  <c r="F272" i="25"/>
  <c r="F271" i="25"/>
  <c r="F270" i="25"/>
  <c r="F268" i="25"/>
  <c r="F267" i="25"/>
  <c r="F265" i="25"/>
  <c r="F264" i="25"/>
  <c r="F263" i="25"/>
  <c r="F262" i="25"/>
  <c r="F261" i="25"/>
  <c r="F260" i="25"/>
  <c r="F258" i="25"/>
  <c r="F257" i="25"/>
  <c r="F256" i="25"/>
  <c r="F255" i="25"/>
  <c r="F254" i="25"/>
  <c r="F252" i="25"/>
  <c r="F251" i="25"/>
  <c r="F250" i="25"/>
  <c r="F249" i="25"/>
  <c r="F248" i="25"/>
  <c r="F247" i="25"/>
  <c r="F246" i="25"/>
  <c r="F245" i="25"/>
  <c r="F243" i="25"/>
  <c r="F242" i="25"/>
  <c r="F241" i="25"/>
  <c r="F240" i="25"/>
  <c r="F239" i="25"/>
  <c r="F238" i="25"/>
  <c r="F236" i="25"/>
  <c r="F235" i="25"/>
  <c r="F234" i="25"/>
  <c r="F232" i="25"/>
  <c r="F230" i="25"/>
  <c r="F229" i="25"/>
  <c r="F227" i="25"/>
  <c r="F226" i="25"/>
  <c r="F225" i="25"/>
  <c r="F224" i="25"/>
  <c r="F222" i="25"/>
  <c r="F221" i="25"/>
  <c r="F220" i="25"/>
  <c r="F218" i="25"/>
  <c r="F217" i="25"/>
  <c r="F215" i="25"/>
  <c r="F214" i="25"/>
  <c r="F208" i="25"/>
  <c r="F207" i="25"/>
  <c r="F206" i="25"/>
  <c r="F205" i="25"/>
  <c r="F204" i="25"/>
  <c r="F203" i="25"/>
  <c r="F202" i="25"/>
  <c r="F201" i="25"/>
  <c r="F200" i="25"/>
  <c r="F199" i="25"/>
  <c r="F198" i="25"/>
  <c r="F197" i="25"/>
  <c r="F196" i="25"/>
  <c r="F195" i="25"/>
  <c r="F194" i="25"/>
  <c r="F192" i="25"/>
  <c r="F191" i="25"/>
  <c r="F190" i="25"/>
  <c r="F188" i="25"/>
  <c r="F187" i="25"/>
  <c r="F186" i="25"/>
  <c r="F184" i="25"/>
  <c r="F182" i="25"/>
  <c r="F181" i="25"/>
  <c r="F180" i="25"/>
  <c r="F179" i="25"/>
  <c r="F178" i="25"/>
  <c r="F177" i="25"/>
  <c r="F176" i="25"/>
  <c r="F175" i="25"/>
  <c r="F174" i="25"/>
  <c r="F173" i="25"/>
  <c r="F171" i="25"/>
  <c r="F170" i="25"/>
  <c r="F169" i="25"/>
  <c r="F168" i="25"/>
  <c r="F167" i="25"/>
  <c r="F166" i="25"/>
  <c r="F165" i="25"/>
  <c r="F164" i="25"/>
  <c r="F163" i="25"/>
  <c r="F162" i="25"/>
  <c r="F161" i="25"/>
  <c r="F160" i="25"/>
  <c r="F158" i="25"/>
  <c r="F157" i="25"/>
  <c r="F155" i="25"/>
  <c r="F154" i="25"/>
  <c r="F152" i="25"/>
  <c r="F151" i="25"/>
  <c r="F150" i="25"/>
  <c r="F149" i="25"/>
  <c r="F148" i="25"/>
  <c r="F146" i="25"/>
  <c r="F145" i="25"/>
  <c r="F143" i="25"/>
  <c r="F142" i="25"/>
  <c r="F141" i="25"/>
  <c r="F140" i="25"/>
  <c r="F139" i="25"/>
  <c r="F138" i="25"/>
  <c r="F137" i="25"/>
  <c r="F136" i="25"/>
  <c r="F135" i="25"/>
  <c r="F134" i="25"/>
  <c r="F133" i="25"/>
  <c r="F132" i="25"/>
  <c r="F131" i="25"/>
  <c r="F130" i="25"/>
  <c r="F128" i="25"/>
  <c r="F127" i="25"/>
  <c r="F126" i="25"/>
  <c r="F124" i="25"/>
  <c r="F123" i="25"/>
  <c r="F122" i="25"/>
  <c r="F121" i="25"/>
  <c r="F120" i="25"/>
  <c r="F119" i="25"/>
  <c r="F118" i="25"/>
  <c r="F117" i="25"/>
  <c r="F116" i="25"/>
  <c r="F115" i="25"/>
  <c r="F114" i="25"/>
  <c r="F113" i="25"/>
  <c r="F112" i="25"/>
  <c r="F111" i="25"/>
  <c r="F110" i="25"/>
  <c r="F107" i="25"/>
  <c r="F106" i="25"/>
  <c r="F105" i="25"/>
  <c r="F104" i="25"/>
  <c r="F103" i="25"/>
  <c r="F102" i="25"/>
  <c r="F101" i="25"/>
  <c r="F100" i="25"/>
  <c r="F94" i="25"/>
  <c r="F93" i="25"/>
  <c r="F92" i="25"/>
  <c r="F91" i="25"/>
  <c r="F90" i="25"/>
  <c r="F89" i="25"/>
  <c r="F88" i="25"/>
  <c r="F87" i="25"/>
  <c r="F86" i="25"/>
  <c r="F85" i="25"/>
  <c r="F84" i="25"/>
  <c r="F83" i="25"/>
  <c r="F82" i="25"/>
  <c r="F80" i="25"/>
  <c r="F79" i="25"/>
  <c r="F78" i="25"/>
  <c r="F77" i="25"/>
  <c r="F76" i="25"/>
  <c r="F75" i="25"/>
  <c r="F74" i="25"/>
  <c r="F73" i="25"/>
  <c r="F72" i="25"/>
  <c r="F71" i="25"/>
  <c r="F70" i="25"/>
  <c r="F69" i="25"/>
  <c r="F67" i="25"/>
  <c r="F66" i="25"/>
  <c r="F65" i="25"/>
  <c r="F64" i="25"/>
  <c r="F63" i="25"/>
  <c r="F62" i="25"/>
  <c r="F61" i="25"/>
  <c r="F60" i="25"/>
  <c r="F59" i="25"/>
  <c r="F58" i="25"/>
  <c r="F57" i="25"/>
  <c r="F56" i="25"/>
  <c r="F54" i="25"/>
  <c r="F53" i="25"/>
  <c r="F52" i="25"/>
  <c r="F50" i="25"/>
  <c r="F49" i="25"/>
  <c r="F47" i="25"/>
  <c r="F46" i="25"/>
  <c r="F45" i="25"/>
  <c r="F44" i="25"/>
  <c r="F42" i="25"/>
  <c r="F41" i="25"/>
  <c r="F40" i="25"/>
  <c r="F39" i="25"/>
  <c r="F37" i="25"/>
  <c r="F36" i="25"/>
  <c r="F35" i="25"/>
  <c r="F34" i="25"/>
  <c r="F33" i="25"/>
  <c r="F32" i="25"/>
  <c r="F31" i="25"/>
  <c r="F30" i="25"/>
  <c r="F29" i="25"/>
  <c r="F28" i="25"/>
  <c r="F27" i="25"/>
  <c r="F26" i="25"/>
  <c r="F24" i="25"/>
  <c r="F23" i="25"/>
  <c r="F21" i="25"/>
  <c r="F20" i="25"/>
  <c r="F19" i="25"/>
  <c r="F18" i="25"/>
  <c r="F17" i="25"/>
  <c r="F16" i="25"/>
  <c r="F15" i="25"/>
  <c r="F14" i="25"/>
  <c r="F13" i="25"/>
  <c r="F12" i="25"/>
  <c r="F11" i="25"/>
  <c r="F10" i="25"/>
  <c r="F96" i="25" l="1"/>
  <c r="F1395" i="25" s="1"/>
  <c r="F363" i="25"/>
  <c r="F1399" i="25" s="1"/>
  <c r="F441" i="25"/>
  <c r="F1400" i="25" s="1"/>
  <c r="F210" i="25"/>
  <c r="F1396" i="25" s="1"/>
  <c r="F1120" i="25"/>
  <c r="F1407" i="25" s="1"/>
  <c r="F891" i="25"/>
  <c r="F1405" i="25" s="1"/>
  <c r="F1382" i="25"/>
  <c r="F1410" i="25" s="1"/>
  <c r="F792" i="25"/>
  <c r="F1404" i="25" s="1"/>
  <c r="F1353" i="25"/>
  <c r="F1409" i="25" s="1"/>
  <c r="F483" i="25"/>
  <c r="F1401" i="25" s="1"/>
  <c r="F1313" i="25"/>
  <c r="F1408" i="25" s="1"/>
  <c r="F774" i="25"/>
  <c r="F1403" i="25" s="1"/>
  <c r="F919" i="25"/>
  <c r="F1406" i="25" s="1"/>
  <c r="F301" i="25"/>
  <c r="F1397" i="25" s="1"/>
  <c r="F337" i="25"/>
  <c r="F1398" i="25" s="1"/>
  <c r="F633" i="25"/>
  <c r="F1402" i="25" s="1"/>
  <c r="F1415" i="25" l="1"/>
  <c r="F1416" i="25" s="1"/>
  <c r="B2" i="4" l="1"/>
  <c r="C2" i="4"/>
  <c r="D2" i="4"/>
  <c r="B3" i="4"/>
  <c r="C3" i="4"/>
  <c r="D3" i="4"/>
  <c r="B4" i="4"/>
  <c r="C4" i="4"/>
  <c r="D4" i="4"/>
  <c r="B5" i="4"/>
  <c r="C5" i="4"/>
  <c r="D5" i="4"/>
  <c r="B6" i="4"/>
  <c r="C6" i="4"/>
  <c r="D6" i="4"/>
  <c r="B7" i="4"/>
  <c r="C7" i="4"/>
  <c r="D7" i="4"/>
  <c r="B8" i="4"/>
  <c r="C8" i="4"/>
  <c r="D8" i="4"/>
  <c r="B9" i="4"/>
  <c r="C9" i="4"/>
  <c r="D9" i="4"/>
  <c r="B10" i="4"/>
  <c r="C10" i="4"/>
  <c r="D10" i="4"/>
  <c r="B11" i="4"/>
  <c r="C11" i="4"/>
  <c r="D11" i="4"/>
  <c r="B12" i="4"/>
  <c r="C12" i="4"/>
  <c r="D12" i="4"/>
  <c r="B13" i="4"/>
  <c r="C13" i="4"/>
  <c r="D13" i="4"/>
  <c r="B14" i="4"/>
  <c r="C14" i="4"/>
  <c r="D14" i="4"/>
  <c r="B15" i="4"/>
  <c r="C15" i="4"/>
  <c r="D15" i="4"/>
  <c r="B16" i="4"/>
  <c r="C16" i="4"/>
  <c r="D16" i="4"/>
  <c r="B17" i="4"/>
  <c r="C17" i="4"/>
  <c r="D17" i="4"/>
  <c r="B18" i="4"/>
  <c r="C18" i="4"/>
  <c r="D18" i="4"/>
  <c r="B19" i="4"/>
  <c r="C19" i="4"/>
  <c r="D19" i="4"/>
  <c r="B20" i="4"/>
  <c r="C20" i="4"/>
  <c r="D20" i="4"/>
  <c r="B21" i="4"/>
  <c r="C21" i="4"/>
  <c r="D21" i="4"/>
  <c r="B22" i="4"/>
  <c r="C22" i="4"/>
  <c r="D22" i="4"/>
  <c r="B23" i="4"/>
  <c r="C23" i="4"/>
  <c r="D23" i="4"/>
  <c r="B24" i="4"/>
  <c r="C24" i="4"/>
  <c r="D24" i="4"/>
  <c r="B25" i="4"/>
  <c r="C25" i="4"/>
  <c r="D25" i="4"/>
  <c r="B26" i="4"/>
  <c r="C26" i="4"/>
  <c r="D26" i="4"/>
  <c r="B27" i="4"/>
  <c r="C27" i="4"/>
  <c r="D27" i="4"/>
  <c r="B28" i="4"/>
  <c r="C28" i="4"/>
  <c r="D28" i="4"/>
  <c r="B29" i="4"/>
  <c r="C29" i="4"/>
  <c r="D29" i="4"/>
  <c r="B30" i="4"/>
  <c r="C30" i="4"/>
  <c r="D30" i="4"/>
  <c r="B31" i="4"/>
  <c r="C31" i="4"/>
  <c r="D31" i="4"/>
  <c r="B32" i="4"/>
  <c r="C32" i="4"/>
  <c r="D32" i="4"/>
  <c r="B33" i="4"/>
  <c r="C33" i="4"/>
  <c r="D33" i="4"/>
  <c r="B34" i="4"/>
  <c r="C34" i="4"/>
  <c r="D34" i="4"/>
  <c r="B35" i="4"/>
  <c r="C35" i="4"/>
  <c r="D35" i="4"/>
  <c r="B36" i="4"/>
  <c r="C36" i="4"/>
  <c r="D36" i="4"/>
  <c r="B37" i="4"/>
  <c r="C37" i="4"/>
  <c r="D37" i="4"/>
  <c r="B38" i="4"/>
  <c r="C38" i="4"/>
  <c r="D38" i="4"/>
  <c r="B39" i="4"/>
  <c r="C39" i="4"/>
  <c r="D39" i="4"/>
  <c r="B40" i="4"/>
  <c r="C40" i="4"/>
  <c r="D40" i="4"/>
  <c r="B41" i="4"/>
  <c r="C41" i="4"/>
  <c r="D41" i="4"/>
  <c r="B42" i="4"/>
  <c r="C42" i="4"/>
  <c r="D42" i="4"/>
  <c r="B43" i="4"/>
  <c r="C43" i="4"/>
  <c r="D43" i="4"/>
  <c r="B44" i="4"/>
  <c r="C44" i="4"/>
  <c r="D44" i="4"/>
  <c r="B45" i="4"/>
  <c r="C45" i="4"/>
  <c r="D45" i="4"/>
  <c r="B46" i="4"/>
  <c r="C46" i="4"/>
  <c r="D46" i="4"/>
  <c r="B47" i="4"/>
  <c r="C47" i="4"/>
  <c r="D47" i="4"/>
  <c r="B48" i="4"/>
  <c r="C48" i="4"/>
  <c r="D48" i="4"/>
  <c r="B49" i="4"/>
  <c r="C49" i="4"/>
  <c r="D49" i="4"/>
  <c r="B50" i="4"/>
  <c r="C50" i="4"/>
  <c r="D50" i="4"/>
  <c r="B51" i="4"/>
  <c r="C51" i="4"/>
  <c r="D51" i="4"/>
  <c r="B52" i="4"/>
  <c r="C52" i="4"/>
  <c r="D52" i="4"/>
  <c r="B53" i="4"/>
  <c r="C53" i="4"/>
  <c r="D53" i="4"/>
  <c r="B54" i="4"/>
  <c r="C54" i="4"/>
  <c r="D54" i="4"/>
  <c r="B55" i="4"/>
  <c r="C55" i="4"/>
  <c r="D55" i="4"/>
  <c r="B56" i="4"/>
  <c r="C56" i="4"/>
  <c r="D56" i="4"/>
  <c r="B57" i="4"/>
  <c r="C57" i="4"/>
  <c r="D57" i="4"/>
  <c r="B58" i="4"/>
  <c r="C58" i="4"/>
  <c r="D58" i="4"/>
  <c r="B59" i="4"/>
  <c r="C59" i="4"/>
  <c r="D59" i="4"/>
  <c r="B60" i="4"/>
  <c r="C60" i="4"/>
  <c r="D60" i="4"/>
  <c r="B61" i="4"/>
  <c r="C61" i="4"/>
  <c r="D61" i="4"/>
  <c r="B62" i="4"/>
  <c r="C62" i="4"/>
  <c r="D62" i="4"/>
  <c r="B63" i="4"/>
  <c r="C63" i="4"/>
  <c r="D63" i="4"/>
  <c r="B64" i="4"/>
  <c r="C64" i="4"/>
  <c r="D64" i="4"/>
  <c r="B65" i="4"/>
  <c r="C65" i="4"/>
  <c r="D65" i="4"/>
  <c r="B66" i="4"/>
  <c r="C66" i="4"/>
  <c r="D66" i="4"/>
  <c r="B67" i="4"/>
  <c r="C67" i="4"/>
  <c r="D67" i="4"/>
  <c r="B68" i="4"/>
  <c r="C68" i="4"/>
  <c r="D68" i="4"/>
  <c r="B69" i="4"/>
  <c r="C69" i="4"/>
  <c r="D69" i="4"/>
  <c r="B70" i="4"/>
  <c r="C70" i="4"/>
  <c r="D70" i="4"/>
  <c r="B71" i="4"/>
  <c r="C71" i="4"/>
  <c r="D71" i="4"/>
  <c r="B72" i="4"/>
  <c r="C72" i="4"/>
  <c r="D72" i="4"/>
  <c r="B73" i="4"/>
  <c r="C73" i="4"/>
  <c r="D73" i="4"/>
  <c r="B74" i="4"/>
  <c r="C74" i="4"/>
  <c r="D74" i="4"/>
  <c r="B75" i="4"/>
  <c r="C75" i="4"/>
  <c r="D75" i="4"/>
  <c r="B76" i="4"/>
  <c r="C76" i="4"/>
  <c r="D76" i="4"/>
  <c r="B77" i="4"/>
  <c r="C77" i="4"/>
  <c r="D77" i="4"/>
  <c r="B78" i="4"/>
  <c r="C78" i="4"/>
  <c r="D78" i="4"/>
  <c r="B79" i="4"/>
  <c r="C79" i="4"/>
  <c r="D79" i="4"/>
  <c r="B80" i="4"/>
  <c r="C80" i="4"/>
  <c r="D80" i="4"/>
  <c r="B81" i="4"/>
  <c r="C81" i="4"/>
  <c r="D81" i="4"/>
  <c r="B82" i="4"/>
  <c r="C82" i="4"/>
  <c r="D82" i="4"/>
  <c r="B83" i="4"/>
  <c r="C83" i="4"/>
  <c r="D83" i="4"/>
  <c r="B84" i="4"/>
  <c r="C84" i="4"/>
  <c r="D84" i="4"/>
  <c r="B85" i="4"/>
  <c r="C85" i="4"/>
  <c r="D85" i="4"/>
  <c r="B86" i="4"/>
  <c r="C86" i="4"/>
  <c r="D86" i="4"/>
  <c r="B87" i="4"/>
  <c r="C87" i="4"/>
  <c r="D87" i="4"/>
  <c r="B88" i="4"/>
  <c r="C88" i="4"/>
  <c r="D88" i="4"/>
  <c r="B89" i="4"/>
  <c r="C89" i="4"/>
  <c r="D89" i="4"/>
  <c r="B90" i="4"/>
  <c r="C90" i="4"/>
  <c r="D90" i="4"/>
  <c r="B91" i="4"/>
  <c r="C91" i="4"/>
  <c r="D91" i="4"/>
  <c r="B92" i="4"/>
  <c r="C92" i="4"/>
  <c r="D92" i="4"/>
  <c r="B93" i="4"/>
  <c r="C93" i="4"/>
  <c r="D93" i="4"/>
  <c r="B94" i="4"/>
  <c r="C94" i="4"/>
  <c r="D94" i="4"/>
  <c r="B95" i="4"/>
  <c r="C95" i="4"/>
  <c r="D95" i="4"/>
  <c r="B96" i="4"/>
  <c r="C96" i="4"/>
  <c r="D96" i="4"/>
  <c r="B97" i="4"/>
  <c r="C97" i="4"/>
  <c r="D97" i="4"/>
  <c r="B98" i="4"/>
  <c r="C98" i="4"/>
  <c r="D98" i="4"/>
  <c r="B99" i="4"/>
  <c r="C99" i="4"/>
  <c r="D99" i="4"/>
  <c r="B100" i="4"/>
  <c r="C100" i="4"/>
  <c r="D100" i="4"/>
  <c r="B101" i="4"/>
  <c r="C101" i="4"/>
  <c r="D101" i="4"/>
  <c r="B102" i="4"/>
  <c r="C102" i="4"/>
  <c r="D102" i="4"/>
  <c r="B103" i="4"/>
  <c r="C103" i="4"/>
  <c r="D103" i="4"/>
  <c r="B104" i="4"/>
  <c r="C104" i="4"/>
  <c r="D104" i="4"/>
  <c r="B105" i="4"/>
  <c r="C105" i="4"/>
  <c r="D105" i="4"/>
  <c r="B106" i="4"/>
  <c r="C106" i="4"/>
  <c r="D106" i="4"/>
  <c r="B107" i="4"/>
  <c r="C107" i="4"/>
  <c r="D107" i="4"/>
  <c r="B108" i="4"/>
  <c r="C108" i="4"/>
  <c r="D108" i="4"/>
  <c r="B109" i="4"/>
  <c r="C109" i="4"/>
  <c r="D109" i="4"/>
  <c r="B110" i="4"/>
  <c r="C110" i="4"/>
  <c r="D110" i="4"/>
  <c r="B111" i="4"/>
  <c r="C111" i="4"/>
  <c r="D111" i="4"/>
  <c r="B112" i="4"/>
  <c r="C112" i="4"/>
  <c r="D112" i="4"/>
  <c r="B113" i="4"/>
  <c r="C113" i="4"/>
  <c r="D113" i="4"/>
  <c r="B114" i="4"/>
  <c r="C114" i="4"/>
  <c r="D114" i="4"/>
  <c r="B115" i="4"/>
  <c r="C115" i="4"/>
  <c r="D115" i="4"/>
  <c r="B116" i="4"/>
  <c r="C116" i="4"/>
  <c r="D116" i="4"/>
  <c r="B117" i="4"/>
  <c r="C117" i="4"/>
  <c r="D117" i="4"/>
  <c r="B118" i="4"/>
  <c r="C118" i="4"/>
  <c r="D118" i="4"/>
  <c r="B119" i="4"/>
  <c r="C119" i="4"/>
  <c r="D119" i="4"/>
  <c r="B120" i="4"/>
  <c r="C120" i="4"/>
  <c r="D120" i="4"/>
  <c r="B121" i="4"/>
  <c r="C121" i="4"/>
  <c r="D121" i="4"/>
  <c r="B122" i="4"/>
  <c r="C122" i="4"/>
  <c r="D122" i="4"/>
  <c r="B123" i="4"/>
  <c r="C123" i="4"/>
  <c r="D123" i="4"/>
  <c r="B124" i="4"/>
  <c r="C124" i="4"/>
  <c r="D124" i="4"/>
  <c r="B125" i="4"/>
  <c r="C125" i="4"/>
  <c r="D125" i="4"/>
  <c r="B126" i="4"/>
  <c r="C126" i="4"/>
  <c r="D126" i="4"/>
  <c r="B127" i="4"/>
  <c r="C127" i="4"/>
  <c r="D127" i="4"/>
  <c r="B128" i="4"/>
  <c r="C128" i="4"/>
  <c r="D128" i="4"/>
  <c r="B129" i="4"/>
  <c r="C129" i="4"/>
  <c r="D129" i="4"/>
  <c r="B130" i="4"/>
  <c r="C130" i="4"/>
  <c r="D130" i="4"/>
  <c r="B131" i="4"/>
  <c r="C131" i="4"/>
  <c r="D131" i="4"/>
  <c r="B132" i="4"/>
  <c r="C132" i="4"/>
  <c r="D132" i="4"/>
  <c r="B133" i="4"/>
  <c r="C133" i="4"/>
  <c r="D133" i="4"/>
  <c r="B134" i="4"/>
  <c r="C134" i="4"/>
  <c r="D134" i="4"/>
  <c r="B135" i="4"/>
  <c r="C135" i="4"/>
  <c r="D135" i="4"/>
  <c r="B136" i="4"/>
  <c r="C136" i="4"/>
  <c r="D136" i="4"/>
  <c r="B137" i="4"/>
  <c r="C137" i="4"/>
  <c r="D137" i="4"/>
  <c r="B138" i="4"/>
  <c r="C138" i="4"/>
  <c r="D138" i="4"/>
  <c r="B139" i="4"/>
  <c r="C139" i="4"/>
  <c r="D139" i="4"/>
  <c r="B140" i="4"/>
  <c r="C140" i="4"/>
  <c r="D140" i="4"/>
  <c r="B141" i="4"/>
  <c r="C141" i="4"/>
  <c r="D141" i="4"/>
  <c r="B142" i="4"/>
  <c r="C142" i="4"/>
  <c r="D142" i="4"/>
  <c r="B143" i="4"/>
  <c r="C143" i="4"/>
  <c r="D143" i="4"/>
  <c r="B144" i="4"/>
  <c r="C144" i="4"/>
  <c r="D144" i="4"/>
  <c r="B145" i="4"/>
  <c r="C145" i="4"/>
  <c r="D145" i="4"/>
  <c r="B146" i="4"/>
  <c r="C146" i="4"/>
  <c r="D146" i="4"/>
  <c r="B147" i="4"/>
  <c r="C147" i="4"/>
  <c r="D147" i="4"/>
  <c r="B148" i="4"/>
  <c r="C148" i="4"/>
  <c r="D148" i="4"/>
  <c r="B149" i="4"/>
  <c r="C149" i="4"/>
  <c r="D149" i="4"/>
  <c r="B150" i="4"/>
  <c r="C150" i="4"/>
  <c r="D150" i="4"/>
  <c r="B151" i="4"/>
  <c r="C151" i="4"/>
  <c r="D151" i="4"/>
  <c r="B152" i="4"/>
  <c r="C152" i="4"/>
  <c r="D152" i="4"/>
  <c r="B153" i="4"/>
  <c r="C153" i="4"/>
  <c r="D153" i="4"/>
  <c r="B154" i="4"/>
  <c r="C154" i="4"/>
  <c r="D154" i="4"/>
  <c r="B155" i="4"/>
  <c r="C155" i="4"/>
  <c r="D155" i="4"/>
  <c r="B156" i="4"/>
  <c r="C156" i="4"/>
  <c r="D156" i="4"/>
  <c r="B157" i="4"/>
  <c r="C157" i="4"/>
  <c r="D157" i="4"/>
  <c r="B158" i="4"/>
  <c r="C158" i="4"/>
  <c r="D158" i="4"/>
  <c r="B159" i="4"/>
  <c r="C159" i="4"/>
  <c r="D159" i="4"/>
  <c r="B160" i="4"/>
  <c r="C160" i="4"/>
  <c r="D160" i="4"/>
  <c r="B161" i="4"/>
  <c r="C161" i="4"/>
  <c r="D161" i="4"/>
  <c r="B162" i="4"/>
  <c r="C162" i="4"/>
  <c r="D162" i="4"/>
  <c r="B163" i="4"/>
  <c r="C163" i="4"/>
  <c r="D163" i="4"/>
  <c r="B164" i="4"/>
  <c r="C164" i="4"/>
  <c r="D164" i="4"/>
  <c r="B165" i="4"/>
  <c r="C165" i="4"/>
  <c r="D165" i="4"/>
  <c r="B166" i="4"/>
  <c r="C166" i="4"/>
  <c r="D166" i="4"/>
  <c r="B167" i="4"/>
  <c r="C167" i="4"/>
  <c r="D167" i="4"/>
  <c r="B168" i="4"/>
  <c r="C168" i="4"/>
  <c r="D168" i="4"/>
  <c r="B169" i="4"/>
  <c r="C169" i="4"/>
  <c r="D169" i="4"/>
  <c r="B170" i="4"/>
  <c r="C170" i="4"/>
  <c r="D170" i="4"/>
  <c r="B171" i="4"/>
  <c r="C171" i="4"/>
  <c r="D171" i="4"/>
  <c r="B172" i="4"/>
  <c r="C172" i="4"/>
  <c r="D172" i="4"/>
  <c r="B173" i="4"/>
  <c r="C173" i="4"/>
  <c r="D173" i="4"/>
  <c r="B174" i="4"/>
  <c r="C174" i="4"/>
  <c r="D174" i="4"/>
  <c r="B175" i="4"/>
  <c r="C175" i="4"/>
  <c r="D175" i="4"/>
  <c r="B176" i="4"/>
  <c r="C176" i="4"/>
  <c r="D176" i="4"/>
  <c r="B177" i="4"/>
  <c r="C177" i="4"/>
  <c r="D177" i="4"/>
  <c r="B178" i="4"/>
  <c r="C178" i="4"/>
  <c r="D178" i="4"/>
  <c r="B179" i="4"/>
  <c r="C179" i="4"/>
  <c r="D179" i="4"/>
  <c r="B180" i="4"/>
  <c r="C180" i="4"/>
  <c r="D180" i="4"/>
  <c r="B181" i="4"/>
  <c r="C181" i="4"/>
  <c r="D181" i="4"/>
  <c r="B182" i="4"/>
  <c r="C182" i="4"/>
  <c r="D182" i="4"/>
  <c r="B183" i="4"/>
  <c r="C183" i="4"/>
  <c r="D183" i="4"/>
  <c r="B184" i="4"/>
  <c r="C184" i="4"/>
  <c r="D184" i="4"/>
  <c r="B185" i="4"/>
  <c r="C185" i="4"/>
  <c r="D185" i="4"/>
  <c r="B186" i="4"/>
  <c r="C186" i="4"/>
  <c r="D186" i="4"/>
  <c r="B187" i="4"/>
  <c r="C187" i="4"/>
  <c r="D187" i="4"/>
  <c r="B188" i="4"/>
  <c r="C188" i="4"/>
  <c r="D188" i="4"/>
  <c r="B189" i="4"/>
  <c r="C189" i="4"/>
  <c r="D189" i="4"/>
  <c r="B190" i="4"/>
  <c r="C190" i="4"/>
  <c r="D190" i="4"/>
  <c r="B191" i="4"/>
  <c r="C191" i="4"/>
  <c r="D191" i="4"/>
  <c r="B192" i="4"/>
  <c r="C192" i="4"/>
  <c r="D192" i="4"/>
  <c r="B193" i="4"/>
  <c r="C193" i="4"/>
  <c r="D193" i="4"/>
  <c r="B194" i="4"/>
  <c r="C194" i="4"/>
  <c r="D194" i="4"/>
  <c r="B195" i="4"/>
  <c r="C195" i="4"/>
  <c r="D195" i="4"/>
  <c r="B196" i="4"/>
  <c r="C196" i="4"/>
  <c r="D196" i="4"/>
  <c r="B197" i="4"/>
  <c r="C197" i="4"/>
  <c r="D197" i="4"/>
  <c r="B198" i="4"/>
  <c r="C198" i="4"/>
  <c r="D198" i="4"/>
  <c r="B199" i="4"/>
  <c r="C199" i="4"/>
  <c r="D199" i="4"/>
  <c r="B200" i="4"/>
  <c r="C200" i="4"/>
  <c r="D200" i="4"/>
  <c r="B201" i="4"/>
  <c r="C201" i="4"/>
  <c r="D201" i="4"/>
  <c r="B202" i="4"/>
  <c r="C202" i="4"/>
  <c r="D202" i="4"/>
  <c r="B203" i="4"/>
  <c r="C203" i="4"/>
  <c r="D203" i="4"/>
  <c r="B204" i="4"/>
  <c r="C204" i="4"/>
  <c r="D204" i="4"/>
  <c r="B205" i="4"/>
  <c r="C205" i="4"/>
  <c r="D205" i="4"/>
  <c r="B206" i="4"/>
  <c r="C206" i="4"/>
  <c r="D206" i="4"/>
  <c r="B207" i="4"/>
  <c r="C207" i="4"/>
  <c r="D207" i="4"/>
  <c r="B208" i="4"/>
  <c r="C208" i="4"/>
  <c r="D208" i="4"/>
  <c r="B209" i="4"/>
  <c r="C209" i="4"/>
  <c r="D209" i="4"/>
  <c r="B210" i="4"/>
  <c r="C210" i="4"/>
  <c r="D210" i="4"/>
  <c r="B211" i="4"/>
  <c r="C211" i="4"/>
  <c r="D211" i="4"/>
  <c r="B212" i="4"/>
  <c r="C212" i="4"/>
  <c r="D212" i="4"/>
  <c r="B213" i="4"/>
  <c r="C213" i="4"/>
  <c r="D213" i="4"/>
  <c r="B214" i="4"/>
  <c r="C214" i="4"/>
  <c r="D214" i="4"/>
  <c r="B215" i="4"/>
  <c r="C215" i="4"/>
  <c r="D215" i="4"/>
  <c r="B216" i="4"/>
  <c r="C216" i="4"/>
  <c r="D216" i="4"/>
  <c r="B217" i="4"/>
  <c r="C217" i="4"/>
  <c r="D217" i="4"/>
  <c r="B218" i="4"/>
  <c r="C218" i="4"/>
  <c r="D218" i="4"/>
  <c r="B219" i="4"/>
  <c r="C219" i="4"/>
  <c r="D219" i="4"/>
  <c r="B220" i="4"/>
  <c r="C220" i="4"/>
  <c r="D220" i="4"/>
  <c r="B221" i="4"/>
  <c r="C221" i="4"/>
  <c r="D221" i="4"/>
  <c r="B222" i="4"/>
  <c r="C222" i="4"/>
  <c r="D222" i="4"/>
  <c r="B223" i="4"/>
  <c r="C223" i="4"/>
  <c r="D223" i="4"/>
  <c r="B224" i="4"/>
  <c r="C224" i="4"/>
  <c r="D224" i="4"/>
  <c r="B225" i="4"/>
  <c r="C225" i="4"/>
  <c r="D225" i="4"/>
  <c r="B226" i="4"/>
  <c r="C226" i="4"/>
  <c r="D226" i="4"/>
  <c r="B227" i="4"/>
  <c r="C227" i="4"/>
  <c r="D227" i="4"/>
  <c r="B228" i="4"/>
  <c r="C228" i="4"/>
  <c r="D228" i="4"/>
  <c r="B229" i="4"/>
  <c r="C229" i="4"/>
  <c r="D229" i="4"/>
  <c r="B230" i="4"/>
  <c r="C230" i="4"/>
  <c r="D230" i="4"/>
  <c r="B231" i="4"/>
  <c r="C231" i="4"/>
  <c r="D231" i="4"/>
  <c r="B232" i="4"/>
  <c r="C232" i="4"/>
  <c r="D232" i="4"/>
  <c r="B233" i="4"/>
  <c r="C233" i="4"/>
  <c r="D233" i="4"/>
  <c r="B234" i="4"/>
  <c r="C234" i="4"/>
  <c r="D234" i="4"/>
  <c r="B235" i="4"/>
  <c r="C235" i="4"/>
  <c r="D235" i="4"/>
  <c r="B236" i="4"/>
  <c r="C236" i="4"/>
  <c r="D236" i="4"/>
  <c r="B237" i="4"/>
  <c r="C237" i="4"/>
  <c r="D237" i="4"/>
  <c r="B238" i="4"/>
  <c r="C238" i="4"/>
  <c r="D238" i="4"/>
  <c r="B239" i="4"/>
  <c r="C239" i="4"/>
  <c r="D239" i="4"/>
  <c r="B240" i="4"/>
  <c r="C240" i="4"/>
  <c r="D240" i="4"/>
  <c r="B241" i="4"/>
  <c r="C241" i="4"/>
  <c r="D241" i="4"/>
  <c r="B242" i="4"/>
  <c r="C242" i="4"/>
  <c r="D242" i="4"/>
  <c r="B243" i="4"/>
  <c r="C243" i="4"/>
  <c r="D243" i="4"/>
  <c r="B244" i="4"/>
  <c r="C244" i="4"/>
  <c r="D244" i="4"/>
  <c r="B245" i="4"/>
  <c r="C245" i="4"/>
  <c r="D245" i="4"/>
  <c r="B246" i="4"/>
  <c r="C246" i="4"/>
  <c r="D246" i="4"/>
  <c r="B247" i="4"/>
  <c r="C247" i="4"/>
  <c r="D247" i="4"/>
  <c r="B248" i="4"/>
  <c r="C248" i="4"/>
  <c r="D248" i="4"/>
  <c r="B249" i="4"/>
  <c r="C249" i="4"/>
  <c r="D249" i="4"/>
  <c r="B250" i="4"/>
  <c r="C250" i="4"/>
  <c r="D250" i="4"/>
  <c r="B251" i="4"/>
  <c r="C251" i="4"/>
  <c r="D251" i="4"/>
  <c r="B252" i="4"/>
  <c r="C252" i="4"/>
  <c r="D252" i="4"/>
  <c r="B253" i="4"/>
  <c r="C253" i="4"/>
  <c r="D253" i="4"/>
  <c r="B254" i="4"/>
  <c r="C254" i="4"/>
  <c r="D254" i="4"/>
  <c r="B255" i="4"/>
  <c r="C255" i="4"/>
  <c r="D255" i="4"/>
  <c r="B256" i="4"/>
  <c r="C256" i="4"/>
  <c r="D256" i="4"/>
  <c r="B257" i="4"/>
  <c r="C257" i="4"/>
  <c r="D257" i="4"/>
  <c r="B258" i="4"/>
  <c r="C258" i="4"/>
  <c r="D258" i="4"/>
  <c r="B259" i="4"/>
  <c r="C259" i="4"/>
  <c r="D259" i="4"/>
  <c r="B260" i="4"/>
  <c r="C260" i="4"/>
  <c r="D260" i="4"/>
  <c r="B261" i="4"/>
  <c r="C261" i="4"/>
  <c r="D261" i="4"/>
  <c r="B262" i="4"/>
  <c r="C262" i="4"/>
  <c r="D262" i="4"/>
  <c r="B263" i="4"/>
  <c r="C263" i="4"/>
  <c r="D263" i="4"/>
  <c r="B264" i="4"/>
  <c r="C264" i="4"/>
  <c r="D264" i="4"/>
  <c r="B265" i="4"/>
  <c r="C265" i="4"/>
  <c r="D265" i="4"/>
  <c r="B266" i="4"/>
  <c r="C266" i="4"/>
  <c r="D266" i="4"/>
  <c r="B267" i="4"/>
  <c r="C267" i="4"/>
  <c r="D267" i="4"/>
  <c r="B268" i="4"/>
  <c r="C268" i="4"/>
  <c r="D268" i="4"/>
  <c r="B269" i="4"/>
  <c r="C269" i="4"/>
  <c r="D269" i="4"/>
  <c r="B270" i="4"/>
  <c r="C270" i="4"/>
  <c r="D270" i="4"/>
  <c r="B271" i="4"/>
  <c r="C271" i="4"/>
  <c r="D271" i="4"/>
  <c r="B272" i="4"/>
  <c r="C272" i="4"/>
  <c r="D272" i="4"/>
  <c r="B273" i="4"/>
  <c r="C273" i="4"/>
  <c r="D273" i="4"/>
  <c r="B274" i="4"/>
  <c r="C274" i="4"/>
  <c r="D274" i="4"/>
  <c r="B275" i="4"/>
  <c r="C275" i="4"/>
  <c r="D275" i="4"/>
  <c r="B276" i="4"/>
  <c r="C276" i="4"/>
  <c r="D276" i="4"/>
  <c r="B277" i="4"/>
  <c r="C277" i="4"/>
  <c r="D277" i="4"/>
  <c r="B278" i="4"/>
  <c r="C278" i="4"/>
  <c r="D278" i="4"/>
  <c r="B279" i="4"/>
  <c r="C279" i="4"/>
  <c r="D279" i="4"/>
  <c r="B280" i="4"/>
  <c r="C280" i="4"/>
  <c r="D280" i="4"/>
  <c r="B281" i="4"/>
  <c r="C281" i="4"/>
  <c r="D281" i="4"/>
  <c r="B282" i="4"/>
  <c r="C282" i="4"/>
  <c r="D282" i="4"/>
  <c r="B283" i="4"/>
  <c r="C283" i="4"/>
  <c r="D283" i="4"/>
  <c r="B284" i="4"/>
  <c r="C284" i="4"/>
  <c r="D284" i="4"/>
  <c r="B285" i="4"/>
  <c r="C285" i="4"/>
  <c r="D285" i="4"/>
  <c r="B286" i="4"/>
  <c r="C286" i="4"/>
  <c r="D286" i="4"/>
  <c r="B287" i="4"/>
  <c r="C287" i="4"/>
  <c r="D287" i="4"/>
  <c r="B288" i="4"/>
  <c r="C288" i="4"/>
  <c r="D288" i="4"/>
  <c r="B289" i="4"/>
  <c r="C289" i="4"/>
  <c r="D289" i="4"/>
  <c r="B290" i="4"/>
  <c r="C290" i="4"/>
  <c r="D290" i="4"/>
  <c r="B291" i="4"/>
  <c r="C291" i="4"/>
  <c r="D291" i="4"/>
  <c r="B292" i="4"/>
  <c r="C292" i="4"/>
  <c r="D292" i="4"/>
  <c r="B293" i="4"/>
  <c r="C293" i="4"/>
  <c r="D293" i="4"/>
  <c r="B294" i="4"/>
  <c r="C294" i="4"/>
  <c r="D294" i="4"/>
  <c r="B295" i="4"/>
  <c r="C295" i="4"/>
  <c r="D295" i="4"/>
  <c r="B296" i="4"/>
  <c r="C296" i="4"/>
  <c r="D296" i="4"/>
  <c r="B297" i="4"/>
  <c r="C297" i="4"/>
  <c r="D297" i="4"/>
  <c r="B298" i="4"/>
  <c r="C298" i="4"/>
  <c r="D298" i="4"/>
  <c r="B299" i="4"/>
  <c r="C299" i="4"/>
  <c r="D299" i="4"/>
  <c r="B300" i="4"/>
  <c r="C300" i="4"/>
  <c r="D300" i="4"/>
  <c r="B301" i="4"/>
  <c r="C301" i="4"/>
  <c r="D301" i="4"/>
  <c r="B302" i="4"/>
  <c r="C302" i="4"/>
  <c r="D302" i="4"/>
  <c r="B303" i="4"/>
  <c r="C303" i="4"/>
  <c r="D303" i="4"/>
  <c r="B304" i="4"/>
  <c r="C304" i="4"/>
  <c r="D304" i="4"/>
  <c r="B305" i="4"/>
  <c r="C305" i="4"/>
  <c r="D305" i="4"/>
  <c r="B306" i="4"/>
  <c r="C306" i="4"/>
  <c r="D306" i="4"/>
  <c r="B307" i="4"/>
  <c r="C307" i="4"/>
  <c r="D307" i="4"/>
  <c r="B308" i="4"/>
  <c r="C308" i="4"/>
  <c r="D308" i="4"/>
  <c r="B309" i="4"/>
  <c r="C309" i="4"/>
  <c r="D309" i="4"/>
  <c r="B310" i="4"/>
  <c r="C310" i="4"/>
  <c r="D310" i="4"/>
  <c r="B311" i="4"/>
  <c r="C311" i="4"/>
  <c r="D311" i="4"/>
  <c r="B312" i="4"/>
  <c r="C312" i="4"/>
  <c r="D312" i="4"/>
  <c r="B313" i="4"/>
  <c r="C313" i="4"/>
  <c r="D313" i="4"/>
  <c r="B314" i="4"/>
  <c r="C314" i="4"/>
  <c r="D314" i="4"/>
  <c r="B315" i="4"/>
  <c r="C315" i="4"/>
  <c r="D315" i="4"/>
  <c r="B316" i="4"/>
  <c r="C316" i="4"/>
  <c r="D316" i="4"/>
  <c r="B317" i="4"/>
  <c r="C317" i="4"/>
  <c r="D317" i="4"/>
  <c r="B318" i="4"/>
  <c r="C318" i="4"/>
  <c r="D318" i="4"/>
  <c r="B319" i="4"/>
  <c r="C319" i="4"/>
  <c r="D319" i="4"/>
  <c r="B320" i="4"/>
  <c r="C320" i="4"/>
  <c r="D320" i="4"/>
  <c r="B321" i="4"/>
  <c r="C321" i="4"/>
  <c r="D321" i="4"/>
  <c r="B322" i="4"/>
  <c r="C322" i="4"/>
  <c r="D322" i="4"/>
  <c r="B323" i="4"/>
  <c r="C323" i="4"/>
  <c r="D323" i="4"/>
  <c r="B324" i="4"/>
  <c r="C324" i="4"/>
  <c r="D324" i="4"/>
  <c r="B325" i="4"/>
  <c r="C325" i="4"/>
  <c r="D325" i="4"/>
  <c r="B326" i="4"/>
  <c r="C326" i="4"/>
  <c r="D326" i="4"/>
  <c r="B327" i="4"/>
  <c r="C327" i="4"/>
  <c r="D327" i="4"/>
  <c r="B328" i="4"/>
  <c r="C328" i="4"/>
  <c r="D328" i="4"/>
  <c r="B329" i="4"/>
  <c r="C329" i="4"/>
  <c r="D329" i="4"/>
  <c r="B330" i="4"/>
  <c r="C330" i="4"/>
  <c r="D330" i="4"/>
  <c r="B331" i="4"/>
  <c r="C331" i="4"/>
  <c r="D331" i="4"/>
  <c r="B332" i="4"/>
  <c r="C332" i="4"/>
  <c r="D332" i="4"/>
  <c r="B333" i="4"/>
  <c r="C333" i="4"/>
  <c r="D333" i="4"/>
  <c r="B334" i="4"/>
  <c r="C334" i="4"/>
  <c r="D334" i="4"/>
  <c r="B335" i="4"/>
  <c r="C335" i="4"/>
  <c r="D335" i="4"/>
  <c r="B336" i="4"/>
  <c r="C336" i="4"/>
  <c r="D336" i="4"/>
  <c r="B337" i="4"/>
  <c r="C337" i="4"/>
  <c r="D337" i="4"/>
  <c r="B338" i="4"/>
  <c r="C338" i="4"/>
  <c r="D338" i="4"/>
  <c r="B339" i="4"/>
  <c r="C339" i="4"/>
  <c r="D339" i="4"/>
  <c r="B340" i="4"/>
  <c r="C340" i="4"/>
  <c r="D340" i="4"/>
  <c r="B341" i="4"/>
  <c r="C341" i="4"/>
  <c r="D341" i="4"/>
  <c r="B342" i="4"/>
  <c r="C342" i="4"/>
  <c r="D342" i="4"/>
  <c r="B343" i="4"/>
  <c r="C343" i="4"/>
  <c r="D343" i="4"/>
  <c r="B344" i="4"/>
  <c r="C344" i="4"/>
  <c r="D344" i="4"/>
  <c r="B345" i="4"/>
  <c r="C345" i="4"/>
  <c r="D345" i="4"/>
  <c r="B346" i="4"/>
  <c r="C346" i="4"/>
  <c r="D346" i="4"/>
  <c r="B347" i="4"/>
  <c r="C347" i="4"/>
  <c r="D347" i="4"/>
  <c r="B348" i="4"/>
  <c r="C348" i="4"/>
  <c r="D348" i="4"/>
  <c r="B349" i="4"/>
  <c r="C349" i="4"/>
  <c r="D349" i="4"/>
  <c r="B350" i="4"/>
  <c r="C350" i="4"/>
  <c r="D350" i="4"/>
  <c r="B351" i="4"/>
  <c r="C351" i="4"/>
  <c r="D351" i="4"/>
  <c r="B352" i="4"/>
  <c r="C352" i="4"/>
  <c r="D352" i="4"/>
  <c r="B353" i="4"/>
  <c r="C353" i="4"/>
  <c r="D353" i="4"/>
  <c r="B354" i="4"/>
  <c r="C354" i="4"/>
  <c r="D354" i="4"/>
  <c r="B355" i="4"/>
  <c r="C355" i="4"/>
  <c r="D355" i="4"/>
  <c r="B356" i="4"/>
  <c r="C356" i="4"/>
  <c r="D356" i="4"/>
  <c r="B357" i="4"/>
  <c r="C357" i="4"/>
  <c r="D357" i="4"/>
  <c r="B358" i="4"/>
  <c r="C358" i="4"/>
  <c r="D358" i="4"/>
  <c r="B359" i="4"/>
  <c r="C359" i="4"/>
  <c r="D359" i="4"/>
  <c r="B360" i="4"/>
  <c r="C360" i="4"/>
  <c r="D360" i="4"/>
  <c r="B361" i="4"/>
  <c r="C361" i="4"/>
  <c r="D361" i="4"/>
  <c r="B362" i="4"/>
  <c r="C362" i="4"/>
  <c r="D362" i="4"/>
  <c r="B363" i="4"/>
  <c r="C363" i="4"/>
  <c r="D363" i="4"/>
  <c r="B364" i="4"/>
  <c r="C364" i="4"/>
  <c r="D364" i="4"/>
  <c r="B365" i="4"/>
  <c r="C365" i="4"/>
  <c r="D365" i="4"/>
  <c r="B366" i="4"/>
  <c r="C366" i="4"/>
  <c r="D366" i="4"/>
  <c r="B367" i="4"/>
  <c r="C367" i="4"/>
  <c r="D367" i="4"/>
  <c r="B368" i="4"/>
  <c r="C368" i="4"/>
  <c r="D368" i="4"/>
  <c r="B369" i="4"/>
  <c r="C369" i="4"/>
  <c r="D369" i="4"/>
  <c r="B370" i="4"/>
  <c r="C370" i="4"/>
  <c r="D370" i="4"/>
  <c r="B371" i="4"/>
  <c r="C371" i="4"/>
  <c r="D371" i="4"/>
  <c r="B372" i="4"/>
  <c r="C372" i="4"/>
  <c r="D372" i="4"/>
  <c r="B373" i="4"/>
  <c r="C373" i="4"/>
  <c r="D373" i="4"/>
  <c r="B374" i="4"/>
  <c r="C374" i="4"/>
  <c r="D374" i="4"/>
  <c r="B375" i="4"/>
  <c r="C375" i="4"/>
  <c r="D375" i="4"/>
  <c r="B376" i="4"/>
  <c r="C376" i="4"/>
  <c r="D376" i="4"/>
  <c r="B377" i="4"/>
  <c r="C377" i="4"/>
  <c r="D377" i="4"/>
  <c r="B378" i="4"/>
  <c r="C378" i="4"/>
  <c r="D378" i="4"/>
  <c r="B379" i="4"/>
  <c r="C379" i="4"/>
  <c r="D379" i="4"/>
  <c r="B380" i="4"/>
  <c r="C380" i="4"/>
  <c r="D380" i="4"/>
  <c r="B381" i="4"/>
  <c r="C381" i="4"/>
  <c r="D381" i="4"/>
  <c r="B382" i="4"/>
  <c r="C382" i="4"/>
  <c r="D382" i="4"/>
  <c r="B383" i="4"/>
  <c r="C383" i="4"/>
  <c r="D383" i="4"/>
  <c r="B384" i="4"/>
  <c r="C384" i="4"/>
  <c r="D384" i="4"/>
  <c r="B385" i="4"/>
  <c r="C385" i="4"/>
  <c r="D385" i="4"/>
  <c r="B386" i="4"/>
  <c r="C386" i="4"/>
  <c r="D386" i="4"/>
  <c r="B387" i="4"/>
  <c r="C387" i="4"/>
  <c r="D387" i="4"/>
  <c r="B388" i="4"/>
  <c r="C388" i="4"/>
  <c r="D388" i="4"/>
  <c r="B389" i="4"/>
  <c r="C389" i="4"/>
  <c r="D389" i="4"/>
  <c r="B390" i="4"/>
  <c r="C390" i="4"/>
  <c r="D390" i="4"/>
  <c r="B391" i="4"/>
  <c r="C391" i="4"/>
  <c r="D391" i="4"/>
  <c r="B392" i="4"/>
  <c r="C392" i="4"/>
  <c r="D392" i="4"/>
  <c r="B393" i="4"/>
  <c r="C393" i="4"/>
  <c r="D393" i="4"/>
  <c r="B394" i="4"/>
  <c r="C394" i="4"/>
  <c r="D394" i="4"/>
  <c r="B395" i="4"/>
  <c r="C395" i="4"/>
  <c r="D395" i="4"/>
  <c r="B396" i="4"/>
  <c r="C396" i="4"/>
  <c r="D396" i="4"/>
  <c r="B397" i="4"/>
  <c r="C397" i="4"/>
  <c r="D397" i="4"/>
  <c r="B398" i="4"/>
  <c r="C398" i="4"/>
  <c r="D398" i="4"/>
  <c r="B399" i="4"/>
  <c r="C399" i="4"/>
  <c r="D399" i="4"/>
  <c r="B400" i="4"/>
  <c r="C400" i="4"/>
  <c r="D400" i="4"/>
  <c r="B401" i="4"/>
  <c r="C401" i="4"/>
  <c r="D401" i="4"/>
  <c r="B402" i="4"/>
  <c r="C402" i="4"/>
  <c r="D402" i="4"/>
  <c r="B403" i="4"/>
  <c r="C403" i="4"/>
  <c r="D403" i="4"/>
  <c r="B404" i="4"/>
  <c r="C404" i="4"/>
  <c r="D404" i="4"/>
  <c r="B405" i="4"/>
  <c r="C405" i="4"/>
  <c r="D405" i="4"/>
  <c r="B406" i="4"/>
  <c r="C406" i="4"/>
  <c r="D406" i="4"/>
  <c r="B407" i="4"/>
  <c r="C407" i="4"/>
  <c r="D407" i="4"/>
  <c r="B408" i="4"/>
  <c r="C408" i="4"/>
  <c r="D408" i="4"/>
  <c r="B409" i="4"/>
  <c r="C409" i="4"/>
  <c r="D409" i="4"/>
  <c r="B410" i="4"/>
  <c r="C410" i="4"/>
  <c r="D410" i="4"/>
  <c r="B411" i="4"/>
  <c r="C411" i="4"/>
  <c r="D411" i="4"/>
  <c r="B412" i="4"/>
  <c r="C412" i="4"/>
  <c r="D412" i="4"/>
  <c r="B413" i="4"/>
  <c r="C413" i="4"/>
  <c r="D413" i="4"/>
  <c r="B414" i="4"/>
  <c r="C414" i="4"/>
  <c r="D414" i="4"/>
  <c r="B415" i="4"/>
  <c r="C415" i="4"/>
  <c r="D415" i="4"/>
  <c r="B416" i="4"/>
  <c r="C416" i="4"/>
  <c r="D416" i="4"/>
  <c r="B417" i="4"/>
  <c r="C417" i="4"/>
  <c r="D417" i="4"/>
  <c r="B418" i="4"/>
  <c r="C418" i="4"/>
  <c r="D418" i="4"/>
  <c r="B419" i="4"/>
  <c r="C419" i="4"/>
  <c r="D419" i="4"/>
  <c r="B420" i="4"/>
  <c r="C420" i="4"/>
  <c r="D420" i="4"/>
  <c r="B421" i="4"/>
  <c r="C421" i="4"/>
  <c r="D421" i="4"/>
  <c r="B422" i="4"/>
  <c r="C422" i="4"/>
  <c r="D422" i="4"/>
  <c r="B423" i="4"/>
  <c r="C423" i="4"/>
  <c r="D423" i="4"/>
  <c r="B424" i="4"/>
  <c r="C424" i="4"/>
  <c r="D424" i="4"/>
  <c r="B425" i="4"/>
  <c r="C425" i="4"/>
  <c r="D425" i="4"/>
  <c r="B426" i="4"/>
  <c r="C426" i="4"/>
  <c r="D426" i="4"/>
  <c r="B427" i="4"/>
  <c r="C427" i="4"/>
  <c r="D427" i="4"/>
  <c r="B428" i="4"/>
  <c r="C428" i="4"/>
  <c r="D428" i="4"/>
  <c r="B429" i="4"/>
  <c r="C429" i="4"/>
  <c r="D429" i="4"/>
  <c r="B430" i="4"/>
  <c r="C430" i="4"/>
  <c r="D430" i="4"/>
  <c r="B431" i="4"/>
  <c r="C431" i="4"/>
  <c r="D431" i="4"/>
  <c r="B432" i="4"/>
  <c r="C432" i="4"/>
  <c r="D432" i="4"/>
  <c r="B433" i="4"/>
  <c r="C433" i="4"/>
  <c r="D433" i="4"/>
  <c r="B434" i="4"/>
  <c r="C434" i="4"/>
  <c r="D434" i="4"/>
  <c r="B435" i="4"/>
  <c r="C435" i="4"/>
  <c r="D435" i="4"/>
  <c r="B436" i="4"/>
  <c r="C436" i="4"/>
  <c r="D436" i="4"/>
  <c r="B437" i="4"/>
  <c r="C437" i="4"/>
  <c r="D437" i="4"/>
  <c r="B438" i="4"/>
  <c r="C438" i="4"/>
  <c r="D438" i="4"/>
  <c r="B439" i="4"/>
  <c r="C439" i="4"/>
  <c r="D439" i="4"/>
  <c r="B440" i="4"/>
  <c r="C440" i="4"/>
  <c r="D440" i="4"/>
  <c r="B441" i="4"/>
  <c r="C441" i="4"/>
  <c r="D441" i="4"/>
  <c r="B442" i="4"/>
  <c r="C442" i="4"/>
  <c r="D442" i="4"/>
  <c r="B443" i="4"/>
  <c r="C443" i="4"/>
  <c r="D443" i="4"/>
  <c r="B444" i="4"/>
  <c r="C444" i="4"/>
  <c r="D444" i="4"/>
  <c r="B445" i="4"/>
  <c r="C445" i="4"/>
  <c r="D445" i="4"/>
  <c r="B446" i="4"/>
  <c r="C446" i="4"/>
  <c r="D446" i="4"/>
  <c r="B447" i="4"/>
  <c r="C447" i="4"/>
  <c r="D447" i="4"/>
  <c r="B448" i="4"/>
  <c r="C448" i="4"/>
  <c r="D448" i="4"/>
  <c r="B449" i="4"/>
  <c r="C449" i="4"/>
  <c r="D449" i="4"/>
  <c r="B450" i="4"/>
  <c r="C450" i="4"/>
  <c r="D450" i="4"/>
  <c r="B451" i="4"/>
  <c r="C451" i="4"/>
  <c r="D451" i="4"/>
  <c r="B452" i="4"/>
  <c r="C452" i="4"/>
  <c r="D452" i="4"/>
  <c r="B453" i="4"/>
  <c r="C453" i="4"/>
  <c r="D453" i="4"/>
  <c r="B454" i="4"/>
  <c r="C454" i="4"/>
  <c r="D454" i="4"/>
  <c r="B455" i="4"/>
  <c r="C455" i="4"/>
  <c r="D455" i="4"/>
  <c r="B456" i="4"/>
  <c r="C456" i="4"/>
  <c r="D456" i="4"/>
  <c r="B457" i="4"/>
  <c r="C457" i="4"/>
  <c r="D457" i="4"/>
  <c r="B458" i="4"/>
  <c r="C458" i="4"/>
  <c r="D458" i="4"/>
  <c r="B459" i="4"/>
  <c r="C459" i="4"/>
  <c r="D459" i="4"/>
  <c r="B460" i="4"/>
  <c r="C460" i="4"/>
  <c r="D460" i="4"/>
  <c r="B461" i="4"/>
  <c r="C461" i="4"/>
  <c r="D461" i="4"/>
  <c r="B462" i="4"/>
  <c r="C462" i="4"/>
  <c r="D462" i="4"/>
  <c r="B463" i="4"/>
  <c r="C463" i="4"/>
  <c r="D463" i="4"/>
  <c r="B464" i="4"/>
  <c r="C464" i="4"/>
  <c r="D464" i="4"/>
  <c r="B465" i="4"/>
  <c r="C465" i="4"/>
  <c r="D465" i="4"/>
  <c r="B466" i="4"/>
  <c r="C466" i="4"/>
  <c r="D466" i="4"/>
  <c r="B467" i="4"/>
  <c r="C467" i="4"/>
  <c r="D467" i="4"/>
  <c r="B468" i="4"/>
  <c r="C468" i="4"/>
  <c r="D468" i="4"/>
  <c r="B469" i="4"/>
  <c r="C469" i="4"/>
  <c r="D469" i="4"/>
  <c r="B470" i="4"/>
  <c r="C470" i="4"/>
  <c r="D470" i="4"/>
  <c r="B471" i="4"/>
  <c r="C471" i="4"/>
  <c r="D471" i="4"/>
  <c r="B472" i="4"/>
  <c r="C472" i="4"/>
  <c r="D472" i="4"/>
  <c r="B473" i="4"/>
  <c r="C473" i="4"/>
  <c r="D473" i="4"/>
  <c r="B474" i="4"/>
  <c r="C474" i="4"/>
  <c r="D474" i="4"/>
  <c r="B475" i="4"/>
  <c r="C475" i="4"/>
  <c r="D475" i="4"/>
  <c r="B476" i="4"/>
  <c r="C476" i="4"/>
  <c r="D476" i="4"/>
  <c r="B477" i="4"/>
  <c r="C477" i="4"/>
  <c r="D477" i="4"/>
  <c r="B478" i="4"/>
  <c r="C478" i="4"/>
  <c r="D478" i="4"/>
  <c r="B479" i="4"/>
  <c r="C479" i="4"/>
  <c r="D479" i="4"/>
  <c r="B480" i="4"/>
  <c r="C480" i="4"/>
  <c r="D480" i="4"/>
  <c r="B481" i="4"/>
  <c r="C481" i="4"/>
  <c r="D481" i="4"/>
  <c r="B482" i="4"/>
  <c r="C482" i="4"/>
  <c r="D482" i="4"/>
  <c r="B483" i="4"/>
  <c r="C483" i="4"/>
  <c r="D483" i="4"/>
  <c r="B484" i="4"/>
  <c r="C484" i="4"/>
  <c r="D484" i="4"/>
  <c r="B485" i="4"/>
  <c r="C485" i="4"/>
  <c r="D485" i="4"/>
  <c r="B486" i="4"/>
  <c r="C486" i="4"/>
  <c r="D486" i="4"/>
  <c r="B487" i="4"/>
  <c r="C487" i="4"/>
  <c r="D487" i="4"/>
  <c r="B488" i="4"/>
  <c r="C488" i="4"/>
  <c r="D488" i="4"/>
  <c r="B489" i="4"/>
  <c r="C489" i="4"/>
  <c r="D489" i="4"/>
  <c r="B490" i="4"/>
  <c r="C490" i="4"/>
  <c r="D490" i="4"/>
  <c r="B491" i="4"/>
  <c r="C491" i="4"/>
  <c r="D491" i="4"/>
  <c r="B492" i="4"/>
  <c r="C492" i="4"/>
  <c r="D492" i="4"/>
  <c r="B493" i="4"/>
  <c r="C493" i="4"/>
  <c r="D493" i="4"/>
  <c r="B494" i="4"/>
  <c r="C494" i="4"/>
  <c r="D494" i="4"/>
  <c r="B495" i="4"/>
  <c r="C495" i="4"/>
  <c r="D495" i="4"/>
  <c r="B496" i="4"/>
  <c r="C496" i="4"/>
  <c r="D496" i="4"/>
  <c r="B497" i="4"/>
  <c r="C497" i="4"/>
  <c r="D497" i="4"/>
  <c r="B498" i="4"/>
  <c r="C498" i="4"/>
  <c r="D498" i="4"/>
  <c r="B499" i="4"/>
  <c r="C499" i="4"/>
  <c r="D499" i="4"/>
  <c r="B500" i="4"/>
  <c r="C500" i="4"/>
  <c r="D500" i="4"/>
  <c r="B501" i="4"/>
  <c r="C501" i="4"/>
  <c r="D501" i="4"/>
  <c r="B502" i="4"/>
  <c r="C502" i="4"/>
  <c r="D502" i="4"/>
  <c r="B503" i="4"/>
  <c r="C503" i="4"/>
  <c r="D503" i="4"/>
  <c r="B504" i="4"/>
  <c r="C504" i="4"/>
  <c r="D504" i="4"/>
  <c r="B505" i="4"/>
  <c r="C505" i="4"/>
  <c r="D505" i="4"/>
  <c r="B506" i="4"/>
  <c r="C506" i="4"/>
  <c r="D506" i="4"/>
  <c r="B507" i="4"/>
  <c r="C507" i="4"/>
  <c r="D507" i="4"/>
  <c r="B508" i="4"/>
  <c r="C508" i="4"/>
  <c r="D508" i="4"/>
  <c r="B509" i="4"/>
  <c r="C509" i="4"/>
  <c r="D509" i="4"/>
  <c r="B510" i="4"/>
  <c r="C510" i="4"/>
  <c r="D510" i="4"/>
  <c r="B511" i="4"/>
  <c r="C511" i="4"/>
  <c r="D511" i="4"/>
  <c r="B512" i="4"/>
  <c r="C512" i="4"/>
  <c r="D512" i="4"/>
  <c r="B513" i="4"/>
  <c r="C513" i="4"/>
  <c r="D513" i="4"/>
  <c r="B514" i="4"/>
  <c r="C514" i="4"/>
  <c r="D514" i="4"/>
  <c r="B515" i="4"/>
  <c r="C515" i="4"/>
  <c r="D515" i="4"/>
  <c r="B516" i="4"/>
  <c r="C516" i="4"/>
  <c r="D516" i="4"/>
  <c r="B517" i="4"/>
  <c r="C517" i="4"/>
  <c r="D517" i="4"/>
  <c r="B518" i="4"/>
  <c r="C518" i="4"/>
  <c r="D518" i="4"/>
  <c r="B519" i="4"/>
  <c r="C519" i="4"/>
  <c r="D519" i="4"/>
  <c r="B520" i="4"/>
  <c r="C520" i="4"/>
  <c r="D520" i="4"/>
  <c r="B521" i="4"/>
  <c r="C521" i="4"/>
  <c r="D521" i="4"/>
  <c r="B522" i="4"/>
  <c r="C522" i="4"/>
  <c r="D522" i="4"/>
  <c r="B523" i="4"/>
  <c r="C523" i="4"/>
  <c r="D523" i="4"/>
  <c r="B524" i="4"/>
  <c r="C524" i="4"/>
  <c r="D524" i="4"/>
  <c r="B525" i="4"/>
  <c r="C525" i="4"/>
  <c r="D525" i="4"/>
  <c r="B526" i="4"/>
  <c r="C526" i="4"/>
  <c r="D526" i="4"/>
  <c r="B527" i="4"/>
  <c r="C527" i="4"/>
  <c r="D527" i="4"/>
  <c r="B528" i="4"/>
  <c r="C528" i="4"/>
  <c r="D528" i="4"/>
  <c r="B529" i="4"/>
  <c r="C529" i="4"/>
  <c r="D529" i="4"/>
  <c r="B530" i="4"/>
  <c r="C530" i="4"/>
  <c r="D530" i="4"/>
  <c r="B531" i="4"/>
  <c r="C531" i="4"/>
  <c r="D531" i="4"/>
  <c r="B532" i="4"/>
  <c r="C532" i="4"/>
  <c r="D532" i="4"/>
  <c r="B533" i="4"/>
  <c r="C533" i="4"/>
  <c r="D533" i="4"/>
  <c r="B534" i="4"/>
  <c r="C534" i="4"/>
  <c r="D534" i="4"/>
  <c r="B535" i="4"/>
  <c r="C535" i="4"/>
  <c r="D535" i="4"/>
  <c r="B536" i="4"/>
  <c r="C536" i="4"/>
  <c r="D536" i="4"/>
  <c r="B537" i="4"/>
  <c r="C537" i="4"/>
  <c r="D537" i="4"/>
  <c r="B538" i="4"/>
  <c r="C538" i="4"/>
  <c r="D538" i="4"/>
  <c r="B539" i="4"/>
  <c r="C539" i="4"/>
  <c r="D539" i="4"/>
  <c r="B540" i="4"/>
  <c r="C540" i="4"/>
  <c r="D540" i="4"/>
  <c r="B541" i="4"/>
  <c r="C541" i="4"/>
  <c r="D541" i="4"/>
  <c r="B542" i="4"/>
  <c r="C542" i="4"/>
  <c r="D542" i="4"/>
  <c r="B543" i="4"/>
  <c r="C543" i="4"/>
  <c r="D543" i="4"/>
  <c r="B544" i="4"/>
  <c r="C544" i="4"/>
  <c r="D544" i="4"/>
  <c r="B545" i="4"/>
  <c r="C545" i="4"/>
  <c r="D545" i="4"/>
  <c r="B546" i="4"/>
  <c r="C546" i="4"/>
  <c r="D546" i="4"/>
  <c r="B547" i="4"/>
  <c r="C547" i="4"/>
  <c r="D547" i="4"/>
  <c r="B548" i="4"/>
  <c r="C548" i="4"/>
  <c r="D548" i="4"/>
  <c r="B549" i="4"/>
  <c r="C549" i="4"/>
  <c r="D549" i="4"/>
  <c r="B550" i="4"/>
  <c r="C550" i="4"/>
  <c r="D550" i="4"/>
  <c r="B551" i="4"/>
  <c r="C551" i="4"/>
  <c r="D551" i="4"/>
  <c r="B552" i="4"/>
  <c r="C552" i="4"/>
  <c r="D552" i="4"/>
  <c r="B553" i="4"/>
  <c r="C553" i="4"/>
  <c r="D553" i="4"/>
  <c r="B554" i="4"/>
  <c r="C554" i="4"/>
  <c r="D554" i="4"/>
  <c r="B555" i="4"/>
  <c r="C555" i="4"/>
  <c r="D555" i="4"/>
  <c r="B556" i="4"/>
  <c r="C556" i="4"/>
  <c r="D556" i="4"/>
  <c r="B557" i="4"/>
  <c r="C557" i="4"/>
  <c r="D557" i="4"/>
  <c r="B558" i="4"/>
  <c r="C558" i="4"/>
  <c r="D558" i="4"/>
  <c r="B559" i="4"/>
  <c r="C559" i="4"/>
  <c r="D559" i="4"/>
  <c r="B560" i="4"/>
  <c r="C560" i="4"/>
  <c r="D560" i="4"/>
  <c r="B561" i="4"/>
  <c r="C561" i="4"/>
  <c r="D561" i="4"/>
  <c r="B562" i="4"/>
  <c r="C562" i="4"/>
  <c r="D562" i="4"/>
  <c r="B563" i="4"/>
  <c r="C563" i="4"/>
  <c r="D563" i="4"/>
  <c r="B564" i="4"/>
  <c r="C564" i="4"/>
  <c r="D564" i="4"/>
  <c r="B565" i="4"/>
  <c r="C565" i="4"/>
  <c r="D565" i="4"/>
  <c r="B566" i="4"/>
  <c r="C566" i="4"/>
  <c r="D566" i="4"/>
  <c r="B567" i="4"/>
  <c r="C567" i="4"/>
  <c r="D567" i="4"/>
  <c r="B568" i="4"/>
  <c r="C568" i="4"/>
  <c r="D568" i="4"/>
  <c r="B569" i="4"/>
  <c r="C569" i="4"/>
  <c r="D569" i="4"/>
  <c r="B570" i="4"/>
  <c r="C570" i="4"/>
  <c r="D570" i="4"/>
  <c r="B571" i="4"/>
  <c r="C571" i="4"/>
  <c r="D571" i="4"/>
  <c r="B572" i="4"/>
  <c r="C572" i="4"/>
  <c r="D572" i="4"/>
  <c r="B573" i="4"/>
  <c r="C573" i="4"/>
  <c r="D573" i="4"/>
  <c r="B574" i="4"/>
  <c r="C574" i="4"/>
  <c r="D574" i="4"/>
  <c r="B575" i="4"/>
  <c r="C575" i="4"/>
  <c r="D575" i="4"/>
  <c r="B576" i="4"/>
  <c r="C576" i="4"/>
  <c r="D576" i="4"/>
  <c r="B577" i="4"/>
  <c r="C577" i="4"/>
  <c r="D577" i="4"/>
  <c r="B578" i="4"/>
  <c r="C578" i="4"/>
  <c r="D578" i="4"/>
  <c r="B579" i="4"/>
  <c r="C579" i="4"/>
  <c r="D579" i="4"/>
  <c r="B580" i="4"/>
  <c r="C580" i="4"/>
  <c r="D580" i="4"/>
  <c r="B581" i="4"/>
  <c r="C581" i="4"/>
  <c r="D581" i="4"/>
  <c r="B582" i="4"/>
  <c r="C582" i="4"/>
  <c r="D582" i="4"/>
  <c r="B583" i="4"/>
  <c r="C583" i="4"/>
  <c r="D583" i="4"/>
  <c r="B584" i="4"/>
  <c r="C584" i="4"/>
  <c r="D584" i="4"/>
  <c r="B585" i="4"/>
  <c r="C585" i="4"/>
  <c r="D585" i="4"/>
  <c r="B586" i="4"/>
  <c r="C586" i="4"/>
  <c r="D586" i="4"/>
  <c r="B587" i="4"/>
  <c r="C587" i="4"/>
  <c r="D587" i="4"/>
  <c r="B588" i="4"/>
  <c r="C588" i="4"/>
  <c r="D588" i="4"/>
  <c r="B589" i="4"/>
  <c r="C589" i="4"/>
  <c r="D589" i="4"/>
  <c r="B590" i="4"/>
  <c r="C590" i="4"/>
  <c r="D590" i="4"/>
  <c r="B591" i="4"/>
  <c r="C591" i="4"/>
  <c r="D591" i="4"/>
  <c r="B592" i="4"/>
  <c r="C592" i="4"/>
  <c r="D592" i="4"/>
  <c r="B593" i="4"/>
  <c r="C593" i="4"/>
  <c r="D593" i="4"/>
  <c r="B594" i="4"/>
  <c r="C594" i="4"/>
  <c r="D594" i="4"/>
  <c r="B595" i="4"/>
  <c r="C595" i="4"/>
  <c r="D595" i="4"/>
  <c r="B596" i="4"/>
  <c r="C596" i="4"/>
  <c r="D596" i="4"/>
  <c r="B597" i="4"/>
  <c r="C597" i="4"/>
  <c r="D597" i="4"/>
  <c r="B598" i="4"/>
  <c r="C598" i="4"/>
  <c r="D598" i="4"/>
  <c r="B599" i="4"/>
  <c r="C599" i="4"/>
  <c r="D599" i="4"/>
  <c r="B600" i="4"/>
  <c r="C600" i="4"/>
  <c r="D600" i="4"/>
  <c r="B601" i="4"/>
  <c r="C601" i="4"/>
  <c r="D601" i="4"/>
  <c r="B602" i="4"/>
  <c r="C602" i="4"/>
  <c r="D602" i="4"/>
  <c r="B603" i="4"/>
  <c r="C603" i="4"/>
  <c r="D603" i="4"/>
  <c r="B604" i="4"/>
  <c r="C604" i="4"/>
  <c r="D604" i="4"/>
  <c r="B605" i="4"/>
  <c r="C605" i="4"/>
  <c r="D605" i="4"/>
  <c r="B606" i="4"/>
  <c r="C606" i="4"/>
  <c r="D606" i="4"/>
  <c r="B607" i="4"/>
  <c r="C607" i="4"/>
  <c r="D607" i="4"/>
  <c r="B608" i="4"/>
  <c r="C608" i="4"/>
  <c r="D608" i="4"/>
  <c r="B609" i="4"/>
  <c r="C609" i="4"/>
  <c r="D609" i="4"/>
  <c r="B610" i="4"/>
  <c r="C610" i="4"/>
  <c r="D610" i="4"/>
  <c r="B611" i="4"/>
  <c r="C611" i="4"/>
  <c r="D611" i="4"/>
  <c r="B612" i="4"/>
  <c r="C612" i="4"/>
  <c r="D612" i="4"/>
  <c r="B613" i="4"/>
  <c r="C613" i="4"/>
  <c r="D613" i="4"/>
  <c r="B614" i="4"/>
  <c r="C614" i="4"/>
  <c r="D614" i="4"/>
  <c r="B615" i="4"/>
  <c r="C615" i="4"/>
  <c r="D615" i="4"/>
  <c r="B616" i="4"/>
  <c r="C616" i="4"/>
  <c r="D616" i="4"/>
  <c r="B617" i="4"/>
  <c r="C617" i="4"/>
  <c r="D617" i="4"/>
  <c r="B618" i="4"/>
  <c r="C618" i="4"/>
  <c r="D618" i="4"/>
  <c r="B619" i="4"/>
  <c r="C619" i="4"/>
  <c r="D619" i="4"/>
  <c r="B620" i="4"/>
  <c r="C620" i="4"/>
  <c r="D620" i="4"/>
  <c r="B621" i="4"/>
  <c r="C621" i="4"/>
  <c r="D621" i="4"/>
  <c r="B622" i="4"/>
  <c r="C622" i="4"/>
  <c r="D622" i="4"/>
  <c r="B623" i="4"/>
  <c r="C623" i="4"/>
  <c r="D623" i="4"/>
  <c r="B624" i="4"/>
  <c r="C624" i="4"/>
  <c r="D624" i="4"/>
  <c r="B625" i="4"/>
  <c r="C625" i="4"/>
  <c r="D625" i="4"/>
  <c r="B626" i="4"/>
  <c r="C626" i="4"/>
  <c r="D626" i="4"/>
  <c r="B627" i="4"/>
  <c r="C627" i="4"/>
  <c r="D627" i="4"/>
  <c r="B628" i="4"/>
  <c r="C628" i="4"/>
  <c r="D628" i="4"/>
  <c r="B629" i="4"/>
  <c r="C629" i="4"/>
  <c r="D629" i="4"/>
  <c r="B630" i="4"/>
  <c r="C630" i="4"/>
  <c r="D630" i="4"/>
  <c r="B631" i="4"/>
  <c r="C631" i="4"/>
  <c r="D631" i="4"/>
  <c r="B632" i="4"/>
  <c r="C632" i="4"/>
  <c r="D632" i="4"/>
  <c r="B633" i="4"/>
  <c r="C633" i="4"/>
  <c r="D633" i="4"/>
  <c r="B634" i="4"/>
  <c r="C634" i="4"/>
  <c r="D634" i="4"/>
  <c r="B635" i="4"/>
  <c r="C635" i="4"/>
  <c r="D635" i="4"/>
  <c r="B636" i="4"/>
  <c r="C636" i="4"/>
  <c r="D636" i="4"/>
  <c r="B637" i="4"/>
  <c r="C637" i="4"/>
  <c r="D637" i="4"/>
  <c r="B638" i="4"/>
  <c r="C638" i="4"/>
  <c r="D638" i="4"/>
  <c r="B639" i="4"/>
  <c r="C639" i="4"/>
  <c r="D639" i="4"/>
  <c r="B640" i="4"/>
  <c r="C640" i="4"/>
  <c r="D640" i="4"/>
  <c r="B641" i="4"/>
  <c r="C641" i="4"/>
  <c r="D641" i="4"/>
  <c r="B642" i="4"/>
  <c r="C642" i="4"/>
  <c r="D642" i="4"/>
  <c r="B643" i="4"/>
  <c r="C643" i="4"/>
  <c r="D643" i="4"/>
  <c r="B644" i="4"/>
  <c r="C644" i="4"/>
  <c r="D644" i="4"/>
  <c r="B645" i="4"/>
  <c r="C645" i="4"/>
  <c r="D645" i="4"/>
  <c r="B646" i="4"/>
  <c r="C646" i="4"/>
  <c r="D646" i="4"/>
  <c r="B647" i="4"/>
  <c r="C647" i="4"/>
  <c r="D647" i="4"/>
  <c r="B648" i="4"/>
  <c r="C648" i="4"/>
  <c r="D648" i="4"/>
  <c r="B649" i="4"/>
  <c r="C649" i="4"/>
  <c r="D649" i="4"/>
  <c r="B650" i="4"/>
  <c r="C650" i="4"/>
  <c r="D650" i="4"/>
  <c r="B651" i="4"/>
  <c r="C651" i="4"/>
  <c r="D651" i="4"/>
  <c r="B652" i="4"/>
  <c r="C652" i="4"/>
  <c r="D652" i="4"/>
  <c r="B653" i="4"/>
  <c r="C653" i="4"/>
  <c r="D653" i="4"/>
  <c r="B654" i="4"/>
  <c r="C654" i="4"/>
  <c r="D654" i="4"/>
  <c r="B655" i="4"/>
  <c r="C655" i="4"/>
  <c r="D655" i="4"/>
  <c r="B656" i="4"/>
  <c r="C656" i="4"/>
  <c r="D656" i="4"/>
  <c r="B657" i="4"/>
  <c r="C657" i="4"/>
  <c r="D657" i="4"/>
  <c r="B658" i="4"/>
  <c r="C658" i="4"/>
  <c r="D658" i="4"/>
  <c r="B659" i="4"/>
  <c r="C659" i="4"/>
  <c r="D659" i="4"/>
  <c r="B660" i="4"/>
  <c r="C660" i="4"/>
  <c r="D660" i="4"/>
  <c r="B661" i="4"/>
  <c r="C661" i="4"/>
  <c r="D661" i="4"/>
  <c r="B662" i="4"/>
  <c r="C662" i="4"/>
  <c r="D662" i="4"/>
  <c r="B663" i="4"/>
  <c r="C663" i="4"/>
  <c r="D663" i="4"/>
  <c r="B664" i="4"/>
  <c r="C664" i="4"/>
  <c r="D664" i="4"/>
  <c r="B665" i="4"/>
  <c r="C665" i="4"/>
  <c r="D665" i="4"/>
  <c r="B666" i="4"/>
  <c r="C666" i="4"/>
  <c r="D666" i="4"/>
  <c r="B667" i="4"/>
  <c r="C667" i="4"/>
  <c r="D667" i="4"/>
  <c r="B668" i="4"/>
  <c r="C668" i="4"/>
  <c r="D668" i="4"/>
  <c r="B669" i="4"/>
  <c r="C669" i="4"/>
  <c r="D669" i="4"/>
  <c r="B670" i="4"/>
  <c r="C670" i="4"/>
  <c r="D670" i="4"/>
  <c r="B671" i="4"/>
  <c r="C671" i="4"/>
  <c r="D671" i="4"/>
  <c r="B672" i="4"/>
  <c r="C672" i="4"/>
  <c r="D672" i="4"/>
  <c r="B673" i="4"/>
  <c r="C673" i="4"/>
  <c r="D673" i="4"/>
  <c r="B674" i="4"/>
  <c r="C674" i="4"/>
  <c r="D674" i="4"/>
  <c r="B675" i="4"/>
  <c r="C675" i="4"/>
  <c r="D675" i="4"/>
  <c r="B676" i="4"/>
  <c r="C676" i="4"/>
  <c r="D676" i="4"/>
  <c r="B677" i="4"/>
  <c r="C677" i="4"/>
  <c r="D677" i="4"/>
  <c r="B678" i="4"/>
  <c r="C678" i="4"/>
  <c r="D678" i="4"/>
  <c r="B679" i="4"/>
  <c r="C679" i="4"/>
  <c r="D679" i="4"/>
  <c r="B680" i="4"/>
  <c r="C680" i="4"/>
  <c r="D680" i="4"/>
  <c r="B681" i="4"/>
  <c r="C681" i="4"/>
  <c r="D681" i="4"/>
  <c r="B682" i="4"/>
  <c r="C682" i="4"/>
  <c r="D682" i="4"/>
  <c r="B683" i="4"/>
  <c r="C683" i="4"/>
  <c r="D683" i="4"/>
  <c r="B684" i="4"/>
  <c r="C684" i="4"/>
  <c r="D684" i="4"/>
  <c r="B685" i="4"/>
  <c r="C685" i="4"/>
  <c r="D685" i="4"/>
  <c r="B686" i="4"/>
  <c r="C686" i="4"/>
  <c r="D686" i="4"/>
  <c r="B687" i="4"/>
  <c r="C687" i="4"/>
  <c r="D687" i="4"/>
  <c r="B688" i="4"/>
  <c r="C688" i="4"/>
  <c r="D688" i="4"/>
  <c r="B689" i="4"/>
  <c r="C689" i="4"/>
  <c r="D689" i="4"/>
  <c r="B690" i="4"/>
  <c r="C690" i="4"/>
  <c r="D690" i="4"/>
  <c r="B691" i="4"/>
  <c r="C691" i="4"/>
  <c r="D691" i="4"/>
  <c r="B692" i="4"/>
  <c r="C692" i="4"/>
  <c r="D692" i="4"/>
  <c r="B693" i="4"/>
  <c r="C693" i="4"/>
  <c r="D693" i="4"/>
  <c r="B694" i="4"/>
  <c r="C694" i="4"/>
  <c r="D694" i="4"/>
  <c r="B695" i="4"/>
  <c r="C695" i="4"/>
  <c r="D695" i="4"/>
  <c r="B696" i="4"/>
  <c r="C696" i="4"/>
  <c r="D696" i="4"/>
  <c r="B697" i="4"/>
  <c r="C697" i="4"/>
  <c r="D697" i="4"/>
  <c r="B698" i="4"/>
  <c r="C698" i="4"/>
  <c r="D698" i="4"/>
  <c r="B699" i="4"/>
  <c r="C699" i="4"/>
  <c r="D699" i="4"/>
  <c r="B700" i="4"/>
  <c r="C700" i="4"/>
  <c r="D700" i="4"/>
  <c r="B701" i="4"/>
  <c r="C701" i="4"/>
  <c r="D701" i="4"/>
  <c r="B702" i="4"/>
  <c r="C702" i="4"/>
  <c r="D702" i="4"/>
  <c r="B703" i="4"/>
  <c r="C703" i="4"/>
  <c r="D703" i="4"/>
  <c r="B704" i="4"/>
  <c r="C704" i="4"/>
  <c r="D704" i="4"/>
  <c r="B705" i="4"/>
  <c r="C705" i="4"/>
  <c r="D705" i="4"/>
  <c r="B706" i="4"/>
  <c r="C706" i="4"/>
  <c r="D706" i="4"/>
  <c r="B707" i="4"/>
  <c r="C707" i="4"/>
  <c r="D707" i="4"/>
  <c r="B708" i="4"/>
  <c r="C708" i="4"/>
  <c r="D708" i="4"/>
  <c r="B709" i="4"/>
  <c r="C709" i="4"/>
  <c r="D709" i="4"/>
  <c r="B710" i="4"/>
  <c r="C710" i="4"/>
  <c r="D710" i="4"/>
  <c r="B711" i="4"/>
  <c r="C711" i="4"/>
  <c r="D711" i="4"/>
  <c r="B712" i="4"/>
  <c r="C712" i="4"/>
  <c r="D712" i="4"/>
  <c r="B713" i="4"/>
  <c r="C713" i="4"/>
  <c r="D713" i="4"/>
  <c r="B714" i="4"/>
  <c r="C714" i="4"/>
  <c r="D714" i="4"/>
  <c r="B715" i="4"/>
  <c r="C715" i="4"/>
  <c r="D715" i="4"/>
  <c r="B716" i="4"/>
  <c r="C716" i="4"/>
  <c r="D716" i="4"/>
  <c r="B717" i="4"/>
  <c r="C717" i="4"/>
  <c r="D717" i="4"/>
  <c r="B718" i="4"/>
  <c r="C718" i="4"/>
  <c r="D718" i="4"/>
  <c r="B719" i="4"/>
  <c r="C719" i="4"/>
  <c r="D719" i="4"/>
  <c r="B720" i="4"/>
  <c r="C720" i="4"/>
  <c r="D720" i="4"/>
  <c r="B721" i="4"/>
  <c r="C721" i="4"/>
  <c r="D721" i="4"/>
  <c r="B722" i="4"/>
  <c r="C722" i="4"/>
  <c r="D722" i="4"/>
  <c r="B723" i="4"/>
  <c r="C723" i="4"/>
  <c r="D723" i="4"/>
  <c r="B724" i="4"/>
  <c r="C724" i="4"/>
  <c r="D724" i="4"/>
  <c r="B725" i="4"/>
  <c r="C725" i="4"/>
  <c r="D725" i="4"/>
  <c r="B726" i="4"/>
  <c r="C726" i="4"/>
  <c r="D726" i="4"/>
  <c r="B727" i="4"/>
  <c r="C727" i="4"/>
  <c r="D727" i="4"/>
  <c r="B728" i="4"/>
  <c r="C728" i="4"/>
  <c r="D728" i="4"/>
  <c r="B729" i="4"/>
  <c r="C729" i="4"/>
  <c r="D729" i="4"/>
  <c r="B730" i="4"/>
  <c r="C730" i="4"/>
  <c r="D730" i="4"/>
  <c r="B731" i="4"/>
  <c r="C731" i="4"/>
  <c r="D731" i="4"/>
  <c r="B732" i="4"/>
  <c r="C732" i="4"/>
  <c r="D732" i="4"/>
  <c r="B733" i="4"/>
  <c r="C733" i="4"/>
  <c r="D733" i="4"/>
  <c r="B734" i="4"/>
  <c r="C734" i="4"/>
  <c r="D734" i="4"/>
  <c r="B735" i="4"/>
  <c r="C735" i="4"/>
  <c r="D735" i="4"/>
  <c r="B736" i="4"/>
  <c r="C736" i="4"/>
  <c r="D736" i="4"/>
  <c r="B737" i="4"/>
  <c r="C737" i="4"/>
  <c r="D737" i="4"/>
  <c r="B738" i="4"/>
  <c r="C738" i="4"/>
  <c r="D738" i="4"/>
  <c r="B739" i="4"/>
  <c r="C739" i="4"/>
  <c r="D739" i="4"/>
  <c r="B740" i="4"/>
  <c r="C740" i="4"/>
  <c r="D740" i="4"/>
  <c r="B741" i="4"/>
  <c r="C741" i="4"/>
  <c r="D741" i="4"/>
  <c r="B742" i="4"/>
  <c r="C742" i="4"/>
  <c r="D742" i="4"/>
  <c r="B743" i="4"/>
  <c r="C743" i="4"/>
  <c r="D743" i="4"/>
  <c r="B744" i="4"/>
  <c r="C744" i="4"/>
  <c r="D744" i="4"/>
  <c r="B745" i="4"/>
  <c r="C745" i="4"/>
  <c r="D745" i="4"/>
  <c r="B746" i="4"/>
  <c r="C746" i="4"/>
  <c r="D746" i="4"/>
  <c r="B747" i="4"/>
  <c r="C747" i="4"/>
  <c r="D747" i="4"/>
  <c r="B748" i="4"/>
  <c r="C748" i="4"/>
  <c r="D748" i="4"/>
  <c r="B749" i="4"/>
  <c r="C749" i="4"/>
  <c r="D749" i="4"/>
  <c r="B750" i="4"/>
  <c r="C750" i="4"/>
  <c r="D750" i="4"/>
  <c r="B751" i="4"/>
  <c r="C751" i="4"/>
  <c r="D751" i="4"/>
  <c r="B752" i="4"/>
  <c r="C752" i="4"/>
  <c r="D752" i="4"/>
  <c r="B753" i="4"/>
  <c r="C753" i="4"/>
  <c r="D753" i="4"/>
  <c r="B754" i="4"/>
  <c r="C754" i="4"/>
  <c r="D754" i="4"/>
  <c r="B755" i="4"/>
  <c r="C755" i="4"/>
  <c r="D755" i="4"/>
  <c r="B756" i="4"/>
  <c r="C756" i="4"/>
  <c r="D756" i="4"/>
  <c r="B757" i="4"/>
  <c r="C757" i="4"/>
  <c r="D757" i="4"/>
  <c r="B758" i="4"/>
  <c r="C758" i="4"/>
  <c r="D758" i="4"/>
  <c r="B759" i="4"/>
  <c r="C759" i="4"/>
  <c r="D759" i="4"/>
  <c r="B760" i="4"/>
  <c r="C760" i="4"/>
  <c r="D760" i="4"/>
  <c r="B761" i="4"/>
  <c r="C761" i="4"/>
  <c r="D761" i="4"/>
  <c r="B762" i="4"/>
  <c r="C762" i="4"/>
  <c r="D762" i="4"/>
  <c r="B763" i="4"/>
  <c r="C763" i="4"/>
  <c r="D763" i="4"/>
  <c r="B764" i="4"/>
  <c r="C764" i="4"/>
  <c r="D764" i="4"/>
  <c r="B765" i="4"/>
  <c r="C765" i="4"/>
  <c r="D765" i="4"/>
  <c r="B766" i="4"/>
  <c r="C766" i="4"/>
  <c r="D766" i="4"/>
  <c r="B767" i="4"/>
  <c r="C767" i="4"/>
  <c r="D767" i="4"/>
  <c r="B768" i="4"/>
  <c r="C768" i="4"/>
  <c r="D768" i="4"/>
  <c r="B769" i="4"/>
  <c r="C769" i="4"/>
  <c r="D769" i="4"/>
  <c r="B770" i="4"/>
  <c r="C770" i="4"/>
  <c r="D770" i="4"/>
  <c r="B771" i="4"/>
  <c r="C771" i="4"/>
  <c r="D771" i="4"/>
  <c r="B772" i="4"/>
  <c r="C772" i="4"/>
  <c r="D772" i="4"/>
  <c r="B773" i="4"/>
  <c r="C773" i="4"/>
  <c r="D773" i="4"/>
  <c r="B774" i="4"/>
  <c r="C774" i="4"/>
  <c r="D774" i="4"/>
  <c r="B775" i="4"/>
  <c r="C775" i="4"/>
  <c r="D775" i="4"/>
  <c r="B776" i="4"/>
  <c r="C776" i="4"/>
  <c r="D776" i="4"/>
  <c r="B777" i="4"/>
  <c r="C777" i="4"/>
  <c r="D777" i="4"/>
  <c r="B778" i="4"/>
  <c r="C778" i="4"/>
  <c r="D778" i="4"/>
  <c r="B779" i="4"/>
  <c r="C779" i="4"/>
  <c r="D779" i="4"/>
  <c r="B780" i="4"/>
  <c r="C780" i="4"/>
  <c r="D780" i="4"/>
  <c r="B781" i="4"/>
  <c r="C781" i="4"/>
  <c r="D781" i="4"/>
  <c r="B782" i="4"/>
  <c r="C782" i="4"/>
  <c r="D782" i="4"/>
  <c r="B783" i="4"/>
  <c r="C783" i="4"/>
  <c r="D783" i="4"/>
  <c r="B784" i="4"/>
  <c r="C784" i="4"/>
  <c r="D784" i="4"/>
  <c r="B785" i="4"/>
  <c r="C785" i="4"/>
  <c r="D785" i="4"/>
  <c r="B786" i="4"/>
  <c r="C786" i="4"/>
  <c r="D786" i="4"/>
  <c r="B787" i="4"/>
  <c r="C787" i="4"/>
  <c r="D787" i="4"/>
  <c r="B788" i="4"/>
  <c r="C788" i="4"/>
  <c r="D788" i="4"/>
  <c r="B789" i="4"/>
  <c r="C789" i="4"/>
  <c r="D789" i="4"/>
  <c r="B790" i="4"/>
  <c r="C790" i="4"/>
  <c r="D790" i="4"/>
  <c r="B791" i="4"/>
  <c r="C791" i="4"/>
  <c r="D791" i="4"/>
  <c r="B792" i="4"/>
  <c r="C792" i="4"/>
  <c r="D792" i="4"/>
  <c r="B793" i="4"/>
  <c r="C793" i="4"/>
  <c r="D793" i="4"/>
  <c r="B794" i="4"/>
  <c r="C794" i="4"/>
  <c r="D794" i="4"/>
  <c r="B795" i="4"/>
  <c r="C795" i="4"/>
  <c r="D795" i="4"/>
  <c r="B796" i="4"/>
  <c r="C796" i="4"/>
  <c r="D796" i="4"/>
  <c r="B797" i="4"/>
  <c r="C797" i="4"/>
  <c r="D797" i="4"/>
  <c r="B798" i="4"/>
  <c r="C798" i="4"/>
  <c r="D798" i="4"/>
  <c r="B799" i="4"/>
  <c r="C799" i="4"/>
  <c r="D799" i="4"/>
  <c r="B800" i="4"/>
  <c r="C800" i="4"/>
  <c r="D800" i="4"/>
  <c r="B801" i="4"/>
  <c r="C801" i="4"/>
  <c r="D801" i="4"/>
  <c r="B802" i="4"/>
  <c r="C802" i="4"/>
  <c r="D802" i="4"/>
  <c r="B803" i="4"/>
  <c r="C803" i="4"/>
  <c r="D803" i="4"/>
  <c r="B804" i="4"/>
  <c r="C804" i="4"/>
  <c r="D804" i="4"/>
  <c r="B805" i="4"/>
  <c r="C805" i="4"/>
  <c r="D805" i="4"/>
  <c r="B806" i="4"/>
  <c r="C806" i="4"/>
  <c r="D806" i="4"/>
  <c r="B807" i="4"/>
  <c r="C807" i="4"/>
  <c r="D807" i="4"/>
  <c r="B808" i="4"/>
  <c r="C808" i="4"/>
  <c r="D808" i="4"/>
  <c r="B809" i="4"/>
  <c r="C809" i="4"/>
  <c r="D809" i="4"/>
  <c r="B810" i="4"/>
  <c r="C810" i="4"/>
  <c r="D810" i="4"/>
  <c r="B811" i="4"/>
  <c r="C811" i="4"/>
  <c r="D811" i="4"/>
  <c r="B812" i="4"/>
  <c r="C812" i="4"/>
  <c r="D812" i="4"/>
  <c r="B813" i="4"/>
  <c r="C813" i="4"/>
  <c r="D813" i="4"/>
  <c r="B814" i="4"/>
  <c r="C814" i="4"/>
  <c r="D814" i="4"/>
  <c r="B815" i="4"/>
  <c r="C815" i="4"/>
  <c r="D815" i="4"/>
  <c r="B816" i="4"/>
  <c r="C816" i="4"/>
  <c r="D816" i="4"/>
  <c r="B817" i="4"/>
  <c r="C817" i="4"/>
  <c r="D817" i="4"/>
  <c r="B818" i="4"/>
  <c r="C818" i="4"/>
  <c r="D818" i="4"/>
  <c r="B819" i="4"/>
  <c r="C819" i="4"/>
  <c r="D819" i="4"/>
  <c r="B820" i="4"/>
  <c r="C820" i="4"/>
  <c r="D820" i="4"/>
  <c r="B821" i="4"/>
  <c r="C821" i="4"/>
  <c r="D821" i="4"/>
  <c r="B822" i="4"/>
  <c r="C822" i="4"/>
  <c r="D822" i="4"/>
  <c r="B823" i="4"/>
  <c r="C823" i="4"/>
  <c r="D823" i="4"/>
  <c r="B824" i="4"/>
  <c r="C824" i="4"/>
  <c r="D824" i="4"/>
  <c r="B825" i="4"/>
  <c r="C825" i="4"/>
  <c r="D825" i="4"/>
  <c r="B826" i="4"/>
  <c r="C826" i="4"/>
  <c r="D826" i="4"/>
  <c r="B827" i="4"/>
  <c r="C827" i="4"/>
  <c r="D827" i="4"/>
  <c r="B828" i="4"/>
  <c r="C828" i="4"/>
  <c r="D828" i="4"/>
  <c r="B829" i="4"/>
  <c r="C829" i="4"/>
  <c r="D829" i="4"/>
  <c r="B830" i="4"/>
  <c r="C830" i="4"/>
  <c r="D830" i="4"/>
  <c r="B831" i="4"/>
  <c r="C831" i="4"/>
  <c r="D831" i="4"/>
  <c r="B832" i="4"/>
  <c r="C832" i="4"/>
  <c r="D832" i="4"/>
  <c r="B833" i="4"/>
  <c r="C833" i="4"/>
  <c r="D833" i="4"/>
  <c r="B834" i="4"/>
  <c r="C834" i="4"/>
  <c r="D834" i="4"/>
  <c r="B835" i="4"/>
  <c r="C835" i="4"/>
  <c r="D835" i="4"/>
  <c r="B836" i="4"/>
  <c r="C836" i="4"/>
  <c r="D836" i="4"/>
  <c r="B837" i="4"/>
  <c r="C837" i="4"/>
  <c r="D837" i="4"/>
  <c r="B838" i="4"/>
  <c r="C838" i="4"/>
  <c r="D838" i="4"/>
  <c r="B839" i="4"/>
  <c r="C839" i="4"/>
  <c r="D839" i="4"/>
  <c r="B840" i="4"/>
  <c r="C840" i="4"/>
  <c r="D840" i="4"/>
  <c r="B841" i="4"/>
  <c r="C841" i="4"/>
  <c r="D841" i="4"/>
  <c r="B842" i="4"/>
  <c r="C842" i="4"/>
  <c r="D842" i="4"/>
  <c r="B843" i="4"/>
  <c r="C843" i="4"/>
  <c r="D843" i="4"/>
  <c r="B844" i="4"/>
  <c r="C844" i="4"/>
  <c r="D844" i="4"/>
  <c r="B845" i="4"/>
  <c r="C845" i="4"/>
  <c r="D845" i="4"/>
  <c r="B846" i="4"/>
  <c r="C846" i="4"/>
  <c r="D846" i="4"/>
  <c r="B847" i="4"/>
  <c r="C847" i="4"/>
  <c r="D847" i="4"/>
  <c r="B848" i="4"/>
  <c r="C848" i="4"/>
  <c r="D848" i="4"/>
  <c r="B849" i="4"/>
  <c r="C849" i="4"/>
  <c r="D849" i="4"/>
  <c r="B850" i="4"/>
  <c r="C850" i="4"/>
  <c r="D850" i="4"/>
  <c r="B851" i="4"/>
  <c r="C851" i="4"/>
  <c r="D851" i="4"/>
  <c r="B852" i="4"/>
  <c r="C852" i="4"/>
  <c r="D852" i="4"/>
  <c r="B853" i="4"/>
  <c r="C853" i="4"/>
  <c r="D853" i="4"/>
  <c r="B854" i="4"/>
  <c r="C854" i="4"/>
  <c r="D854" i="4"/>
  <c r="B855" i="4"/>
  <c r="C855" i="4"/>
  <c r="D855" i="4"/>
  <c r="B856" i="4"/>
  <c r="C856" i="4"/>
  <c r="D856" i="4"/>
  <c r="B857" i="4"/>
  <c r="C857" i="4"/>
  <c r="D857" i="4"/>
  <c r="B858" i="4"/>
  <c r="C858" i="4"/>
  <c r="D858" i="4"/>
  <c r="B859" i="4"/>
  <c r="C859" i="4"/>
  <c r="D859" i="4"/>
  <c r="B860" i="4"/>
  <c r="C860" i="4"/>
  <c r="D860" i="4"/>
  <c r="B861" i="4"/>
  <c r="C861" i="4"/>
  <c r="D861" i="4"/>
  <c r="B862" i="4"/>
  <c r="C862" i="4"/>
  <c r="D862" i="4"/>
  <c r="B863" i="4"/>
  <c r="C863" i="4"/>
  <c r="D863" i="4"/>
  <c r="B864" i="4"/>
  <c r="C864" i="4"/>
  <c r="D864" i="4"/>
  <c r="B865" i="4"/>
  <c r="C865" i="4"/>
  <c r="D865" i="4"/>
  <c r="B866" i="4"/>
  <c r="C866" i="4"/>
  <c r="D866" i="4"/>
  <c r="B867" i="4"/>
  <c r="C867" i="4"/>
  <c r="D867" i="4"/>
  <c r="B868" i="4"/>
  <c r="C868" i="4"/>
  <c r="D868" i="4"/>
  <c r="B869" i="4"/>
  <c r="C869" i="4"/>
  <c r="D869" i="4"/>
  <c r="B870" i="4"/>
  <c r="C870" i="4"/>
  <c r="D870" i="4"/>
  <c r="B871" i="4"/>
  <c r="C871" i="4"/>
  <c r="D871" i="4"/>
  <c r="B872" i="4"/>
  <c r="C872" i="4"/>
  <c r="D872" i="4"/>
  <c r="B873" i="4"/>
  <c r="C873" i="4"/>
  <c r="D873" i="4"/>
  <c r="B874" i="4"/>
  <c r="C874" i="4"/>
  <c r="D874" i="4"/>
  <c r="B875" i="4"/>
  <c r="C875" i="4"/>
  <c r="D875" i="4"/>
  <c r="B876" i="4"/>
  <c r="C876" i="4"/>
  <c r="D876" i="4"/>
  <c r="B877" i="4"/>
  <c r="C877" i="4"/>
  <c r="D877" i="4"/>
  <c r="B878" i="4"/>
  <c r="C878" i="4"/>
  <c r="D878" i="4"/>
  <c r="B879" i="4"/>
  <c r="C879" i="4"/>
  <c r="D879" i="4"/>
  <c r="B880" i="4"/>
  <c r="C880" i="4"/>
  <c r="D880" i="4"/>
  <c r="B881" i="4"/>
  <c r="C881" i="4"/>
  <c r="D881" i="4"/>
  <c r="B882" i="4"/>
  <c r="C882" i="4"/>
  <c r="D882" i="4"/>
  <c r="B883" i="4"/>
  <c r="C883" i="4"/>
  <c r="D883" i="4"/>
  <c r="B884" i="4"/>
  <c r="C884" i="4"/>
  <c r="D884" i="4"/>
  <c r="B885" i="4"/>
  <c r="C885" i="4"/>
  <c r="D885" i="4"/>
  <c r="B886" i="4"/>
  <c r="C886" i="4"/>
  <c r="D886" i="4"/>
  <c r="B887" i="4"/>
  <c r="C887" i="4"/>
  <c r="D887" i="4"/>
  <c r="B888" i="4"/>
  <c r="C888" i="4"/>
  <c r="D888" i="4"/>
  <c r="B889" i="4"/>
  <c r="C889" i="4"/>
  <c r="D889" i="4"/>
  <c r="B890" i="4"/>
  <c r="C890" i="4"/>
  <c r="D890" i="4"/>
  <c r="B891" i="4"/>
  <c r="C891" i="4"/>
  <c r="D891" i="4"/>
  <c r="B892" i="4"/>
  <c r="C892" i="4"/>
  <c r="D892" i="4"/>
  <c r="B893" i="4"/>
  <c r="C893" i="4"/>
  <c r="D893" i="4"/>
  <c r="B894" i="4"/>
  <c r="C894" i="4"/>
  <c r="D894" i="4"/>
  <c r="B895" i="4"/>
  <c r="C895" i="4"/>
  <c r="D895" i="4"/>
  <c r="B896" i="4"/>
  <c r="C896" i="4"/>
  <c r="D896" i="4"/>
  <c r="B897" i="4"/>
  <c r="C897" i="4"/>
  <c r="D897" i="4"/>
  <c r="B898" i="4"/>
  <c r="C898" i="4"/>
  <c r="D898" i="4"/>
  <c r="B899" i="4"/>
  <c r="C899" i="4"/>
  <c r="D899" i="4"/>
  <c r="B900" i="4"/>
  <c r="C900" i="4"/>
  <c r="D900" i="4"/>
  <c r="B901" i="4"/>
  <c r="C901" i="4"/>
  <c r="D901" i="4"/>
  <c r="B902" i="4"/>
  <c r="C902" i="4"/>
  <c r="D902" i="4"/>
  <c r="B903" i="4"/>
  <c r="C903" i="4"/>
  <c r="D903" i="4"/>
  <c r="B904" i="4"/>
  <c r="C904" i="4"/>
  <c r="D904" i="4"/>
  <c r="B905" i="4"/>
  <c r="C905" i="4"/>
  <c r="D905" i="4"/>
  <c r="B906" i="4"/>
  <c r="C906" i="4"/>
  <c r="D906" i="4"/>
  <c r="B907" i="4"/>
  <c r="C907" i="4"/>
  <c r="D907" i="4"/>
  <c r="B908" i="4"/>
  <c r="C908" i="4"/>
  <c r="D908" i="4"/>
  <c r="B909" i="4"/>
  <c r="C909" i="4"/>
  <c r="D909" i="4"/>
  <c r="B910" i="4"/>
  <c r="C910" i="4"/>
  <c r="D910" i="4"/>
  <c r="B911" i="4"/>
  <c r="C911" i="4"/>
  <c r="D911" i="4"/>
  <c r="B912" i="4"/>
  <c r="C912" i="4"/>
  <c r="D912" i="4"/>
  <c r="B913" i="4"/>
  <c r="C913" i="4"/>
  <c r="D913" i="4"/>
  <c r="B914" i="4"/>
  <c r="C914" i="4"/>
  <c r="D914" i="4"/>
  <c r="B915" i="4"/>
  <c r="C915" i="4"/>
  <c r="D915" i="4"/>
  <c r="B916" i="4"/>
  <c r="C916" i="4"/>
  <c r="D916" i="4"/>
  <c r="B917" i="4"/>
  <c r="C917" i="4"/>
  <c r="D917" i="4"/>
  <c r="B918" i="4"/>
  <c r="C918" i="4"/>
  <c r="D918" i="4"/>
  <c r="B919" i="4"/>
  <c r="C919" i="4"/>
  <c r="D919" i="4"/>
  <c r="B920" i="4"/>
  <c r="C920" i="4"/>
  <c r="D920" i="4"/>
  <c r="B921" i="4"/>
  <c r="C921" i="4"/>
  <c r="D921" i="4"/>
  <c r="B922" i="4"/>
  <c r="C922" i="4"/>
  <c r="D922" i="4"/>
  <c r="B923" i="4"/>
  <c r="C923" i="4"/>
  <c r="D923" i="4"/>
  <c r="B924" i="4"/>
  <c r="C924" i="4"/>
  <c r="D924" i="4"/>
  <c r="B925" i="4"/>
  <c r="C925" i="4"/>
  <c r="D925" i="4"/>
  <c r="B926" i="4"/>
  <c r="C926" i="4"/>
  <c r="D926" i="4"/>
  <c r="B927" i="4"/>
  <c r="C927" i="4"/>
  <c r="D927" i="4"/>
  <c r="B928" i="4"/>
  <c r="C928" i="4"/>
  <c r="D928" i="4"/>
  <c r="B929" i="4"/>
  <c r="C929" i="4"/>
  <c r="D929" i="4"/>
  <c r="B930" i="4"/>
  <c r="C930" i="4"/>
  <c r="D930" i="4"/>
  <c r="B931" i="4"/>
  <c r="C931" i="4"/>
  <c r="D931" i="4"/>
  <c r="B932" i="4"/>
  <c r="C932" i="4"/>
  <c r="D932" i="4"/>
  <c r="B933" i="4"/>
  <c r="C933" i="4"/>
  <c r="D933" i="4"/>
  <c r="B934" i="4"/>
  <c r="C934" i="4"/>
  <c r="D934" i="4"/>
  <c r="B935" i="4"/>
  <c r="C935" i="4"/>
  <c r="D935" i="4"/>
  <c r="B936" i="4"/>
  <c r="C936" i="4"/>
  <c r="D936" i="4"/>
  <c r="B937" i="4"/>
  <c r="C937" i="4"/>
  <c r="D937" i="4"/>
  <c r="B938" i="4"/>
  <c r="C938" i="4"/>
  <c r="D938" i="4"/>
  <c r="B939" i="4"/>
  <c r="C939" i="4"/>
  <c r="D939" i="4"/>
  <c r="B940" i="4"/>
  <c r="C940" i="4"/>
  <c r="D940" i="4"/>
  <c r="B941" i="4"/>
  <c r="C941" i="4"/>
  <c r="D941" i="4"/>
  <c r="B942" i="4"/>
  <c r="C942" i="4"/>
  <c r="D942" i="4"/>
  <c r="B943" i="4"/>
  <c r="C943" i="4"/>
  <c r="D943" i="4"/>
  <c r="B944" i="4"/>
  <c r="C944" i="4"/>
  <c r="D944" i="4"/>
  <c r="B945" i="4"/>
  <c r="C945" i="4"/>
  <c r="D945" i="4"/>
</calcChain>
</file>

<file path=xl/sharedStrings.xml><?xml version="1.0" encoding="utf-8"?>
<sst xmlns="http://schemas.openxmlformats.org/spreadsheetml/2006/main" count="4819" uniqueCount="3301">
  <si>
    <t>RECAPITULATIF</t>
  </si>
  <si>
    <t>TOTAL GENERAL HT</t>
  </si>
  <si>
    <t>TOTAL GENERAL TTC</t>
  </si>
  <si>
    <t>Fourniture et pose en alignement droit de bordurettes béton profil P1, P2, P3 ou 10x10 classe T y compris béton de fondation et solin</t>
  </si>
  <si>
    <t>Plus value pour pose de bordurettes en courbe</t>
  </si>
  <si>
    <t>Amenée et repli de l'équipe et du matériel de marquage</t>
  </si>
  <si>
    <t>Marquage définitif en résine de ligne axiale continue ou discontinue de largeur 2U</t>
  </si>
  <si>
    <t>Marquage définitif en résine de ligne axiale continue ou discontinue de largeur 3U</t>
  </si>
  <si>
    <t>Marquage définitif en résine de ligne axiale continue ou discontinue de largeur 5U</t>
  </si>
  <si>
    <t>Marquage transversal de bande stop largeur 0,50 m</t>
  </si>
  <si>
    <t>Marquage transversal de bande cédez le passage 0,50 m x 0,50m</t>
  </si>
  <si>
    <t>Marquage définitif de dents de requin</t>
  </si>
  <si>
    <t>Marquage définitif en résine de passage piétons</t>
  </si>
  <si>
    <t>U</t>
  </si>
  <si>
    <t>2.1</t>
  </si>
  <si>
    <t>2.1.1</t>
  </si>
  <si>
    <t>2.1.2</t>
  </si>
  <si>
    <t>2.1.3</t>
  </si>
  <si>
    <t>2.1.4</t>
  </si>
  <si>
    <t>2.1.5</t>
  </si>
  <si>
    <t>2.2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</si>
  <si>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</si>
  <si>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</si>
  <si>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</si>
  <si>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</si>
  <si>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</si>
  <si>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</si>
  <si>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</si>
  <si>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</si>
  <si>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2.3.1</t>
  </si>
  <si>
    <t>2.3.2</t>
  </si>
  <si>
    <t>2.3.3</t>
  </si>
  <si>
    <t>2.3.4</t>
  </si>
  <si>
    <t>2.3.5</t>
  </si>
  <si>
    <t>2.4.1</t>
  </si>
  <si>
    <t>2.4.2</t>
  </si>
  <si>
    <t>2.4.3</t>
  </si>
  <si>
    <t>2.4.4</t>
  </si>
  <si>
    <t>2.4.5</t>
  </si>
  <si>
    <t>2.4.6</t>
  </si>
  <si>
    <t>2.4.7</t>
  </si>
  <si>
    <t>2.5.1</t>
  </si>
  <si>
    <t>2.5.2</t>
  </si>
  <si>
    <t>2.5.3</t>
  </si>
  <si>
    <t>2.5.4</t>
  </si>
  <si>
    <t>2.5.5</t>
  </si>
  <si>
    <t>2.6.1</t>
  </si>
  <si>
    <t>2.6.2</t>
  </si>
  <si>
    <t>2.6.3</t>
  </si>
  <si>
    <t>2.6.4</t>
  </si>
  <si>
    <t>3.1.1</t>
  </si>
  <si>
    <t>3.1.2</t>
  </si>
  <si>
    <t>3.1.3</t>
  </si>
  <si>
    <t>3.1.5</t>
  </si>
  <si>
    <t>3.1.6</t>
  </si>
  <si>
    <t>3.2.1</t>
  </si>
  <si>
    <t>3.2.2</t>
  </si>
  <si>
    <t>3.2.3</t>
  </si>
  <si>
    <t>3.3</t>
  </si>
  <si>
    <t>3.3.1</t>
  </si>
  <si>
    <t>3.3.2</t>
  </si>
  <si>
    <t>3.3.3</t>
  </si>
  <si>
    <t>3.4.1</t>
  </si>
  <si>
    <t>3.4.2</t>
  </si>
  <si>
    <t>3.4.3</t>
  </si>
  <si>
    <t>3.5.1</t>
  </si>
  <si>
    <t>3.5.2</t>
  </si>
  <si>
    <t>3.2</t>
  </si>
  <si>
    <t>3.4</t>
  </si>
  <si>
    <t>3.5</t>
  </si>
  <si>
    <t>4.1.1</t>
  </si>
  <si>
    <t>4.1.6</t>
  </si>
  <si>
    <t>4.1.13</t>
  </si>
  <si>
    <t>4.1.14</t>
  </si>
  <si>
    <t>4.2.1</t>
  </si>
  <si>
    <t>4.2.2</t>
  </si>
  <si>
    <t>4.2.3</t>
  </si>
  <si>
    <t>4.2.4</t>
  </si>
  <si>
    <t>4.2.5</t>
  </si>
  <si>
    <t>4.2.6.2</t>
  </si>
  <si>
    <t>4.2.6.3</t>
  </si>
  <si>
    <t>4.2.7.2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</si>
  <si>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</si>
  <si>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</si>
  <si>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</si>
  <si>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</si>
  <si>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</si>
  <si>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</si>
  <si>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</si>
  <si>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</si>
  <si>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5.1.9.1</t>
  </si>
  <si>
    <t>5.1.9.2</t>
  </si>
  <si>
    <t>5.1.9.3</t>
  </si>
  <si>
    <t>Pelle automotrice avec godet de capacité comprise entre 450 et 800 litres</t>
  </si>
  <si>
    <t>15.1.10</t>
  </si>
  <si>
    <t>Pelle automotrice avec brise roche hydraulique supérieur à 0,550 tonnes</t>
  </si>
  <si>
    <t>15.1.11</t>
  </si>
  <si>
    <t>Autochargeur automoteur sur chenilles ou pneumatiques avec godet jusqu'à 500 litres de capacité</t>
  </si>
  <si>
    <t>12.9.4.24</t>
  </si>
  <si>
    <t>12.9.4.25</t>
  </si>
  <si>
    <t>12.9.4.26</t>
  </si>
  <si>
    <t>12.9.4.27</t>
  </si>
  <si>
    <t>12.9.4.28</t>
  </si>
  <si>
    <t>12.9.4.29.1</t>
  </si>
  <si>
    <t>12.9.4.29.2</t>
  </si>
  <si>
    <t>12.9.4.29.3</t>
  </si>
  <si>
    <t>12.9.4.29.4</t>
  </si>
  <si>
    <t>12.9.4.30.1</t>
  </si>
  <si>
    <t>12.9.4.30.2</t>
  </si>
  <si>
    <t>12.9.4.30.3</t>
  </si>
  <si>
    <t>12.9.4.30.4</t>
  </si>
  <si>
    <t>12.9.5.1.1</t>
  </si>
  <si>
    <t>12.9.5.1.2</t>
  </si>
  <si>
    <t>12.9.5.1.3</t>
  </si>
  <si>
    <t>12.9.5.1.4</t>
  </si>
  <si>
    <t>12.9.5.1.5</t>
  </si>
  <si>
    <t>12.9.5.1.6</t>
  </si>
  <si>
    <t>H</t>
  </si>
  <si>
    <t>DEMOLITION ET REFECTION DE CHAUSSEE ET TROTTOIRS</t>
  </si>
  <si>
    <t>5.2.4.1</t>
  </si>
  <si>
    <t>5.2.4.5</t>
  </si>
  <si>
    <t>5.2.4.8</t>
  </si>
  <si>
    <t>5.2.4.9</t>
  </si>
  <si>
    <t>6.7.1</t>
  </si>
  <si>
    <t>8.4.10</t>
  </si>
  <si>
    <t>8.4.11</t>
  </si>
  <si>
    <t>8.10.12</t>
  </si>
  <si>
    <t>8.11.2</t>
  </si>
  <si>
    <t>8.11.7</t>
  </si>
  <si>
    <t>8.11.10</t>
  </si>
  <si>
    <t>8.11.11</t>
  </si>
  <si>
    <t>8.11.12</t>
  </si>
  <si>
    <t>8.17.1</t>
  </si>
  <si>
    <t>8.17.4</t>
  </si>
  <si>
    <t>8.17.7</t>
  </si>
  <si>
    <t>10.2.5.5</t>
  </si>
  <si>
    <t>11.6.3</t>
  </si>
  <si>
    <t>11.8</t>
  </si>
  <si>
    <t>11.9</t>
  </si>
  <si>
    <t>DEMOLITION D'OUVRAGE DE TOUTE NATURE</t>
  </si>
  <si>
    <t>12</t>
  </si>
  <si>
    <t>12.2</t>
  </si>
  <si>
    <t>12.3</t>
  </si>
  <si>
    <t>12.4</t>
  </si>
  <si>
    <t>12.5</t>
  </si>
  <si>
    <t>12.6</t>
  </si>
  <si>
    <t>Qté DCE</t>
  </si>
  <si>
    <t>TVA 20%</t>
  </si>
  <si>
    <t>DOSSIER DE RECOLEMENT</t>
  </si>
  <si>
    <t>DEPLACEMENT DE CANDELABRE EXISTANT</t>
  </si>
  <si>
    <t>10.2.5.6</t>
  </si>
  <si>
    <t>10.2.7.1</t>
  </si>
  <si>
    <t>10.2.7.4</t>
  </si>
  <si>
    <t>6.1.1</t>
  </si>
  <si>
    <t>SOUS TOTAL INSTALLATIONS - SIGNALISATION - ETUDES - RECOLEMENT</t>
  </si>
  <si>
    <t>SOUS TOTAL DEMOLITION ET REFECTION DE CHAUSSE ET TROTTOIRS</t>
  </si>
  <si>
    <t>2.3</t>
  </si>
  <si>
    <t>DETAIL QUANTITATIF ESTIMATIF</t>
  </si>
  <si>
    <t>Dépose de réseau de signalisation lumineuse tricolore hors service</t>
  </si>
  <si>
    <t>Pelle automotrice avec godet jusqu'à 450 litres de capacité</t>
  </si>
  <si>
    <t>15.1.8</t>
  </si>
  <si>
    <t>Pelle automotrice avec brise roche hydraulique jusqu'à 0,550 tonnes</t>
  </si>
  <si>
    <t>15.1.9</t>
  </si>
  <si>
    <t>Débroussaillage</t>
  </si>
  <si>
    <t>Décapage de terre végétale et évacuation en décharge</t>
  </si>
  <si>
    <t>Décapage de terre végétale et mise en stock pour les besoins futurs des espaces verts</t>
  </si>
  <si>
    <t>Protection anti-racinaire</t>
  </si>
  <si>
    <t xml:space="preserve">ESPACES VERTS </t>
  </si>
  <si>
    <t>MOBILIER URBAIN</t>
  </si>
  <si>
    <t>Dépose de mobilier urbain</t>
  </si>
  <si>
    <t>1.1.3</t>
  </si>
  <si>
    <t>1.1.4</t>
  </si>
  <si>
    <t>1.1.5</t>
  </si>
  <si>
    <t>1.1.6</t>
  </si>
  <si>
    <t>AMENEE, MISE EN PLACE, LOCATION, ENTRETIEN ET REPLI DES INSTALLATIONS DE CHANTIER</t>
  </si>
  <si>
    <t>PANNEAU D'IDENTIFICATION DE CHANTIER</t>
  </si>
  <si>
    <t>SIGNALISATION TEMPORAIRE DE CHANTIER</t>
  </si>
  <si>
    <t>Montant du chantier compris entre 100 001 € HT et 300 000 € HT</t>
  </si>
  <si>
    <t>1.8</t>
  </si>
  <si>
    <t>ML/J</t>
  </si>
  <si>
    <t>1.9</t>
  </si>
  <si>
    <t>1.10</t>
  </si>
  <si>
    <t>1.11</t>
  </si>
  <si>
    <t>BARRIERES PROVISOIRES DE 1,30 M DE HAUTEUR</t>
  </si>
  <si>
    <t>1.12</t>
  </si>
  <si>
    <t>1.13</t>
  </si>
  <si>
    <t>COMMUNICATION VERS LES RIVERAINS</t>
  </si>
  <si>
    <t>CONSTAT D'HUISSIER</t>
  </si>
  <si>
    <t>Elagage d'arbres</t>
  </si>
  <si>
    <t>2.1.6</t>
  </si>
  <si>
    <t>2.1.7</t>
  </si>
  <si>
    <t>2.1.8</t>
  </si>
  <si>
    <t>2.2.1.1</t>
  </si>
  <si>
    <t>2.2.1.2</t>
  </si>
  <si>
    <t>2.2.1.3</t>
  </si>
  <si>
    <t>2.2.1.4</t>
  </si>
  <si>
    <t>2.2.1.5</t>
  </si>
  <si>
    <t>2.2.1.6</t>
  </si>
  <si>
    <t>2.2.1.7</t>
  </si>
  <si>
    <t>2.2.1.8</t>
  </si>
  <si>
    <t>2.2.2.1</t>
  </si>
  <si>
    <t>2.2.2.2</t>
  </si>
  <si>
    <t>2.2.2.3</t>
  </si>
  <si>
    <t>FOURNITURE ET POSE EN TRANCHEE OUVERTE DE FOURREAU EN PE TYPE TPC ET DE SES ACCESSOIRES</t>
  </si>
  <si>
    <t>M3</t>
  </si>
  <si>
    <t>10.2.13.1.1</t>
  </si>
  <si>
    <t>10.2.13.1.2</t>
  </si>
  <si>
    <t>10.2.13.1.3</t>
  </si>
  <si>
    <t>10.2.13.2.1</t>
  </si>
  <si>
    <t>10.2.13.2.2</t>
  </si>
  <si>
    <t>10.2.13.2.3</t>
  </si>
  <si>
    <t>10.2.13.2.4</t>
  </si>
  <si>
    <t>10.2.13.2.5</t>
  </si>
  <si>
    <t>10.2.13.3.1</t>
  </si>
  <si>
    <t>10.2.13.3.2</t>
  </si>
  <si>
    <t>10.2.13.3.3</t>
  </si>
  <si>
    <t>10.2.13.3.4</t>
  </si>
  <si>
    <t>12.9.5.1.7</t>
  </si>
  <si>
    <t>12.9.5.2.3</t>
  </si>
  <si>
    <t>12.9.5.2.4</t>
  </si>
  <si>
    <t>12.9.5.3.2</t>
  </si>
  <si>
    <t>12.9.5.3.3</t>
  </si>
  <si>
    <t>12.9.6.4</t>
  </si>
  <si>
    <t>Marquage définitif en résine de flèche droite ou de rabattement</t>
  </si>
  <si>
    <t>Marquage définitif en résine d'îlot directionnel</t>
  </si>
  <si>
    <t>Marquage définitif en résine jaune de zigzag d'arrêt de bus</t>
  </si>
  <si>
    <t>DEMOLITION DE CORPS DE CHAUSSEE OU DE TROTTOIR QUELLE QUE SOIT LA NATURE</t>
  </si>
  <si>
    <t>13.7.5</t>
  </si>
  <si>
    <t>13.7.8</t>
  </si>
  <si>
    <t>13.7.9</t>
  </si>
  <si>
    <t>13.7.10</t>
  </si>
  <si>
    <t>13.7.12</t>
  </si>
  <si>
    <t>13.7.13</t>
  </si>
  <si>
    <t>13.8.1</t>
  </si>
  <si>
    <t>13.8.2</t>
  </si>
  <si>
    <t>13.8.3</t>
  </si>
  <si>
    <t>13.8.4</t>
  </si>
  <si>
    <t>13.8.5</t>
  </si>
  <si>
    <t>13.8.6</t>
  </si>
  <si>
    <t>13.8.7</t>
  </si>
  <si>
    <t>13.8.8</t>
  </si>
  <si>
    <t>13.8.9</t>
  </si>
  <si>
    <t>13.8.10</t>
  </si>
  <si>
    <t>13.8.11</t>
  </si>
  <si>
    <t>13.8.12</t>
  </si>
  <si>
    <t>13.8.13</t>
  </si>
  <si>
    <t>13.8.14</t>
  </si>
  <si>
    <t>13.8.15</t>
  </si>
  <si>
    <t>13.8.16</t>
  </si>
  <si>
    <t>13.8.17</t>
  </si>
  <si>
    <t>13.8.18</t>
  </si>
  <si>
    <t>13.8.19</t>
  </si>
  <si>
    <t>13.8.20</t>
  </si>
  <si>
    <t>13.8.21</t>
  </si>
  <si>
    <t>13.8.22</t>
  </si>
  <si>
    <t>13.8.23</t>
  </si>
  <si>
    <t>13.8.24</t>
  </si>
  <si>
    <t>13.8.25</t>
  </si>
  <si>
    <t>13.8.26</t>
  </si>
  <si>
    <t>13.8.27</t>
  </si>
  <si>
    <t>13.8.28</t>
  </si>
  <si>
    <t>13.8.29</t>
  </si>
  <si>
    <t>13.8.30</t>
  </si>
  <si>
    <t>13.8.31</t>
  </si>
  <si>
    <t>8.4.6</t>
  </si>
  <si>
    <t>12.4.6</t>
  </si>
  <si>
    <t>12.7.1</t>
  </si>
  <si>
    <t>M2/J</t>
  </si>
  <si>
    <t>M2</t>
  </si>
  <si>
    <t>N° Prix</t>
  </si>
  <si>
    <t>INSTALLATIONS - SIGNALISATION - ETUDES - RECOLEMENT</t>
  </si>
  <si>
    <t>1.1</t>
  </si>
  <si>
    <t>1.1.1</t>
  </si>
  <si>
    <t>1.1.2</t>
  </si>
  <si>
    <t>1.2</t>
  </si>
  <si>
    <t>1.3</t>
  </si>
  <si>
    <t>Largeur 0,20 m non détectable</t>
  </si>
  <si>
    <t>Largeur 0,30 m non détectable</t>
  </si>
  <si>
    <t>Largeur 0,50 m non détectable</t>
  </si>
  <si>
    <t>BARRIERES PROVISOIRES DE TYPE HERAS</t>
  </si>
  <si>
    <t>Nom de l'entreprise :</t>
  </si>
  <si>
    <t>Autochargeur automoteur sur chenilles ou pneumatiques avec godet de capacité comprise entre 500 et 1500 litres</t>
  </si>
  <si>
    <t>Autochargeur automoteur sur chenilles ou pneumatiques avec godet de capacité comprise entre 1500 et 2000 litres</t>
  </si>
  <si>
    <t>Amenée ou repliement de matériel nécessitant un porte engin</t>
  </si>
  <si>
    <t>15.2</t>
  </si>
  <si>
    <t>MATERIEL SANS PERSONNEL MAIS AVEC LES FOURNITURES D'ENTRETIEN ET DE FONCTIONNEMENT</t>
  </si>
  <si>
    <t>15.2.1</t>
  </si>
  <si>
    <t>Fourgon automobile jusqu'à 3,5 tonnes de charge utile</t>
  </si>
  <si>
    <t>15.2.2</t>
  </si>
  <si>
    <t>Pilonneuse ou plaque vibrante d'un poids inférieur à 150 kg</t>
  </si>
  <si>
    <t>15.2.3</t>
  </si>
  <si>
    <t>Plaque vibrante d'un poids supérieur à 150 kg</t>
  </si>
  <si>
    <t>15.2.4</t>
  </si>
  <si>
    <t>Compresseur 3000 l/mn avec tuyaux et deux marteaux pneumatiques</t>
  </si>
  <si>
    <t>15.2.5</t>
  </si>
  <si>
    <t>Groupe électrogène de puissance inférieure à 50 kVA</t>
  </si>
  <si>
    <t>3.9</t>
  </si>
  <si>
    <t>3.9.1</t>
  </si>
  <si>
    <t>3.9.2</t>
  </si>
  <si>
    <t>3.9.3</t>
  </si>
  <si>
    <t>3.9.4</t>
  </si>
  <si>
    <t>3.9.5</t>
  </si>
  <si>
    <t>3.9.6</t>
  </si>
  <si>
    <t>Montant du chantier compris entre 10 001 € HT et 30 000 € HT</t>
  </si>
  <si>
    <t>Montant du chantier compris entre 30 001 € HT et 50 000 € HT</t>
  </si>
  <si>
    <t>Montant du chantier compris entre 50 001 € HT et 80 000 € HT</t>
  </si>
  <si>
    <t>Montant du chantier compris entre 80 001 € HT et 100 000 € HT</t>
  </si>
  <si>
    <t>12.7</t>
  </si>
  <si>
    <t>1.1.7</t>
  </si>
  <si>
    <t>Lit de pose en sable 0/5</t>
  </si>
  <si>
    <t>1.3.7</t>
  </si>
  <si>
    <t>1.3.8</t>
  </si>
  <si>
    <t>1.3.9</t>
  </si>
  <si>
    <t>1.3.10</t>
  </si>
  <si>
    <t>1.3.11</t>
  </si>
  <si>
    <t>T</t>
  </si>
  <si>
    <t>1.7</t>
  </si>
  <si>
    <t>1.7.1</t>
  </si>
  <si>
    <t>1.7.2</t>
  </si>
  <si>
    <t>1.7.3</t>
  </si>
  <si>
    <t>11.1</t>
  </si>
  <si>
    <t>11.1.1</t>
  </si>
  <si>
    <t>11.2</t>
  </si>
  <si>
    <t>11.2.1</t>
  </si>
  <si>
    <t>11.2.2</t>
  </si>
  <si>
    <t>11.2.3</t>
  </si>
  <si>
    <t>11.2.4</t>
  </si>
  <si>
    <t>11.2.5</t>
  </si>
  <si>
    <t>11.3</t>
  </si>
  <si>
    <t>11.3.1</t>
  </si>
  <si>
    <t>11.3.2</t>
  </si>
  <si>
    <t>11.3.3</t>
  </si>
  <si>
    <t>11.3.4</t>
  </si>
  <si>
    <t>11.3.5</t>
  </si>
  <si>
    <t>11.4</t>
  </si>
  <si>
    <t>11.5</t>
  </si>
  <si>
    <t>11.5.1</t>
  </si>
  <si>
    <t>11.5.2</t>
  </si>
  <si>
    <t>11.5.3</t>
  </si>
  <si>
    <t>11.5.4</t>
  </si>
  <si>
    <t>11.5.5</t>
  </si>
  <si>
    <t>11.6</t>
  </si>
  <si>
    <t>11.6.1</t>
  </si>
  <si>
    <t>11.6.2</t>
  </si>
  <si>
    <t>Réfection provisoire de chaussée comprenant 30 cm de grave 0/31,5 et un enduit gravillonné bicouche aux granulats porphyre</t>
  </si>
  <si>
    <t>5.1.9.4</t>
  </si>
  <si>
    <t>5.1.9.5</t>
  </si>
  <si>
    <t>5.1.9.6</t>
  </si>
  <si>
    <t>5.1.9.7</t>
  </si>
  <si>
    <t>5.1.9.8</t>
  </si>
  <si>
    <t>5.1.9.9</t>
  </si>
  <si>
    <t>5.1.9.10</t>
  </si>
  <si>
    <t>5.1.10.1</t>
  </si>
  <si>
    <t>5.1.10.2</t>
  </si>
  <si>
    <t>5.1.10.3</t>
  </si>
  <si>
    <t>5.1.11.1</t>
  </si>
  <si>
    <t>5.1.12</t>
  </si>
  <si>
    <t>5.1.13.1</t>
  </si>
  <si>
    <t>5.1.13.2</t>
  </si>
  <si>
    <t>5.2.1.1</t>
  </si>
  <si>
    <t>5.2.1.3</t>
  </si>
  <si>
    <t>5.2.1.4</t>
  </si>
  <si>
    <t>5.2.1.5</t>
  </si>
  <si>
    <t>5.2.1.6</t>
  </si>
  <si>
    <t>5.2.1.7</t>
  </si>
  <si>
    <t>5.2.1.8</t>
  </si>
  <si>
    <t>5.2.1.9</t>
  </si>
  <si>
    <t>5.2.1.10</t>
  </si>
  <si>
    <t>5.2.1.11</t>
  </si>
  <si>
    <t>5.2.1.12</t>
  </si>
  <si>
    <t>5.2.1.13</t>
  </si>
  <si>
    <t>5.2.2.3</t>
  </si>
  <si>
    <t>5.2.2.6</t>
  </si>
  <si>
    <t>5.2.2.7</t>
  </si>
  <si>
    <t>5.2.2.8</t>
  </si>
  <si>
    <t>5.2.2.10</t>
  </si>
  <si>
    <t>5.2.3.2</t>
  </si>
  <si>
    <t>5.2.4.2</t>
  </si>
  <si>
    <t>5.2.4.3</t>
  </si>
  <si>
    <t>5.2.4.4</t>
  </si>
  <si>
    <t>5.2.4.6</t>
  </si>
  <si>
    <t>5.2.4.7</t>
  </si>
  <si>
    <t>5.2.4.10</t>
  </si>
  <si>
    <t>5.2.4.11</t>
  </si>
  <si>
    <t>5.2.4.12</t>
  </si>
  <si>
    <t>5.2.4.13</t>
  </si>
  <si>
    <t>5.2.4.14</t>
  </si>
  <si>
    <t>5.2.4.15</t>
  </si>
  <si>
    <t>5.2.4.16</t>
  </si>
  <si>
    <t>5.2.4.17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</si>
  <si>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</si>
  <si>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</si>
  <si>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</si>
  <si>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</si>
  <si>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</si>
  <si>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</si>
  <si>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</si>
  <si>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</si>
  <si>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</si>
  <si>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</si>
  <si>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5.3.11</t>
  </si>
  <si>
    <t>5.3.12</t>
  </si>
  <si>
    <t>5.3.13</t>
  </si>
  <si>
    <t>5.3.14</t>
  </si>
  <si>
    <t>5.3.15</t>
  </si>
  <si>
    <t>5.3.16</t>
  </si>
  <si>
    <t>5.3.17</t>
  </si>
  <si>
    <t>6.1</t>
  </si>
  <si>
    <t>6.2</t>
  </si>
  <si>
    <t>6.3</t>
  </si>
  <si>
    <t>6.4</t>
  </si>
  <si>
    <t>6.5</t>
  </si>
  <si>
    <t>6.6</t>
  </si>
  <si>
    <t>6.7</t>
  </si>
  <si>
    <t>6.13</t>
  </si>
  <si>
    <t>Dépose manuelle de pavage et stockage</t>
  </si>
  <si>
    <t>1.3.2.1</t>
  </si>
  <si>
    <t>1.3.3.1</t>
  </si>
  <si>
    <t>4.1.2</t>
  </si>
  <si>
    <t>4.1.3</t>
  </si>
  <si>
    <t>4.1.4</t>
  </si>
  <si>
    <t>4.1.5</t>
  </si>
  <si>
    <t>4.1.7</t>
  </si>
  <si>
    <t>4.1.8</t>
  </si>
  <si>
    <t>4.1.9</t>
  </si>
  <si>
    <t>4.1.10</t>
  </si>
  <si>
    <t>4.1.11</t>
  </si>
  <si>
    <t>4.1.12</t>
  </si>
  <si>
    <t>4.2.6.1</t>
  </si>
  <si>
    <t>4.2.7.1</t>
  </si>
  <si>
    <t>4.2.7.3</t>
  </si>
  <si>
    <t>5.1.11.2</t>
  </si>
  <si>
    <t>5.1.11.3</t>
  </si>
  <si>
    <t>5.2.1.2</t>
  </si>
  <si>
    <t>5.2.2.1</t>
  </si>
  <si>
    <t>5.2.2.2</t>
  </si>
  <si>
    <t>5.2.2.4</t>
  </si>
  <si>
    <t>5.2.2.5</t>
  </si>
  <si>
    <t>5.2.2.9</t>
  </si>
  <si>
    <t>5.2.3.1</t>
  </si>
  <si>
    <t>Repose de Bordures et caniveaux</t>
  </si>
  <si>
    <t>Fourniture et pose de Bordures et caniveaux</t>
  </si>
  <si>
    <t>10.2.5.1</t>
  </si>
  <si>
    <t>10.2.5.2</t>
  </si>
  <si>
    <t>10.2.5.3</t>
  </si>
  <si>
    <t>10.2.5.4</t>
  </si>
  <si>
    <t>10.2.6.1</t>
  </si>
  <si>
    <t>10.2.6.2</t>
  </si>
  <si>
    <t>10.2.6.3</t>
  </si>
  <si>
    <t>10.2.7.2</t>
  </si>
  <si>
    <t>10.2.7.3</t>
  </si>
  <si>
    <t>10.2.8.1</t>
  </si>
  <si>
    <t>10.2.8.2</t>
  </si>
  <si>
    <t>10.2.8.3</t>
  </si>
  <si>
    <t>10.2.8.4</t>
  </si>
  <si>
    <t>10.2.9.2</t>
  </si>
  <si>
    <t>10.2.10.1</t>
  </si>
  <si>
    <t>10.2.10.2</t>
  </si>
  <si>
    <t>10.2.11.1</t>
  </si>
  <si>
    <t>10.2.12.1</t>
  </si>
  <si>
    <t>10.2.12.2</t>
  </si>
  <si>
    <t>10.2.13.1.4</t>
  </si>
  <si>
    <t>10.2.13.1.5</t>
  </si>
  <si>
    <t>10.2.13.1.6</t>
  </si>
  <si>
    <t>10.2.13.2.6</t>
  </si>
  <si>
    <t>10.2.13.4.5</t>
  </si>
  <si>
    <t>10.2.14.1.5</t>
  </si>
  <si>
    <t>10.2.14.1.6</t>
  </si>
  <si>
    <t>10.2.14.2.5</t>
  </si>
  <si>
    <t>10.2.14.3.5</t>
  </si>
  <si>
    <t>10.2.14.4.6</t>
  </si>
  <si>
    <t>10.3</t>
  </si>
  <si>
    <t>10.3.1</t>
  </si>
  <si>
    <t>10.3.2</t>
  </si>
  <si>
    <t>10.3.3</t>
  </si>
  <si>
    <t>10.3.4</t>
  </si>
  <si>
    <t>10.3.5</t>
  </si>
  <si>
    <t>10.3.6</t>
  </si>
  <si>
    <t>10.3.7</t>
  </si>
  <si>
    <t>10.3.8</t>
  </si>
  <si>
    <t>10.3.9</t>
  </si>
  <si>
    <t>10.3.10</t>
  </si>
  <si>
    <t>10.3.11</t>
  </si>
  <si>
    <t>10.3.12</t>
  </si>
  <si>
    <t>10.3.13</t>
  </si>
  <si>
    <t>10.3.14</t>
  </si>
  <si>
    <t>10.3.15</t>
  </si>
  <si>
    <t>10.3.16</t>
  </si>
  <si>
    <t>10.3.17</t>
  </si>
  <si>
    <t>10.3.18</t>
  </si>
  <si>
    <t>10.3.19</t>
  </si>
  <si>
    <t>10.3.20</t>
  </si>
  <si>
    <t>10.3.21</t>
  </si>
  <si>
    <t>10.4</t>
  </si>
  <si>
    <t>10.4.1</t>
  </si>
  <si>
    <t>10.4.2</t>
  </si>
  <si>
    <t>10.4.3</t>
  </si>
  <si>
    <t>10.4.4</t>
  </si>
  <si>
    <t>10.4.5</t>
  </si>
  <si>
    <t>10.4.6</t>
  </si>
  <si>
    <t>10.4.7</t>
  </si>
  <si>
    <t>10.4.8</t>
  </si>
  <si>
    <t>10.4.9</t>
  </si>
  <si>
    <t>10.4.10</t>
  </si>
  <si>
    <t>10.4.11</t>
  </si>
  <si>
    <t>CM/M2</t>
  </si>
  <si>
    <t>8.5</t>
  </si>
  <si>
    <t>CHARGEMENT-DECHARGEMENT-TRANSPORT EN CENTRE DE STOCKAGE ET TRAITEMENT DES DEBLAIS DE TOUTE NATURE</t>
  </si>
  <si>
    <t>6.14</t>
  </si>
  <si>
    <t>6.15</t>
  </si>
  <si>
    <t>6.16</t>
  </si>
  <si>
    <t>6.5.1</t>
  </si>
  <si>
    <t>6.5.2</t>
  </si>
  <si>
    <t>6.6.1</t>
  </si>
  <si>
    <t>6.6.2</t>
  </si>
  <si>
    <t>6.6.3</t>
  </si>
  <si>
    <t>6.7.2</t>
  </si>
  <si>
    <t>6.7.3</t>
  </si>
  <si>
    <t>5.3</t>
  </si>
  <si>
    <t>5.4</t>
  </si>
  <si>
    <t>5.4.1</t>
  </si>
  <si>
    <t>5.4.2</t>
  </si>
  <si>
    <t>5.4.3</t>
  </si>
  <si>
    <t>14.3</t>
  </si>
  <si>
    <t>MISE A DISPOSITION DE PERSONNEL AVEC PETIT OUTILLAGE, EN SEMAINE ENTRE 21H ET 6H</t>
  </si>
  <si>
    <t>14.3.1</t>
  </si>
  <si>
    <t>14.3.2</t>
  </si>
  <si>
    <t>14.3.3</t>
  </si>
  <si>
    <t>14.4</t>
  </si>
  <si>
    <t>PLUS VALUE AUX PRIX CI-AVANT POUR MISE A DISPOSITION DE PERSONNEL LE DIMANCHE ET LES JOURS FERIES</t>
  </si>
  <si>
    <t>14.4.1</t>
  </si>
  <si>
    <t>14.4.2</t>
  </si>
  <si>
    <t>14.4.3</t>
  </si>
  <si>
    <t>14.5</t>
  </si>
  <si>
    <t>14.5.1</t>
  </si>
  <si>
    <t>14.5.2</t>
  </si>
  <si>
    <t>15</t>
  </si>
  <si>
    <t>LOCATION DE MATERIEL</t>
  </si>
  <si>
    <t>15.1</t>
  </si>
  <si>
    <t>MATERIEL Y COMPRIS CONDUCTEUR, FOURNITURE D'ENTRETIEN ET DE FONCTIONNEMENT</t>
  </si>
  <si>
    <t>15.1.1</t>
  </si>
  <si>
    <t>Camion benne jusqu'à 4 tonnes de charge utile</t>
  </si>
  <si>
    <t>15.1.2</t>
  </si>
  <si>
    <t>Camion benne au-delà de 4 tonnes et jusqu'à 8 tonnes de charge utile</t>
  </si>
  <si>
    <t>15.1.3</t>
  </si>
  <si>
    <t>Camion benne au-delà de 8 tonnes et jusqu'à 15 tonnes de charge utile</t>
  </si>
  <si>
    <t>15.1.4</t>
  </si>
  <si>
    <t>Camion benne au-delà de 15 tonnes et jusqu'à 26 tonnes de charge utile</t>
  </si>
  <si>
    <t>15.1.5</t>
  </si>
  <si>
    <t>Plus value aux prix des camions benne pour utilisation d'un bras de levage</t>
  </si>
  <si>
    <t>15.1.6</t>
  </si>
  <si>
    <t>Semi remorque plateau porte engin jusqu'à 26 tonnes de charge utile</t>
  </si>
  <si>
    <t>15.1.7</t>
  </si>
  <si>
    <t>Ingénieur</t>
  </si>
  <si>
    <t>14.2</t>
  </si>
  <si>
    <t>MISE A DISPOSITION DE PERSONNEL AVEC PETIT OUTILLAGE, EN SEMAINE ENTRE 17H ET 21H ET ENTRE 6H ET 8H</t>
  </si>
  <si>
    <t>2.2.4.1</t>
  </si>
  <si>
    <t>2.2.4.2</t>
  </si>
  <si>
    <t>Plus-value au prix 3.1.1 par cm supplémentaire d'épaisseur</t>
  </si>
  <si>
    <t>Démolition/rabotage des revêtements jusqu'à 6 cm d'épaisseur</t>
  </si>
  <si>
    <t>Dépose de caniveau quel que soit le type</t>
  </si>
  <si>
    <t>Dépose mécanique de pavage et stockage</t>
  </si>
  <si>
    <t>3.6</t>
  </si>
  <si>
    <t>3.7.1</t>
  </si>
  <si>
    <t>3.7.2</t>
  </si>
  <si>
    <t>Fourniture et pose de revêtement de dalles quelle que soit l'épaisseur</t>
  </si>
  <si>
    <t>3.8.1</t>
  </si>
  <si>
    <t>3.8.2</t>
  </si>
  <si>
    <t>Marquage définitif en résine</t>
  </si>
  <si>
    <t>4</t>
  </si>
  <si>
    <t>4.1</t>
  </si>
  <si>
    <t>4.2</t>
  </si>
  <si>
    <t>4.3</t>
  </si>
  <si>
    <t>4.3.1</t>
  </si>
  <si>
    <t>4.3.2</t>
  </si>
  <si>
    <t>4.4</t>
  </si>
  <si>
    <t>4.5</t>
  </si>
  <si>
    <t>4.6</t>
  </si>
  <si>
    <t>4.7</t>
  </si>
  <si>
    <t>5</t>
  </si>
  <si>
    <t>5.1</t>
  </si>
  <si>
    <t>5.2</t>
  </si>
  <si>
    <t>6.2.1</t>
  </si>
  <si>
    <t>6.2.2</t>
  </si>
  <si>
    <t>7.2.4</t>
  </si>
  <si>
    <t>7.2.5</t>
  </si>
  <si>
    <t>7.2.6</t>
  </si>
  <si>
    <t>7.2.7</t>
  </si>
  <si>
    <t>7.2.8</t>
  </si>
  <si>
    <t>7.3</t>
  </si>
  <si>
    <t>7.3.1</t>
  </si>
  <si>
    <t>7.3.2</t>
  </si>
  <si>
    <t>7.4</t>
  </si>
  <si>
    <t>DECOUPE DES ENROBES</t>
  </si>
  <si>
    <t>DEMOLITION/RABOTAGE DES REVETEMENTS QUELLE QUE SOIT LA NATURE</t>
  </si>
  <si>
    <t>DEPOSE DE PAVAGE ET STOCKAGE</t>
  </si>
  <si>
    <t>REFECTION DES CHAUSSEES ET TROTTOIRS</t>
  </si>
  <si>
    <t>SIGNALISATION HORIZONTALE</t>
  </si>
  <si>
    <t>BLINDAGE DES FOUILLES</t>
  </si>
  <si>
    <t>8.10.4</t>
  </si>
  <si>
    <t>8.10.5</t>
  </si>
  <si>
    <t>8.10.6</t>
  </si>
  <si>
    <t>8.10.7</t>
  </si>
  <si>
    <t>8.10.8</t>
  </si>
  <si>
    <t>8.10.9</t>
  </si>
  <si>
    <t>8.10.10</t>
  </si>
  <si>
    <t>8.10.11</t>
  </si>
  <si>
    <t>8.11.1</t>
  </si>
  <si>
    <t>8.11.3</t>
  </si>
  <si>
    <t>8.11.4</t>
  </si>
  <si>
    <t>8.11.5</t>
  </si>
  <si>
    <t>8.11.6</t>
  </si>
  <si>
    <t>8.11.8</t>
  </si>
  <si>
    <t>8.11.9</t>
  </si>
  <si>
    <t>8.12.1</t>
  </si>
  <si>
    <t>8.12.2</t>
  </si>
  <si>
    <t>8.12.3</t>
  </si>
  <si>
    <t>8.12.4</t>
  </si>
  <si>
    <t>8.13.1</t>
  </si>
  <si>
    <t>8.13.2</t>
  </si>
  <si>
    <t>8.13.3</t>
  </si>
  <si>
    <t>8.13.4</t>
  </si>
  <si>
    <t>8.14.1</t>
  </si>
  <si>
    <t>8.14.2</t>
  </si>
  <si>
    <t>8.14.3</t>
  </si>
  <si>
    <t>8.14.4</t>
  </si>
  <si>
    <t>8.15.1</t>
  </si>
  <si>
    <t>8.15.2</t>
  </si>
  <si>
    <t>8.15.3</t>
  </si>
  <si>
    <t>8.15.4</t>
  </si>
  <si>
    <t>8.15.5</t>
  </si>
  <si>
    <t>8.15.6</t>
  </si>
  <si>
    <t>8.15.7</t>
  </si>
  <si>
    <t>8.16.1</t>
  </si>
  <si>
    <t>8.16.2</t>
  </si>
  <si>
    <t>8.16.3</t>
  </si>
  <si>
    <t>8.16.4</t>
  </si>
  <si>
    <t>8.17.2</t>
  </si>
  <si>
    <t>8.17.3</t>
  </si>
  <si>
    <t>8.17.5</t>
  </si>
  <si>
    <t>8.17.6</t>
  </si>
  <si>
    <t>8.17.8</t>
  </si>
  <si>
    <t>8.17.9</t>
  </si>
  <si>
    <t>8.17.10</t>
  </si>
  <si>
    <t>8.18.1</t>
  </si>
  <si>
    <t>8.18.2</t>
  </si>
  <si>
    <t>8.18.3</t>
  </si>
  <si>
    <t>8.18.4</t>
  </si>
  <si>
    <t>8.18.5</t>
  </si>
  <si>
    <t>8.18.6</t>
  </si>
  <si>
    <t>8.18.7</t>
  </si>
  <si>
    <t>8.18.8</t>
  </si>
  <si>
    <t>8.18.9</t>
  </si>
  <si>
    <t>8.18.10</t>
  </si>
  <si>
    <t>8.19.1</t>
  </si>
  <si>
    <t>8.19.2</t>
  </si>
  <si>
    <t>8.19.3</t>
  </si>
  <si>
    <t>8.19.4</t>
  </si>
  <si>
    <t>8.19.5</t>
  </si>
  <si>
    <t>8.19.6</t>
  </si>
  <si>
    <t>8.20.1</t>
  </si>
  <si>
    <t>8.20.2</t>
  </si>
  <si>
    <t>8.20.3</t>
  </si>
  <si>
    <t>8.20.4</t>
  </si>
  <si>
    <t>8.20.5</t>
  </si>
  <si>
    <t>8.20.6</t>
  </si>
  <si>
    <t>8.21.1</t>
  </si>
  <si>
    <t>8.21.2</t>
  </si>
  <si>
    <t>8.21.3</t>
  </si>
  <si>
    <t>8.21.4</t>
  </si>
  <si>
    <t>8.22.1</t>
  </si>
  <si>
    <t>8.22.2</t>
  </si>
  <si>
    <t>8.22.3</t>
  </si>
  <si>
    <t>8.22.4</t>
  </si>
  <si>
    <t>8.22.5</t>
  </si>
  <si>
    <t>8.23.1</t>
  </si>
  <si>
    <t>8.23.2</t>
  </si>
  <si>
    <t>8.23.3</t>
  </si>
  <si>
    <t>8.23.4</t>
  </si>
  <si>
    <t>8.24.1</t>
  </si>
  <si>
    <t>8.24.2</t>
  </si>
  <si>
    <t>8.24.3</t>
  </si>
  <si>
    <t>8.24.4</t>
  </si>
  <si>
    <t>8.25.1</t>
  </si>
  <si>
    <t>8.25.2</t>
  </si>
  <si>
    <t>8.25.3</t>
  </si>
  <si>
    <t>8.25.4</t>
  </si>
  <si>
    <t>8.26.1</t>
  </si>
  <si>
    <t>8.26.2</t>
  </si>
  <si>
    <t>8.26.3</t>
  </si>
  <si>
    <t>8.26.4</t>
  </si>
  <si>
    <t>8.26.5</t>
  </si>
  <si>
    <t>8.26.6</t>
  </si>
  <si>
    <t>8.27.1</t>
  </si>
  <si>
    <t>8.27.2</t>
  </si>
  <si>
    <t>8.27.3</t>
  </si>
  <si>
    <t>8.27.4</t>
  </si>
  <si>
    <t>8.27.5</t>
  </si>
  <si>
    <t>8.27.6</t>
  </si>
  <si>
    <t>8.27.7</t>
  </si>
  <si>
    <t>8.27.8</t>
  </si>
  <si>
    <t>8.28.1</t>
  </si>
  <si>
    <t>8.28.2</t>
  </si>
  <si>
    <t>8.28.3</t>
  </si>
  <si>
    <t>8.28.4</t>
  </si>
  <si>
    <t>8.28.5</t>
  </si>
  <si>
    <t>8.28.6</t>
  </si>
  <si>
    <t>8.28.7</t>
  </si>
  <si>
    <t>8.28.8</t>
  </si>
  <si>
    <t>8.29.1</t>
  </si>
  <si>
    <t>8.29.2</t>
  </si>
  <si>
    <t>8.29.3</t>
  </si>
  <si>
    <t>8.29.4</t>
  </si>
  <si>
    <t>8.29.5</t>
  </si>
  <si>
    <t>8.29.6</t>
  </si>
  <si>
    <t>8.30.1</t>
  </si>
  <si>
    <t>8.30.2</t>
  </si>
  <si>
    <t>8.30.3</t>
  </si>
  <si>
    <t>8.30.4</t>
  </si>
  <si>
    <t>8.31.1</t>
  </si>
  <si>
    <t>8.31.2</t>
  </si>
  <si>
    <t>8.31.3</t>
  </si>
  <si>
    <t>8.31.4</t>
  </si>
  <si>
    <t>8.31.5</t>
  </si>
  <si>
    <t>8.31.6</t>
  </si>
  <si>
    <t>8.31.7</t>
  </si>
  <si>
    <t>9.2</t>
  </si>
  <si>
    <t>9.3</t>
  </si>
  <si>
    <t>9.3.1</t>
  </si>
  <si>
    <t>6.8.1</t>
  </si>
  <si>
    <t>6.8.2</t>
  </si>
  <si>
    <t>6.8.3</t>
  </si>
  <si>
    <t>6.9.1</t>
  </si>
  <si>
    <t>6.9.2</t>
  </si>
  <si>
    <t>6.9.3</t>
  </si>
  <si>
    <t>6.10.1</t>
  </si>
  <si>
    <t>6.10.2</t>
  </si>
  <si>
    <t>6.10.3</t>
  </si>
  <si>
    <t>6.11</t>
  </si>
  <si>
    <t>6.12.1</t>
  </si>
  <si>
    <t>6.12.2</t>
  </si>
  <si>
    <t>6.17.1</t>
  </si>
  <si>
    <t>6.17.2</t>
  </si>
  <si>
    <t>6.17.3</t>
  </si>
  <si>
    <t>6.17.4</t>
  </si>
  <si>
    <t>6.17.5</t>
  </si>
  <si>
    <t>6.5.3</t>
  </si>
  <si>
    <t>7.1</t>
  </si>
  <si>
    <t>7.2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</si>
  <si>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</si>
  <si>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</si>
  <si>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</si>
  <si>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</si>
  <si>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</si>
  <si>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</si>
  <si>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</si>
  <si>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</si>
  <si>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</si>
  <si>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</si>
  <si>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8.1</t>
  </si>
  <si>
    <t>8.2</t>
  </si>
  <si>
    <t>8.3</t>
  </si>
  <si>
    <t>8.4</t>
  </si>
  <si>
    <t>8.2.1</t>
  </si>
  <si>
    <t>8.2.2</t>
  </si>
  <si>
    <t>8.2.3</t>
  </si>
  <si>
    <t>8.2.4</t>
  </si>
  <si>
    <t>8.2.5</t>
  </si>
  <si>
    <t>8.2.6</t>
  </si>
  <si>
    <t>8.2.7</t>
  </si>
  <si>
    <t>8.3.1</t>
  </si>
  <si>
    <t>8.3.2</t>
  </si>
  <si>
    <t>8.3.3</t>
  </si>
  <si>
    <t>8.3.4</t>
  </si>
  <si>
    <t>8.3.5</t>
  </si>
  <si>
    <t>8.3.6</t>
  </si>
  <si>
    <t>8.3.7</t>
  </si>
  <si>
    <t>8.3.8</t>
  </si>
  <si>
    <t>8.3.9</t>
  </si>
  <si>
    <t>8.3.10</t>
  </si>
  <si>
    <t>8.3.11</t>
  </si>
  <si>
    <t>8.4.1</t>
  </si>
  <si>
    <t>8.4.2</t>
  </si>
  <si>
    <t>8.4.3</t>
  </si>
  <si>
    <t>8.4.4</t>
  </si>
  <si>
    <t>8.4.5</t>
  </si>
  <si>
    <t>8.4.7</t>
  </si>
  <si>
    <t>8.4.8</t>
  </si>
  <si>
    <t>8.4.9</t>
  </si>
  <si>
    <t>8.5.1</t>
  </si>
  <si>
    <t>8.5.2</t>
  </si>
  <si>
    <t>8.5.3</t>
  </si>
  <si>
    <t>8.5.4</t>
  </si>
  <si>
    <t>8.5.5</t>
  </si>
  <si>
    <t>8.5.6</t>
  </si>
  <si>
    <t>8.5.7</t>
  </si>
  <si>
    <t>8.5.8</t>
  </si>
  <si>
    <t>8.5.9</t>
  </si>
  <si>
    <t>8.5.10</t>
  </si>
  <si>
    <t>8.5.11</t>
  </si>
  <si>
    <t>8.6.1</t>
  </si>
  <si>
    <t>8.6.2</t>
  </si>
  <si>
    <t>8.6.3</t>
  </si>
  <si>
    <t>8.6.4</t>
  </si>
  <si>
    <t>8.6.5</t>
  </si>
  <si>
    <t>8.6.6</t>
  </si>
  <si>
    <t>8.6.7</t>
  </si>
  <si>
    <t>8.6.8</t>
  </si>
  <si>
    <t>8.6.10</t>
  </si>
  <si>
    <t>8.6.11</t>
  </si>
  <si>
    <t>8.7.2</t>
  </si>
  <si>
    <t>8.8.1</t>
  </si>
  <si>
    <t>8.8.2</t>
  </si>
  <si>
    <t>8.8.3</t>
  </si>
  <si>
    <t>8.8.4</t>
  </si>
  <si>
    <t>8.8.5</t>
  </si>
  <si>
    <t>8.8.6</t>
  </si>
  <si>
    <t>8.8.7</t>
  </si>
  <si>
    <t>8.9.1</t>
  </si>
  <si>
    <t>8.9.2</t>
  </si>
  <si>
    <t>8.9.3</t>
  </si>
  <si>
    <t>8.9.4</t>
  </si>
  <si>
    <t>8.9.5</t>
  </si>
  <si>
    <t>8.9.6</t>
  </si>
  <si>
    <t>8.9.7</t>
  </si>
  <si>
    <t>8.9.8</t>
  </si>
  <si>
    <t>8.9.9</t>
  </si>
  <si>
    <t>8.9.10</t>
  </si>
  <si>
    <t>8.9.11</t>
  </si>
  <si>
    <t>8.9.12</t>
  </si>
  <si>
    <t>8.10.1</t>
  </si>
  <si>
    <t>8.10.2</t>
  </si>
  <si>
    <t>8.10.3</t>
  </si>
  <si>
    <t>9.3.2</t>
  </si>
  <si>
    <t>9.3.3</t>
  </si>
  <si>
    <t>9.3.4</t>
  </si>
  <si>
    <t>9.4.1</t>
  </si>
  <si>
    <t>9.4.2</t>
  </si>
  <si>
    <t>9.4.3</t>
  </si>
  <si>
    <t>9.4.4</t>
  </si>
  <si>
    <t>9.5.1</t>
  </si>
  <si>
    <t>9.5.2</t>
  </si>
  <si>
    <t>9.5.3</t>
  </si>
  <si>
    <t>9.5.4</t>
  </si>
  <si>
    <t>9.5.5</t>
  </si>
  <si>
    <t>9.5.6</t>
  </si>
  <si>
    <t>9.5.7</t>
  </si>
  <si>
    <t>9.5.8</t>
  </si>
  <si>
    <t>10.1</t>
  </si>
  <si>
    <t>10.1.1</t>
  </si>
  <si>
    <t>10.1.2</t>
  </si>
  <si>
    <t>10.1.3</t>
  </si>
  <si>
    <t>10.1.4</t>
  </si>
  <si>
    <t>10.1.5</t>
  </si>
  <si>
    <t>10.1.6</t>
  </si>
  <si>
    <t>10.1.7</t>
  </si>
  <si>
    <t>10.1.8</t>
  </si>
  <si>
    <t>10.1.9</t>
  </si>
  <si>
    <t>10.1.10</t>
  </si>
  <si>
    <t>10.1.11</t>
  </si>
  <si>
    <t>10.2</t>
  </si>
  <si>
    <t>10.2.1</t>
  </si>
  <si>
    <t>10.2.2</t>
  </si>
  <si>
    <t>10.2.3</t>
  </si>
  <si>
    <t>10.2.4.1</t>
  </si>
  <si>
    <t>10.2.4.2</t>
  </si>
  <si>
    <t>10.2.4.3</t>
  </si>
  <si>
    <t>10.2.4.4</t>
  </si>
  <si>
    <t>10.2.4.5</t>
  </si>
  <si>
    <t>10.2.4.6</t>
  </si>
  <si>
    <t>10.2.13.4.3</t>
  </si>
  <si>
    <t>10.2.13.4.4</t>
  </si>
  <si>
    <t>10.2.14.1.1</t>
  </si>
  <si>
    <t>10.2.14.1.2</t>
  </si>
  <si>
    <t>10.2.14.1.3</t>
  </si>
  <si>
    <t>10.2.14.1.4</t>
  </si>
  <si>
    <t>10.2.14.2.1</t>
  </si>
  <si>
    <t>10.2.14.2.2</t>
  </si>
  <si>
    <t>10.2.14.2.3</t>
  </si>
  <si>
    <t>10.2.14.2.4</t>
  </si>
  <si>
    <t>10.2.14.2.6</t>
  </si>
  <si>
    <t>10.2.14.3.1</t>
  </si>
  <si>
    <t>10.2.14.3.2</t>
  </si>
  <si>
    <t>10.2.14.3.3</t>
  </si>
  <si>
    <t>10.2.14.3.4</t>
  </si>
  <si>
    <t>10.2.14.3.6</t>
  </si>
  <si>
    <t>10.2.14.4.1</t>
  </si>
  <si>
    <t>10.2.14.4.2</t>
  </si>
  <si>
    <t>10.2.14.4.3</t>
  </si>
  <si>
    <t>10.2.14.4.4</t>
  </si>
  <si>
    <t>10.2.14.4.5</t>
  </si>
  <si>
    <t>10.2.15.1</t>
  </si>
  <si>
    <t>10.2.15.2</t>
  </si>
  <si>
    <t>10.2.15.3</t>
  </si>
  <si>
    <t>10.2.15.4</t>
  </si>
  <si>
    <t>11.1.1.1</t>
  </si>
  <si>
    <t>11.1.1.2</t>
  </si>
  <si>
    <t>11.1.1.3</t>
  </si>
  <si>
    <t>11.1.1.4</t>
  </si>
  <si>
    <t>11.1.2</t>
  </si>
  <si>
    <t>11.1.2.1</t>
  </si>
  <si>
    <t>11.1.2.2</t>
  </si>
  <si>
    <t>11.1.2.3</t>
  </si>
  <si>
    <t>11.1.3.1</t>
  </si>
  <si>
    <t>11.4.1</t>
  </si>
  <si>
    <t>11.4.2.1</t>
  </si>
  <si>
    <t>11.4.2.5</t>
  </si>
  <si>
    <t>11.4.3.1</t>
  </si>
  <si>
    <t>11.4.3.5</t>
  </si>
  <si>
    <t>11.4.4.1</t>
  </si>
  <si>
    <t>11.4.4.5</t>
  </si>
  <si>
    <t>11.6.1.1</t>
  </si>
  <si>
    <t>11.6.1.2</t>
  </si>
  <si>
    <t>11.6.1.3</t>
  </si>
  <si>
    <t>11.6.1.4</t>
  </si>
  <si>
    <t>11.6.1.5</t>
  </si>
  <si>
    <t>11.6.1.6</t>
  </si>
  <si>
    <t>11.6.1.7</t>
  </si>
  <si>
    <t>11.6.1.8</t>
  </si>
  <si>
    <t>11.6.1.9</t>
  </si>
  <si>
    <t>11.6.1.10</t>
  </si>
  <si>
    <t>11.6.1.11</t>
  </si>
  <si>
    <t>11.6.1.12</t>
  </si>
  <si>
    <t>11.6.2.1</t>
  </si>
  <si>
    <t>11.6.2.5</t>
  </si>
  <si>
    <t>11.6.2.6</t>
  </si>
  <si>
    <t>11.6.2.7</t>
  </si>
  <si>
    <t>11.6.2.8</t>
  </si>
  <si>
    <t>11.6.2.9</t>
  </si>
  <si>
    <t>11.7.1</t>
  </si>
  <si>
    <t>12.1.4</t>
  </si>
  <si>
    <t>12.2.1.2</t>
  </si>
  <si>
    <t>12.2.1.3</t>
  </si>
  <si>
    <t>12.2.1.4</t>
  </si>
  <si>
    <t>12.2.1.7</t>
  </si>
  <si>
    <t>12.6.3.1</t>
  </si>
  <si>
    <t>12.6.3.5</t>
  </si>
  <si>
    <t>12.6.3.6</t>
  </si>
  <si>
    <t>12.6.3.7</t>
  </si>
  <si>
    <t>12.7.4</t>
  </si>
  <si>
    <t>12.7.6</t>
  </si>
  <si>
    <t>12.7.7</t>
  </si>
  <si>
    <t>12.9.1.2</t>
  </si>
  <si>
    <t>12.9.1.3</t>
  </si>
  <si>
    <t>12.9.2.1</t>
  </si>
  <si>
    <t>12.9.2.5</t>
  </si>
  <si>
    <t>12.9.2.6</t>
  </si>
  <si>
    <t>12.9.2.7</t>
  </si>
  <si>
    <t>ETUDES D'EXECUTION</t>
  </si>
  <si>
    <t>10.5</t>
  </si>
  <si>
    <t>10.6</t>
  </si>
  <si>
    <t>12.10.1</t>
  </si>
  <si>
    <t>12.10.2</t>
  </si>
  <si>
    <t>12.10.3</t>
  </si>
  <si>
    <t>12.10.4</t>
  </si>
  <si>
    <t>12.10.5</t>
  </si>
  <si>
    <t>12.11.1</t>
  </si>
  <si>
    <t>12.11.2</t>
  </si>
  <si>
    <t>12.2.2.5</t>
  </si>
  <si>
    <t>12.9.5.2.2</t>
  </si>
  <si>
    <t>12.9.6.2</t>
  </si>
  <si>
    <t>12.9.6.3</t>
  </si>
  <si>
    <t>13.2</t>
  </si>
  <si>
    <t>13.1.1</t>
  </si>
  <si>
    <t>13.1.2</t>
  </si>
  <si>
    <t>13.1.3</t>
  </si>
  <si>
    <t>13.1.4</t>
  </si>
  <si>
    <t>13.1.5</t>
  </si>
  <si>
    <t>13.1.6</t>
  </si>
  <si>
    <t>13.1.7</t>
  </si>
  <si>
    <t>13.1.8</t>
  </si>
  <si>
    <t>13.1.9</t>
  </si>
  <si>
    <t>13.1.10</t>
  </si>
  <si>
    <t>13.1.11</t>
  </si>
  <si>
    <t>13.2.1</t>
  </si>
  <si>
    <t>13.2.2</t>
  </si>
  <si>
    <t>13.2.3</t>
  </si>
  <si>
    <t>13.2.4</t>
  </si>
  <si>
    <t>13.2.5</t>
  </si>
  <si>
    <t>13.2.6</t>
  </si>
  <si>
    <t>13.2.7</t>
  </si>
  <si>
    <t>13.2.8</t>
  </si>
  <si>
    <t>13.2.9</t>
  </si>
  <si>
    <t>13.2.10</t>
  </si>
  <si>
    <t>13.3.1</t>
  </si>
  <si>
    <t>13.3.2</t>
  </si>
  <si>
    <t>13.3.3</t>
  </si>
  <si>
    <t>13.3.4</t>
  </si>
  <si>
    <t>13.3.5</t>
  </si>
  <si>
    <t>13.3.6</t>
  </si>
  <si>
    <t>13.3.7</t>
  </si>
  <si>
    <t>13.3.8</t>
  </si>
  <si>
    <t>13.3.9</t>
  </si>
  <si>
    <t>13.3.10</t>
  </si>
  <si>
    <t>13.4.1</t>
  </si>
  <si>
    <t>13.4.2</t>
  </si>
  <si>
    <t>13.4.3</t>
  </si>
  <si>
    <t>13.5.1</t>
  </si>
  <si>
    <t>13.5.2</t>
  </si>
  <si>
    <t>13.5.3</t>
  </si>
  <si>
    <t>13.5.4</t>
  </si>
  <si>
    <t>13.6.1</t>
  </si>
  <si>
    <t>13.6.2</t>
  </si>
  <si>
    <t>13.6.3</t>
  </si>
  <si>
    <t>13.6.4</t>
  </si>
  <si>
    <t>13.6.5</t>
  </si>
  <si>
    <t>13.6.6</t>
  </si>
  <si>
    <t>13.6.7</t>
  </si>
  <si>
    <t>13.6.8</t>
  </si>
  <si>
    <t>13.6.9</t>
  </si>
  <si>
    <t>13.6.10</t>
  </si>
  <si>
    <t>13.6.11</t>
  </si>
  <si>
    <t>13.6.12</t>
  </si>
  <si>
    <t>13.6.13</t>
  </si>
  <si>
    <t>13.6.14</t>
  </si>
  <si>
    <t>13.6.15</t>
  </si>
  <si>
    <t>13.6.16</t>
  </si>
  <si>
    <t>13.6.17</t>
  </si>
  <si>
    <t>13.6.18</t>
  </si>
  <si>
    <t>13.6.19</t>
  </si>
  <si>
    <t>13.6.20</t>
  </si>
  <si>
    <t>13.7.2</t>
  </si>
  <si>
    <t>13.7.3</t>
  </si>
  <si>
    <t>13.7.4</t>
  </si>
  <si>
    <t>DESIGNATION</t>
  </si>
  <si>
    <t>UNITE</t>
  </si>
  <si>
    <t>PU EN €HT</t>
  </si>
  <si>
    <t>TOTAL EN €HT</t>
  </si>
  <si>
    <t>1.2.1</t>
  </si>
  <si>
    <t>1.2.2</t>
  </si>
  <si>
    <t>Panneau d'identification 1,20 x 0,80 m</t>
  </si>
  <si>
    <t>Panneau d'identification 2,20 x 1,50 m</t>
  </si>
  <si>
    <t>16</t>
  </si>
  <si>
    <t>16.1</t>
  </si>
  <si>
    <t>12.9.2.8</t>
  </si>
  <si>
    <t>12.9.3.1</t>
  </si>
  <si>
    <t>12.9.4.1</t>
  </si>
  <si>
    <t>12.9.4.5</t>
  </si>
  <si>
    <t>12.9.4.6</t>
  </si>
  <si>
    <t>12.9.4.7</t>
  </si>
  <si>
    <t>12.9.4.8</t>
  </si>
  <si>
    <t>12.9.4.9</t>
  </si>
  <si>
    <t>12.9.4.30.5</t>
  </si>
  <si>
    <t>12.9.4.30.6</t>
  </si>
  <si>
    <t>12.9.4.30.7</t>
  </si>
  <si>
    <t>12.9.4.30.8</t>
  </si>
  <si>
    <t>12.9.4.30.9</t>
  </si>
  <si>
    <t>12.9.4.30.10</t>
  </si>
  <si>
    <t>12.9.5.2.1</t>
  </si>
  <si>
    <t>12.9.5.2.5</t>
  </si>
  <si>
    <t>12.9.5.2.6</t>
  </si>
  <si>
    <t>12.9.5.3.1</t>
  </si>
  <si>
    <t>12.9.6.1</t>
  </si>
  <si>
    <t>12.9.7.1</t>
  </si>
  <si>
    <t>12.9.7.4</t>
  </si>
  <si>
    <t>12.11.3</t>
  </si>
  <si>
    <t>12.11.4</t>
  </si>
  <si>
    <t>13.1.12</t>
  </si>
  <si>
    <t>13.1.13</t>
  </si>
  <si>
    <t>13.7.1</t>
  </si>
  <si>
    <t>13.7.6</t>
  </si>
  <si>
    <t>13.7.7</t>
  </si>
  <si>
    <t>13.7.11</t>
  </si>
  <si>
    <t>13.7.14</t>
  </si>
  <si>
    <t>1</t>
  </si>
  <si>
    <t>2</t>
  </si>
  <si>
    <t>3</t>
  </si>
  <si>
    <t>3.1</t>
  </si>
  <si>
    <t>3.7</t>
  </si>
  <si>
    <t>3.8</t>
  </si>
  <si>
    <t>6</t>
  </si>
  <si>
    <t>7</t>
  </si>
  <si>
    <t>8</t>
  </si>
  <si>
    <t>87.1</t>
  </si>
  <si>
    <t>9</t>
  </si>
  <si>
    <t>9.1</t>
  </si>
  <si>
    <t>10</t>
  </si>
  <si>
    <t>11</t>
  </si>
  <si>
    <t>13</t>
  </si>
  <si>
    <t>13.1</t>
  </si>
  <si>
    <t/>
  </si>
  <si>
    <t>FT</t>
  </si>
  <si>
    <t>Fourreau TPC Ø 75 mm</t>
  </si>
  <si>
    <t>Fourreau TPC Ø 90 mm</t>
  </si>
  <si>
    <t>Fourreau TPC Ø 110 mm</t>
  </si>
  <si>
    <t>Fourreau TPC Ø 125 mm</t>
  </si>
  <si>
    <t>Fourreau TPC Ø 140 mm</t>
  </si>
  <si>
    <t>Fourreau TPC Ø 160 mm</t>
  </si>
  <si>
    <t>Fourreau TPC Ø 200 mm</t>
  </si>
  <si>
    <t>Fourreau TPC Ø 63 mm</t>
  </si>
  <si>
    <t>Fourreau LST Ø 30/33 mm</t>
  </si>
  <si>
    <t>Fourreau LST Ø 56/60 mm</t>
  </si>
  <si>
    <t>Fourreau LST Ø 75/80 mm</t>
  </si>
  <si>
    <t>Fourreau LST Ø 25/28 mm</t>
  </si>
  <si>
    <t>Enrobage en sable 0/5</t>
  </si>
  <si>
    <t>12.9.7.2</t>
  </si>
  <si>
    <t>12.9.7.3</t>
  </si>
  <si>
    <t>10.2.7.5</t>
  </si>
  <si>
    <t>10.2.7.6</t>
  </si>
  <si>
    <t>10.2.8.5</t>
  </si>
  <si>
    <t>10.2.8.6</t>
  </si>
  <si>
    <t>10.2.9.1</t>
  </si>
  <si>
    <t>10.2.11.2</t>
  </si>
  <si>
    <t>1.3.1</t>
  </si>
  <si>
    <t>1.3.1.1</t>
  </si>
  <si>
    <t>1.3.1.2</t>
  </si>
  <si>
    <t>1.3.1.3</t>
  </si>
  <si>
    <t>1.3.1.4</t>
  </si>
  <si>
    <t>1.3.1.5</t>
  </si>
  <si>
    <t>1.3.1.6</t>
  </si>
  <si>
    <t>1.3.1.7</t>
  </si>
  <si>
    <t>1.3.1.8</t>
  </si>
  <si>
    <t>1.3.2</t>
  </si>
  <si>
    <t>1.3.2.2</t>
  </si>
  <si>
    <t>1.3.2.3</t>
  </si>
  <si>
    <t>1.3.2.4</t>
  </si>
  <si>
    <t>1.3.3</t>
  </si>
  <si>
    <t>1.3.3.2</t>
  </si>
  <si>
    <t>1.3.3.3</t>
  </si>
  <si>
    <t>1.3.3.4</t>
  </si>
  <si>
    <t>1.3.4</t>
  </si>
  <si>
    <t>J</t>
  </si>
  <si>
    <t>1.3.5</t>
  </si>
  <si>
    <t>1.3.6</t>
  </si>
  <si>
    <t>10.2.13.3.5</t>
  </si>
  <si>
    <t>10.2.13.3.6</t>
  </si>
  <si>
    <t>10.2.13.4.1</t>
  </si>
  <si>
    <t>10.2.13.4.2</t>
  </si>
  <si>
    <t>HT01</t>
  </si>
  <si>
    <t>Qté</t>
  </si>
  <si>
    <t>PU</t>
  </si>
  <si>
    <t>MT</t>
  </si>
  <si>
    <t>Remblai en béton autocompactant</t>
  </si>
  <si>
    <t>1.4</t>
  </si>
  <si>
    <t>1.4.1</t>
  </si>
  <si>
    <t>Pour un chantier concernant jusqu'à 50 riverains</t>
  </si>
  <si>
    <t>1.4.2</t>
  </si>
  <si>
    <t>Pour un chantier concernant de 50 à 100 riverains</t>
  </si>
  <si>
    <t>1.4.3</t>
  </si>
  <si>
    <t>Pour un chantier concernant 100 riverains et plus</t>
  </si>
  <si>
    <t>1.5</t>
  </si>
  <si>
    <t>1.6</t>
  </si>
  <si>
    <t>Cadre et tampon classe C250 pour chambre L1T</t>
  </si>
  <si>
    <t>Cadre et tampons classe C250 pour chambre L2T</t>
  </si>
  <si>
    <t>Cadre et tampons classe C250 pour chambre L3T</t>
  </si>
  <si>
    <t>Cadre et tampons classe C250 pour chambre L4T</t>
  </si>
  <si>
    <t>Cadre et tampons classe C250 pour chambre L5T</t>
  </si>
  <si>
    <t>Cadre et tampons classe C250 pour chambre L6T</t>
  </si>
  <si>
    <t>Cadre et tampon fonte classe D400 pour chambre K1C</t>
  </si>
  <si>
    <t>Cadre et tampon fonte classe D400 pour chambre K2C</t>
  </si>
  <si>
    <t>Cadre et tampon fonte classe D400 pour chambre K3C</t>
  </si>
  <si>
    <t>Cadre et tampon acier galvanisé classe C250 pour regard 60 x 60 cm</t>
  </si>
  <si>
    <t>Cadre et tampon acier galvanisé classe C250 pour regard 80 x 80 cm</t>
  </si>
  <si>
    <t>Cadre et tampon acier galvanisé classe C250 pour regard 100 x 80 cm</t>
  </si>
  <si>
    <t>Cadre et tampon acier galvanisé classe C250 pour regard 120 x 80 cm</t>
  </si>
  <si>
    <t>CM/ML</t>
  </si>
  <si>
    <t>Démolition manuelle</t>
  </si>
  <si>
    <t>Démolition mécanique</t>
  </si>
  <si>
    <t>Béton bitumineux coloré</t>
  </si>
  <si>
    <t>Asphalte noire</t>
  </si>
  <si>
    <t>Asphalte rouge</t>
  </si>
  <si>
    <t>Asphalte beige</t>
  </si>
  <si>
    <t>Réfection du revêtement de trottoir en asphalte</t>
  </si>
  <si>
    <t>Dalle béton à parement</t>
  </si>
  <si>
    <t>Dalle granit</t>
  </si>
  <si>
    <t>Dalle en pierre</t>
  </si>
  <si>
    <t>Dépose de réseau d'électricité BT hors service</t>
  </si>
  <si>
    <t>Dépose de réseau d'éclairage publique hors service</t>
  </si>
  <si>
    <t>4.6.1</t>
  </si>
  <si>
    <t>4.6.2</t>
  </si>
  <si>
    <t>14</t>
  </si>
  <si>
    <t>MISE A DISPOSITION DE MAIN D'ŒUVRE</t>
  </si>
  <si>
    <t>14.1</t>
  </si>
  <si>
    <t>MISE A DISPOSITION DE PERSONNEL AVEC PETIT OUTILLAGE, EN SEMAINE ENTRE 8H ET 17H</t>
  </si>
  <si>
    <t>14.1.1</t>
  </si>
  <si>
    <t>Chef de chantier</t>
  </si>
  <si>
    <t>14.1.2</t>
  </si>
  <si>
    <t>Chef d'équipe avec camionnette</t>
  </si>
  <si>
    <t>14.1.3</t>
  </si>
  <si>
    <t>Ouvrier N2 P1 ou N2 P2</t>
  </si>
  <si>
    <t>14.1.4</t>
  </si>
  <si>
    <t>Ouvrier N1 P1 ou N1 P2</t>
  </si>
  <si>
    <t>14.1.5</t>
  </si>
  <si>
    <t>Géomètre</t>
  </si>
  <si>
    <t>14.1.6</t>
  </si>
  <si>
    <t>Dessinateur</t>
  </si>
  <si>
    <t>14.1.7</t>
  </si>
  <si>
    <t>Projeteur</t>
  </si>
  <si>
    <t>14.1.8</t>
  </si>
  <si>
    <t>Découpe des enrobés jusqu'à 6 centimètres d'épaisseur</t>
  </si>
  <si>
    <t>Plus-value au prix 3.2.1 par cm supplémentaire d'épaisseur</t>
  </si>
  <si>
    <t>DEPOSE DE BORDURE, BORDURETTE, CANIVEAU QUELS QUE SOIENT LE TYPE ET LA NATURE</t>
  </si>
  <si>
    <t>PLUS-VALUE AUX PRIX 3.4.1 ET 3.4.2 POUR EVACUATION ET MISE EN DECHARGE (droits de décharge inclus)</t>
  </si>
  <si>
    <t>10.4.12</t>
  </si>
  <si>
    <t>10.4.13</t>
  </si>
  <si>
    <t>10.4.14</t>
  </si>
  <si>
    <t>10.4.15</t>
  </si>
  <si>
    <t>11.7</t>
  </si>
  <si>
    <t>11.1.2.4</t>
  </si>
  <si>
    <t>11.1.3.2</t>
  </si>
  <si>
    <t>11.1.3.3</t>
  </si>
  <si>
    <t>11.1.3.4</t>
  </si>
  <si>
    <t>11.3.6</t>
  </si>
  <si>
    <t>11.4.2.2</t>
  </si>
  <si>
    <t>11.4.2.3</t>
  </si>
  <si>
    <t>11.4.2.4</t>
  </si>
  <si>
    <t>11.4.3.2</t>
  </si>
  <si>
    <t>11.4.3.3</t>
  </si>
  <si>
    <t>11.4.3.4</t>
  </si>
  <si>
    <t>11.4.4.2</t>
  </si>
  <si>
    <t>11.4.4.3</t>
  </si>
  <si>
    <t>11.4.4.4</t>
  </si>
  <si>
    <t>11.5.6</t>
  </si>
  <si>
    <t>11.5.7</t>
  </si>
  <si>
    <t>11.6.2.2</t>
  </si>
  <si>
    <t>11.6.2.4</t>
  </si>
  <si>
    <t>11.6.2.10</t>
  </si>
  <si>
    <t>11.6.2.11</t>
  </si>
  <si>
    <t>11.6.2.12</t>
  </si>
  <si>
    <t>11.7.2</t>
  </si>
  <si>
    <t>11.7.3</t>
  </si>
  <si>
    <t>11.8.1</t>
  </si>
  <si>
    <t>11.8.2</t>
  </si>
  <si>
    <t>11.8.3</t>
  </si>
  <si>
    <t>11.8.4</t>
  </si>
  <si>
    <t>11.8.5</t>
  </si>
  <si>
    <t>11.6.2.3</t>
  </si>
  <si>
    <t>12.1</t>
  </si>
  <si>
    <t>12.1.1</t>
  </si>
  <si>
    <t>12.1.2</t>
  </si>
  <si>
    <t>12.1.3</t>
  </si>
  <si>
    <t>12.2.1.1</t>
  </si>
  <si>
    <t>12.2.1.5</t>
  </si>
  <si>
    <t>12.2.1.6</t>
  </si>
  <si>
    <t>12.2.1.8</t>
  </si>
  <si>
    <t>12.2.1.9</t>
  </si>
  <si>
    <t>12.2.2.1</t>
  </si>
  <si>
    <t>12.2.2.2</t>
  </si>
  <si>
    <t>12.2.2.3</t>
  </si>
  <si>
    <t>12.2.2.4</t>
  </si>
  <si>
    <t>12.2.3</t>
  </si>
  <si>
    <t>12.2.4</t>
  </si>
  <si>
    <t>12.3.1</t>
  </si>
  <si>
    <t>12.3.2</t>
  </si>
  <si>
    <t>12.3.3</t>
  </si>
  <si>
    <t>12.3.4</t>
  </si>
  <si>
    <t>12.4.1</t>
  </si>
  <si>
    <t>12.4.2</t>
  </si>
  <si>
    <t>12.4.3</t>
  </si>
  <si>
    <t>12.4.4</t>
  </si>
  <si>
    <t>12.4.5</t>
  </si>
  <si>
    <t>12.4.7</t>
  </si>
  <si>
    <t>12.4.8</t>
  </si>
  <si>
    <t>12.5.1</t>
  </si>
  <si>
    <t>12.5.2</t>
  </si>
  <si>
    <t>12.5.3</t>
  </si>
  <si>
    <t>12.5.4</t>
  </si>
  <si>
    <t>12.5.5</t>
  </si>
  <si>
    <t>12.5.6</t>
  </si>
  <si>
    <t>12.6.1</t>
  </si>
  <si>
    <t>12.6.2</t>
  </si>
  <si>
    <t>12.6.3.2</t>
  </si>
  <si>
    <t>12.6.3.3</t>
  </si>
  <si>
    <t>12.6.3.4</t>
  </si>
  <si>
    <t>12.7.2</t>
  </si>
  <si>
    <t>12.7.3</t>
  </si>
  <si>
    <t>12.7.5</t>
  </si>
  <si>
    <t>12.7.8</t>
  </si>
  <si>
    <t>12.7.9</t>
  </si>
  <si>
    <t>12.7.10</t>
  </si>
  <si>
    <t>12.8.1</t>
  </si>
  <si>
    <t>12.8.2</t>
  </si>
  <si>
    <t>12.8.3</t>
  </si>
  <si>
    <t>12.8.4</t>
  </si>
  <si>
    <t>12.9.1.1</t>
  </si>
  <si>
    <t>12.9.1.4</t>
  </si>
  <si>
    <t>12.9.1.5</t>
  </si>
  <si>
    <t>12.9.2.2</t>
  </si>
  <si>
    <t>12.9.2.3</t>
  </si>
  <si>
    <t>12.9.2.4</t>
  </si>
  <si>
    <t>12.9.3.2</t>
  </si>
  <si>
    <t>12.9.3.3</t>
  </si>
  <si>
    <t>12.9.4.2</t>
  </si>
  <si>
    <t>12.9.4.3</t>
  </si>
  <si>
    <t>12.9.4.4</t>
  </si>
  <si>
    <t>12.9.4.10</t>
  </si>
  <si>
    <t>12.9.4.11</t>
  </si>
  <si>
    <t>12.9.4.12</t>
  </si>
  <si>
    <t>12.9.4.13</t>
  </si>
  <si>
    <t>12.9.4.14</t>
  </si>
  <si>
    <t>12.9.4.15</t>
  </si>
  <si>
    <t>12.9.4.16</t>
  </si>
  <si>
    <t>12.9.4.17</t>
  </si>
  <si>
    <t>12.9.4.18</t>
  </si>
  <si>
    <t>12.9.4.19</t>
  </si>
  <si>
    <t>12.9.4.20</t>
  </si>
  <si>
    <t>12.9.4.21</t>
  </si>
  <si>
    <t>12.9.4.22</t>
  </si>
  <si>
    <t>12.9.4.23</t>
  </si>
  <si>
    <t>Fourniture et pose en alignement droit de bordures grès ou granit 15/25 y compris béton de fondation et solin</t>
  </si>
  <si>
    <t>Fourniture et pose en alignement droit de bordures béton profil T1 classe T y compris béton de fondation et solin</t>
  </si>
  <si>
    <t>Fourniture et pose en alignement droit de bordures béton profil T2 classe U y compris béton de fondation et solin</t>
  </si>
  <si>
    <t>ML</t>
  </si>
  <si>
    <t>Fourniture et pose en alignement droit de bordures béton profil T3 classe U y compris béton de fondation et solin</t>
  </si>
  <si>
    <t>Fourniture et pose en alignement droit de bordures béton profil T4 classe U y compris béton de fondation et solin</t>
  </si>
  <si>
    <t>Fourniture et pose en alignement droit de bordures béton profil A2 classe U y compris béton de fondation et solin</t>
  </si>
  <si>
    <t>Fourniture et pose en alignement droit de bordures béton profil A1 classe T y compris béton de fondation et solin</t>
  </si>
  <si>
    <t>Fourniture et pose en alignement droit de caniveaux béton profil CS1 classe U y compris béton de fondation et solin</t>
  </si>
  <si>
    <t>Fourniture et pose en alignement droit de caniveaux béton profil CS2 classe U y compris béton de fondation et solin</t>
  </si>
  <si>
    <t>Fourniture et pose en alignement droit de caniveaux béton profil CS3 classe U y compris béton de fondation et solin</t>
  </si>
  <si>
    <t>Fourniture et pose en alignement droit de caniveaux béton profil CS4 classe U y compris béton de fondation et solin</t>
  </si>
  <si>
    <t>Fourniture et pose en alignement droit de caniveaux béton profil CC1 classe U y compris béton de fondation et solin</t>
  </si>
  <si>
    <t>Fourniture et pose en alignement droit de caniveaux béton profil CC2 classe U y compris béton de fondation et solin</t>
  </si>
  <si>
    <t>Plus value aux prix de bordures et caniveaux ci-dessus pour pose en courbe</t>
  </si>
  <si>
    <t>Pose de mobilier urbain</t>
  </si>
  <si>
    <t>Montant du chantier inférieur ou égal à 5 000 € HT</t>
  </si>
  <si>
    <t>Montant du chantier compris entre 5 001 € HT et 10 000 € HT</t>
  </si>
  <si>
    <t>6.2.3</t>
  </si>
  <si>
    <t>6.2.4</t>
  </si>
  <si>
    <t>Fourniture et pose de laniérage en pavés de résine</t>
  </si>
  <si>
    <t>Vallée Sud - Grand Paris - Etablissement Public Territorial</t>
  </si>
  <si>
    <t>Alternat manuel (2 personnes)</t>
  </si>
  <si>
    <t>1.4.4</t>
  </si>
  <si>
    <t>Alternat manuel (3 personnes)</t>
  </si>
  <si>
    <t>ALTERNAT</t>
  </si>
  <si>
    <t>AMENEE, MISE EN PLACE, LOCATION ET REPLI DE SEPARATEURS DE VOIE PLASTIQUES</t>
  </si>
  <si>
    <t>1.10.1</t>
  </si>
  <si>
    <t>1.10.2</t>
  </si>
  <si>
    <t>Ponts provisoires anti-dérapants pour piétons</t>
  </si>
  <si>
    <t>Ponts provisoires anti-dérapants pour véhicules (quel que soit le tonnage)</t>
  </si>
  <si>
    <t>1.11.1</t>
  </si>
  <si>
    <t>1.11.2</t>
  </si>
  <si>
    <t>Alternat par feux tricolores avec affichage du temps d'attente (2 U)</t>
  </si>
  <si>
    <t>Alternat par feux tricolores avec affichage du temps d'attente (3 U)</t>
  </si>
  <si>
    <t>ESPACES VERTS, MOBILIER URBAIN, SIGNALISATION HORIZONTALE ET VERTICALE</t>
  </si>
  <si>
    <t>Dépose de poteau (quel que soit le type)</t>
  </si>
  <si>
    <t>Dépose de potelet (quel que soit le type)</t>
  </si>
  <si>
    <t>Dépose de banc (quel que soit le type)</t>
  </si>
  <si>
    <t>Fourniture de terre végétale</t>
  </si>
  <si>
    <t>2.2.1.9</t>
  </si>
  <si>
    <t>2.2.1.10</t>
  </si>
  <si>
    <t>2.2.1.11</t>
  </si>
  <si>
    <t>2.2.1.12</t>
  </si>
  <si>
    <t>Dépose de panneau de signalisation (quel que soit le type)</t>
  </si>
  <si>
    <t>2.2.1.13</t>
  </si>
  <si>
    <t>Pose de poteau (quel que soit le type)</t>
  </si>
  <si>
    <t>Pose de potelet (quel que soit le type)</t>
  </si>
  <si>
    <t>Pose de banc (quel que soit le type)</t>
  </si>
  <si>
    <t>Dépose de panneau d'information existant (quel que soit le type)</t>
  </si>
  <si>
    <t>Déplacement de panneau d'information existant (quel que soit le type)</t>
  </si>
  <si>
    <t>Fourniture de mobilier urbain</t>
  </si>
  <si>
    <t>2.2.3.1</t>
  </si>
  <si>
    <t>2.2.3.2</t>
  </si>
  <si>
    <t>2.2.3.3</t>
  </si>
  <si>
    <t>2.2.3.4</t>
  </si>
  <si>
    <t>2.2.3.5</t>
  </si>
  <si>
    <t>2.2.3.6</t>
  </si>
  <si>
    <t>2.2.3.7</t>
  </si>
  <si>
    <t>2.2.4.3</t>
  </si>
  <si>
    <t>2.2.4.4</t>
  </si>
  <si>
    <t>2.2.4.5</t>
  </si>
  <si>
    <t>2.2.5.1</t>
  </si>
  <si>
    <t>2.2.5.2</t>
  </si>
  <si>
    <t>Pose de panneau de signalisation et supports</t>
  </si>
  <si>
    <t>Fourniture de panneau de signalisation et supports</t>
  </si>
  <si>
    <t>Dépose de panneau</t>
  </si>
  <si>
    <t>2.2.3.8</t>
  </si>
  <si>
    <t>2.2.3.9</t>
  </si>
  <si>
    <t>2.2.3.10</t>
  </si>
  <si>
    <t>2.2.3.11</t>
  </si>
  <si>
    <t>Pose d'une borne rétractable (y compris raccordement électrique)</t>
  </si>
  <si>
    <t>2.2.6.1</t>
  </si>
  <si>
    <t>2.2.6.2</t>
  </si>
  <si>
    <t>2.2.6.3</t>
  </si>
  <si>
    <t>2.2.6.4</t>
  </si>
  <si>
    <t>2.2.6.5</t>
  </si>
  <si>
    <t>2.2.6.6</t>
  </si>
  <si>
    <t>2.2.6.7</t>
  </si>
  <si>
    <t>2.2.6.8</t>
  </si>
  <si>
    <t>2.2.6.9</t>
  </si>
  <si>
    <t>2.2.6.10</t>
  </si>
  <si>
    <t>2.2.6.11</t>
  </si>
  <si>
    <t>2.2.1.14</t>
  </si>
  <si>
    <t>2.2.3.12</t>
  </si>
  <si>
    <t>Fourniture et pose de bande podo-tactile collée</t>
  </si>
  <si>
    <t>Dépose d'horodateur (quel que soit le type)</t>
  </si>
  <si>
    <t>2.2.1.15</t>
  </si>
  <si>
    <t>2.2.3.13</t>
  </si>
  <si>
    <t>Pose d'horodateur (quel que soit le type)</t>
  </si>
  <si>
    <t>2.2.3.14</t>
  </si>
  <si>
    <t>Pose d'appui vélo (quel que soit le type)</t>
  </si>
  <si>
    <t>Fourniture d'appui vélo (quel que soit le type)</t>
  </si>
  <si>
    <t>4.7.1</t>
  </si>
  <si>
    <t>4.7.2</t>
  </si>
  <si>
    <t>Réfection définitive de la fondation de chaussée</t>
  </si>
  <si>
    <t>Réfection définitive de la fondation de trottoir</t>
  </si>
  <si>
    <t>Réfection définitive en grave de béton concassé 0/20 ou 0/31.5 traitée au liant hydraulique</t>
  </si>
  <si>
    <t>Réfection définitive en grave de béton concassé 0/20 ou 0/31.5 non traitée</t>
  </si>
  <si>
    <t>Béton bitumineux rougissant</t>
  </si>
  <si>
    <t>Béton bitumineux 0/6 noir</t>
  </si>
  <si>
    <t>Béton bitumineux 0/4 rouge</t>
  </si>
  <si>
    <t>Béton bitumineux 0/6 rouge</t>
  </si>
  <si>
    <t>Plus-value aux prix de béton de trottoir pour augmentation de l'épaisseur</t>
  </si>
  <si>
    <t>Fourniture et pose en alignement droit ou en courbe de bordures I2 y compris béton de fondation et solin</t>
  </si>
  <si>
    <t>Fourniture et pose en alignement droit de bordure chasse roue y compris béton de fondation et solin</t>
  </si>
  <si>
    <t>Marquage provisoire à la peinture jaune</t>
  </si>
  <si>
    <t>De ligne discontinue ou continue de 0,15 m de largeur</t>
  </si>
  <si>
    <t>2.3.2.1</t>
  </si>
  <si>
    <t>De passage piéton</t>
  </si>
  <si>
    <t>De flèche droite ou de rabattement</t>
  </si>
  <si>
    <t>2.3.2.2</t>
  </si>
  <si>
    <t>2.3.2.3</t>
  </si>
  <si>
    <t>Effaçage de marquage au sol</t>
  </si>
  <si>
    <t>2.3.3.1</t>
  </si>
  <si>
    <t>2.3.3.2</t>
  </si>
  <si>
    <t>2.3.4.1</t>
  </si>
  <si>
    <t>2.3.4.2</t>
  </si>
  <si>
    <t>2.3.4.3</t>
  </si>
  <si>
    <t>2.3.4.4</t>
  </si>
  <si>
    <t>2.3.4.5</t>
  </si>
  <si>
    <t>2.3.4.6</t>
  </si>
  <si>
    <t>2.3.4.7</t>
  </si>
  <si>
    <t>2.3.4.8</t>
  </si>
  <si>
    <t>2.3.4.9</t>
  </si>
  <si>
    <t>2.3.4.10</t>
  </si>
  <si>
    <t>2.3.4.11</t>
  </si>
  <si>
    <t>Marquage définitif de ligne axiale piste cyclable largeur 0,06 m</t>
  </si>
  <si>
    <t>2.3.4.12</t>
  </si>
  <si>
    <t>2.3.4.13</t>
  </si>
  <si>
    <t>2.3.4.14</t>
  </si>
  <si>
    <t>Marquage définitif de sigle handicapé petit format</t>
  </si>
  <si>
    <t>Marquage définitif de sigle handicapé grand format</t>
  </si>
  <si>
    <t>2.3.4.15</t>
  </si>
  <si>
    <t>Marquage définitif de sigles divers (défense stationner, piste cyclable, …)</t>
  </si>
  <si>
    <t>Marquage de stationnement résine continu ou discontinu</t>
  </si>
  <si>
    <t>SOUS TOTAL ESPACES VERTS, MOBILIER URBAIN, SIGNALISATION HORIZONTALE ET VERTICALE</t>
  </si>
  <si>
    <t>2.2.5.3</t>
  </si>
  <si>
    <t>2.2.3.15</t>
  </si>
  <si>
    <t>SONDAGES DE RECONNAISSANCE (y compris géolocalisation et report sur plan de réseaux enterrés)</t>
  </si>
  <si>
    <t>Chargement-déchargement-transport dans une Installation de Stockage des Déchets Dangereux</t>
  </si>
  <si>
    <t>Chargement-déchargement-transport dans une Installation de Stockage des Déchets Inertes</t>
  </si>
  <si>
    <t>Chargement-déchargement-transport dans une Installation de Stockage des Déchets Inertes + (ISDI+)</t>
  </si>
  <si>
    <t>Chargement-déchargement-transport dans une Installation de Stockage des Déchets Inertes Aménagée (ISDI-A)</t>
  </si>
  <si>
    <t>Blindage par caisson</t>
  </si>
  <si>
    <t>Blindage en bastaings jointifs avec liernes bois ou métalliques</t>
  </si>
  <si>
    <t>Blindage en bastaings semi-jointifs avec liernes bois ou métalliques</t>
  </si>
  <si>
    <t>Démolition d'ouvrage de toute nature à l'exception du béton armé</t>
  </si>
  <si>
    <t>Remblai en grave industrielle 0/31.5</t>
  </si>
  <si>
    <t>Remblai en grave de béton concassé 0/31.5</t>
  </si>
  <si>
    <t>Remblai en grave naturelle 0/31.5</t>
  </si>
  <si>
    <t>REMBLAIEMENT</t>
  </si>
  <si>
    <t>Préparation du fond de fouille</t>
  </si>
  <si>
    <t>TERRASSEMENTS - BLINDAGES - DEMOLITION - REMBLAIEMENT</t>
  </si>
  <si>
    <t>SOUS TOTAL TERRASSEMENTS - BLINDAGES - DEMOLITION - REMBLAIEMENT</t>
  </si>
  <si>
    <t>6.1.2</t>
  </si>
  <si>
    <t>6.1.3</t>
  </si>
  <si>
    <t>8.1.1</t>
  </si>
  <si>
    <t>8.1.2</t>
  </si>
  <si>
    <t>8.1.3</t>
  </si>
  <si>
    <t>DM</t>
  </si>
  <si>
    <t>8.6</t>
  </si>
  <si>
    <t>8.7</t>
  </si>
  <si>
    <t>8.8</t>
  </si>
  <si>
    <t>8.9</t>
  </si>
  <si>
    <t>8.10</t>
  </si>
  <si>
    <t>8.11</t>
  </si>
  <si>
    <t>9.4</t>
  </si>
  <si>
    <t>9.5</t>
  </si>
  <si>
    <t>9.6</t>
  </si>
  <si>
    <t>9.7</t>
  </si>
  <si>
    <t>9.8</t>
  </si>
  <si>
    <t>9.7.1</t>
  </si>
  <si>
    <t>9.7.2</t>
  </si>
  <si>
    <t>9.7.3</t>
  </si>
  <si>
    <t>9.8.1</t>
  </si>
  <si>
    <t>9.7.4</t>
  </si>
  <si>
    <t>9.9</t>
  </si>
  <si>
    <t>REHAUSSE / MISE A LA COTE D'OUVRAGE DE GENIE CIVIL EXISTANT (Y COMPRIS TAMPON)</t>
  </si>
  <si>
    <t>Rehausse d'ouvrage de génie civil 60 x 60 cm</t>
  </si>
  <si>
    <t>Rehausse d'ouvrage de génie civil 80 x 80 cm ou Ø800</t>
  </si>
  <si>
    <t>Réhausse de chambre L1T</t>
  </si>
  <si>
    <t>Réhausse de chambre L2T</t>
  </si>
  <si>
    <t>Réhausse de chambre K1C</t>
  </si>
  <si>
    <t>Réhausse de chambre K2C</t>
  </si>
  <si>
    <t>9.10</t>
  </si>
  <si>
    <t>9.11</t>
  </si>
  <si>
    <t>9.12</t>
  </si>
  <si>
    <t>11.1.3</t>
  </si>
  <si>
    <t>11.1.4</t>
  </si>
  <si>
    <t>11.2.6</t>
  </si>
  <si>
    <t>11.2.7</t>
  </si>
  <si>
    <t>16.2</t>
  </si>
  <si>
    <t>Remblai avec terres de déblai non traitées</t>
  </si>
  <si>
    <t>SIGNALISATION LUMINEUSE TRICOLORE</t>
  </si>
  <si>
    <t>Démolition de massif béton pour potence</t>
  </si>
  <si>
    <t>Démolition de massif béton pour armoire SLT</t>
  </si>
  <si>
    <t>Fourniture et pose de ligne aérienne provisoire</t>
  </si>
  <si>
    <t>Remise à l'aplomb de poteau ou potelet</t>
  </si>
  <si>
    <t>Remise à l'aplomb de potence</t>
  </si>
  <si>
    <t>Dépose de poteau bois</t>
  </si>
  <si>
    <t>Fourniture et pose d'une armoire métallique type D14 1 porte</t>
  </si>
  <si>
    <t>Fourniture et pose d'une armoire métallique type D14 2 portes avec compartiment EDF</t>
  </si>
  <si>
    <t>Fourniture et pose d'une armoire plastique de type HDS GM</t>
  </si>
  <si>
    <t>Fourniture et pose d'un socle plastique de type HDS GM</t>
  </si>
  <si>
    <t>Fourniture et pose d'une armoire plastique de type HDS PM</t>
  </si>
  <si>
    <t>Fourniture et pose d'un socle plastique de type HDS PM</t>
  </si>
  <si>
    <t>Fourniture et pose de canon HDS</t>
  </si>
  <si>
    <t>Fourniture et pose et raccordement de détecteurs omnidirectionnels</t>
  </si>
  <si>
    <t>Fourniture et pose et raccordement de détecteurs unidirectionnels</t>
  </si>
  <si>
    <t>Fourniture et pose d'interrupteur différentiel 30 mA</t>
  </si>
  <si>
    <t>Fourniture et remplacement de serrure d'armoire de commande</t>
  </si>
  <si>
    <t>Fourniture et remplacement disjoncteur non différentiel</t>
  </si>
  <si>
    <t>Confection de boucle électro-magnétique</t>
  </si>
  <si>
    <t>Fourniture et pose de regard de boîte de boucle, y compris tampon fonte et scellement</t>
  </si>
  <si>
    <t>Fourniture, pose de boîte de raccordement pour boucle électromagnétique</t>
  </si>
  <si>
    <t>Fourniture  et pose de coffret fonte étanche pour boucle</t>
  </si>
  <si>
    <t>Fourniture et confection de boîte de jonction signalisation lumineuse tricolore</t>
  </si>
  <si>
    <t xml:space="preserve">Pose et raccordement de panneaux lumineux sur support </t>
  </si>
  <si>
    <t>Fouriture et pose de panneau A13b à leds</t>
  </si>
  <si>
    <t>Dépose de signal lumineux tricolore sur poteau ou fût de potence</t>
  </si>
  <si>
    <t>Dépose de signal lumineux tricolore en tête de potence</t>
  </si>
  <si>
    <t xml:space="preserve">Dépose de répétiteur trafic </t>
  </si>
  <si>
    <t xml:space="preserve">Dépose de répétiteur piétons ou priorité piétons </t>
  </si>
  <si>
    <t xml:space="preserve">Dépose de répétiteur croix grecque </t>
  </si>
  <si>
    <t xml:space="preserve">Dépose de coffret d'appel piétons </t>
  </si>
  <si>
    <t>Dépose de support de feu ou potelet</t>
  </si>
  <si>
    <t>Dépose de potence</t>
  </si>
  <si>
    <t>Dépose de plaque anti-reflet de feu principal</t>
  </si>
  <si>
    <t>Dépose d'une console de fixation de tête de feu</t>
  </si>
  <si>
    <t>Dépose d'une console de fixation de répétiteur piétons ou priorité piétons</t>
  </si>
  <si>
    <t xml:space="preserve">Dépose d'une carte puissance de contrôleur </t>
  </si>
  <si>
    <t>Dépose de contrôleur</t>
  </si>
  <si>
    <t xml:space="preserve">Dépose d'armoire de feux et transport au dépôt </t>
  </si>
  <si>
    <t xml:space="preserve">Dépose d'armoire de feux provisoire </t>
  </si>
  <si>
    <t>Dépose de panneaux de signalisation lumineux</t>
  </si>
  <si>
    <t>Dépose de feu provisoire</t>
  </si>
  <si>
    <t>Fourniture de câble en aluminium autoporté isolé 2x16 mm2</t>
  </si>
  <si>
    <t>Pose de câble en élévation</t>
  </si>
  <si>
    <t>Pose de câble autoporté isolé</t>
  </si>
  <si>
    <t>Fourniture, transport et pose de pince d'ancrage ou balancelle</t>
  </si>
  <si>
    <t>Fourniture et confection de remontée aérosouterraine</t>
  </si>
  <si>
    <t>Fourniture et pose de boîte de raccordement étanche avec protection fusible</t>
  </si>
  <si>
    <t>Dépose de remontée aérosouterraine</t>
  </si>
  <si>
    <t>Dépose de câble en élévation sur façade</t>
  </si>
  <si>
    <t>Dépose de conducteur aérien torsadé et mise en dépôt</t>
  </si>
  <si>
    <t>Camion atelier</t>
  </si>
  <si>
    <t>Camion laboratoire avec technicien</t>
  </si>
  <si>
    <t>1/2 J</t>
  </si>
  <si>
    <t>Raccordement au coffret de branchement d'un particulier</t>
  </si>
  <si>
    <t>Raccordement câble/coffret pour un branchement partie extérieure</t>
  </si>
  <si>
    <t>Plus-value pour confection d'accessoires</t>
  </si>
  <si>
    <t>Plus-value en fourniture pour porte équipée d'embase de téléreport</t>
  </si>
  <si>
    <t>Démolition de massif béton de candélabre</t>
  </si>
  <si>
    <t>Démolition de massif béton pour armoire d'éclairage public</t>
  </si>
  <si>
    <t>Confection de massif béton pour candélabre (0,60 x 0,60 m x 0,80 m)</t>
  </si>
  <si>
    <t>Confection de massif béton pour candélabre (0,80 x 0,80 m x 1,00 m)</t>
  </si>
  <si>
    <t>Confection de massif béton pour candélabre (1,00 x 1,00 m x 1,20 m)</t>
  </si>
  <si>
    <t>Confection de massif béton pour armoire d'éclairage public</t>
  </si>
  <si>
    <t>Fourniture, pose, raccordement et confection de boîte de coupure M T modulaire à 3 directions</t>
  </si>
  <si>
    <t>Fourniture, pose, raccordement et confection de boîte de coupure M T modulaire à 4 directions</t>
  </si>
  <si>
    <t>Confection de boîte de coupure M T  à 2 directions</t>
  </si>
  <si>
    <t>Confection de boîte de coupure M T  à 3 directions</t>
  </si>
  <si>
    <t>Confection de boîte de coupure M T  à 4 directions</t>
  </si>
  <si>
    <t>Confection de boîte de coupure B T  à 2 directions</t>
  </si>
  <si>
    <t>Confection de boîte de coupure B T  à 3 directions</t>
  </si>
  <si>
    <t>Confection de boîte de coupure B T  à 4 directions</t>
  </si>
  <si>
    <t>Fourniture, pose, confection de cornet de boîte de coupure</t>
  </si>
  <si>
    <t>Fourniture, pose, confection de coquille double de boîte de coupure fonte</t>
  </si>
  <si>
    <t>Remplacement d'horloge astronomique</t>
  </si>
  <si>
    <t>Remplacement de contacteur</t>
  </si>
  <si>
    <t>Remplacement de disjoncteur</t>
  </si>
  <si>
    <t>Remplacement de fusible BT</t>
  </si>
  <si>
    <t>Remplacement de fusible HT</t>
  </si>
  <si>
    <t>Remplacement de porte fusible</t>
  </si>
  <si>
    <t>Remplacement de cellule photoélectrique</t>
  </si>
  <si>
    <t>Remplacement de parafoudre</t>
  </si>
  <si>
    <t>Fourniture de candélabre en fonte</t>
  </si>
  <si>
    <t>Fourniture d'une embase de candélabre en fonte</t>
  </si>
  <si>
    <t>Fourniture de console avancée inférieure à 1,50 m</t>
  </si>
  <si>
    <t>Fourniture de console avancée égale ou supérieure à 1,50 m</t>
  </si>
  <si>
    <t>Fourniture de console fonte type Lenzy N°24 saillie 0,80 m</t>
  </si>
  <si>
    <t>Fourniture de console Palio</t>
  </si>
  <si>
    <t>Fourniture de console fonte double type Lenzy N°24 saillie 0,80 m</t>
  </si>
  <si>
    <t>Dépose de plaque de rue lumineuse</t>
  </si>
  <si>
    <t>Dépose de massif de candélabre</t>
  </si>
  <si>
    <t>Dépose de console</t>
  </si>
  <si>
    <t>Dépose de réhausse</t>
  </si>
  <si>
    <t>Dépose de potelet ou support métallique</t>
  </si>
  <si>
    <t>Fourniture de projecteur type NEOS 3 EBRA 400 W</t>
  </si>
  <si>
    <t>Fourniture de projecteur Néos 1</t>
  </si>
  <si>
    <t>Dépose de vasque</t>
  </si>
  <si>
    <t>Dépose de lanterne</t>
  </si>
  <si>
    <t>Dépose de projecteur</t>
  </si>
  <si>
    <t>Dépose de borne</t>
  </si>
  <si>
    <t>LIGNES AERIENNES</t>
  </si>
  <si>
    <t>Pose de câble autoporté isolé en élévation</t>
  </si>
  <si>
    <t>Pose de câble autoporté isolé en élévation sur façade</t>
  </si>
  <si>
    <t>Dépose de câble autoporté isolé en élévation</t>
  </si>
  <si>
    <t>Dépose de câble autoporté isolé en élévation sur façade</t>
  </si>
  <si>
    <t>Dépose de conducteur aérien cuivre nu et mise en dépôt</t>
  </si>
  <si>
    <t>Dépose de pince d'ancrage ou balancelle</t>
  </si>
  <si>
    <t>Dépose de boîte de raccordement étanche avec protection fusible</t>
  </si>
  <si>
    <t>Dépose de support bois</t>
  </si>
  <si>
    <t>Dépose d'ancrage</t>
  </si>
  <si>
    <t>ARMOIRE DE COMMANDE</t>
  </si>
  <si>
    <t>Armoire de commande type Metadis (DM) triphasée et équipée d'un contacteur 60 A, de deux départs (disjoncteur 4 x 40 A 300 mA et 4 x 20 A 300 mA), horloge astronomique</t>
  </si>
  <si>
    <t>Armoire de commande type Metadis (DM) triphasée et équipée d'un contacteur 60 A, de quatre départs (disjoncteur 4 x 40 A 300 mA et 4 x 20 A 300 mA), horloge astronomique</t>
  </si>
  <si>
    <t>Armoire métallique de séparation, sur socle, équipée avec 3 borniers 4 x 16 mm2 et un disjoncteur différentiel de séparation</t>
  </si>
  <si>
    <t>Départ par disjoncteur 4 x 40 A 300 mA supplémentaire y compris contacteur de commande</t>
  </si>
  <si>
    <t>Départ par disjoncteur 2 x 20 A 300 mA supplémentaire y compris contacteur de commande</t>
  </si>
  <si>
    <t>ENFOUISSEMENT DE RESEAUX EDF ET FRANCE TELECOM</t>
  </si>
  <si>
    <t>Dépose de coffret existant et pose d'un nouveau coffret de branchement hors ou sous tension</t>
  </si>
  <si>
    <t>Pose d'un câble de téléreport en façade ou partie intérieure</t>
  </si>
  <si>
    <t>Pose d'une embase de téléreport, y compris les raccordements</t>
  </si>
  <si>
    <t>Branchement collectif liaison pénétration/coffret de distribution partie intérieure</t>
  </si>
  <si>
    <t>Branchement individuel liaison pénétration/ancien emplacement du compteur partie inférieure</t>
  </si>
  <si>
    <t>Percement de mur, planchers, dalles, …</t>
  </si>
  <si>
    <t>Plus-value en fourniture pour barrette de connexion pour câble de téléreport</t>
  </si>
  <si>
    <t>Mise à terre de l'écran du bus téléreport, y compris fourniture et pose de cablette de terre ou piquet</t>
  </si>
  <si>
    <t>APPAREILLAGE ECLAIRAGE PUBLIC - PLATINES ET DIVERS</t>
  </si>
  <si>
    <t>Dépose de feu tricolore existant</t>
  </si>
  <si>
    <t>14.6</t>
  </si>
  <si>
    <t>15.3</t>
  </si>
  <si>
    <t>15.4</t>
  </si>
  <si>
    <t>15.4.1</t>
  </si>
  <si>
    <t>15.4.2</t>
  </si>
  <si>
    <t>16.1.1</t>
  </si>
  <si>
    <t>16.1.2</t>
  </si>
  <si>
    <t>16.1.3</t>
  </si>
  <si>
    <t>16.1.4</t>
  </si>
  <si>
    <t>16.1.5</t>
  </si>
  <si>
    <t>16.2.1</t>
  </si>
  <si>
    <t>16.2.2</t>
  </si>
  <si>
    <t>16.2.3</t>
  </si>
  <si>
    <t>Béton Bitumineux Semi-Grenu (BBSG) 0/10 noir</t>
  </si>
  <si>
    <t>Béton Bitumineux Semi-Grenu (BBSG) 0/14 noir</t>
  </si>
  <si>
    <t>Réfection de la couche de roulement sur chaussée en bétons bitumineux (y compris couche d'accrochage à l'émulsion de bitume)</t>
  </si>
  <si>
    <t>Réfection du revêtement de trottoir en bétons bitumineux (y compris couche d'accrochage à l'émulsion de bitume)</t>
  </si>
  <si>
    <t>Béton Bitumineux Mince (BBM) 0/10 noir</t>
  </si>
  <si>
    <t>Béton Bitumineux à Module Elevé (BBME) 0/10 noir</t>
  </si>
  <si>
    <t>PONTS PROVISOIRES ANTI-DERAPANTS</t>
  </si>
  <si>
    <t>Mise en œuvre de terre végétale fournie ou reprise en stock</t>
  </si>
  <si>
    <t>Dépose d'appui vélo (quel que soit le type)</t>
  </si>
  <si>
    <t>Pose de mât en pleine terre</t>
  </si>
  <si>
    <t>Pose de mât sur surface en enrobé</t>
  </si>
  <si>
    <t>Pose de mât sur surface en béton</t>
  </si>
  <si>
    <t>Pose de balise souple autorelevable</t>
  </si>
  <si>
    <t>Fourniture de panneau de type A</t>
  </si>
  <si>
    <t>Fourniture de panneau de police</t>
  </si>
  <si>
    <t>Fourniture de mât section cylindrique ou rectangulaire hauteur inférieure ou égale à 2,5 m</t>
  </si>
  <si>
    <t>Fourniture de balise souple autorelevable</t>
  </si>
  <si>
    <t>Pose de panneau (quel que soit le type) sur support</t>
  </si>
  <si>
    <t>Fourniture panneau de type B</t>
  </si>
  <si>
    <t>Fourniture panneau de type AB</t>
  </si>
  <si>
    <t>Fourniture panneau de type C et CE</t>
  </si>
  <si>
    <t>Fourniture panneau de type "prescription zonale"</t>
  </si>
  <si>
    <t>Fourniture panonceau de type M</t>
  </si>
  <si>
    <t>Fourniture de mât section cylindrique ou rectangulaire hauteursupérieure à 2,5 m</t>
  </si>
  <si>
    <t>De ligne continue ou discontinue provisoire ou définitive</t>
  </si>
  <si>
    <t>2.3.3.3</t>
  </si>
  <si>
    <t>De flèches provisoires ou définitives</t>
  </si>
  <si>
    <t>De passage piétons, zébras provisoires ou définitifs</t>
  </si>
  <si>
    <t>Béton Bitumineux Semi-Grenu (BBSG) 0/10 rouge</t>
  </si>
  <si>
    <t>Béton bitumineux 0/10 noir</t>
  </si>
  <si>
    <t>Démolition d'ouvrage en béton armé</t>
  </si>
  <si>
    <t>Remblaiement des tranchées</t>
  </si>
  <si>
    <t>8.1.1.1</t>
  </si>
  <si>
    <t>8.1.1.2</t>
  </si>
  <si>
    <t>8.1.1.3</t>
  </si>
  <si>
    <t>8.1.2.1</t>
  </si>
  <si>
    <t>8.1.2.2</t>
  </si>
  <si>
    <t>9.8.2</t>
  </si>
  <si>
    <t>PERCEMENT DE VOILE</t>
  </si>
  <si>
    <t>11.2.8</t>
  </si>
  <si>
    <t>11.2.9</t>
  </si>
  <si>
    <t>11.2.10</t>
  </si>
  <si>
    <t>14.1.9</t>
  </si>
  <si>
    <t>14.3.4</t>
  </si>
  <si>
    <t>14.3.5</t>
  </si>
  <si>
    <t>14.7</t>
  </si>
  <si>
    <t>14.8</t>
  </si>
  <si>
    <t>14.9</t>
  </si>
  <si>
    <t>14.10</t>
  </si>
  <si>
    <t>14.1.10</t>
  </si>
  <si>
    <t>14.1.11</t>
  </si>
  <si>
    <t>14.1.12</t>
  </si>
  <si>
    <t>14.1.13</t>
  </si>
  <si>
    <t>14.1.14</t>
  </si>
  <si>
    <t>14.1.15</t>
  </si>
  <si>
    <t>14.1.16</t>
  </si>
  <si>
    <t>Confection de massif béton pour potence de signalisation</t>
  </si>
  <si>
    <t>Confection de massif béton pour armoire de signalisation</t>
  </si>
  <si>
    <t>Confection de massif béton pour poteau de signalisation</t>
  </si>
  <si>
    <t>Fusible 14 x 51</t>
  </si>
  <si>
    <t>Fusible 10,3 x 38</t>
  </si>
  <si>
    <t>Fusible 22 x 58</t>
  </si>
  <si>
    <t>Fourniture et pose de regard d'éclairage</t>
  </si>
  <si>
    <t>Fourniture et pose de cadre et tampon de fermeture de regard d'éclairage</t>
  </si>
  <si>
    <t>Regard éclairage 60 x 60 cm</t>
  </si>
  <si>
    <t>Regard éclairage 80 x 80 cm</t>
  </si>
  <si>
    <t>Regard éclairage 100 x 80 cm</t>
  </si>
  <si>
    <t>Regard éclairage 120 x 80 cm</t>
  </si>
  <si>
    <t>Pour mât jusqu'à 5 m et raccordement</t>
  </si>
  <si>
    <t>Fourniture et pose de chambre</t>
  </si>
  <si>
    <t>Fourniture et pose de cadre et tampon pour chambre</t>
  </si>
  <si>
    <t>Chambre PTT L0T</t>
  </si>
  <si>
    <t>Chambre PTT L1T</t>
  </si>
  <si>
    <t>Chambre PTT L2T</t>
  </si>
  <si>
    <t>Chambre PTT L3T</t>
  </si>
  <si>
    <t>Chambre PTT L4T</t>
  </si>
  <si>
    <t>Chambre PTT L5T</t>
  </si>
  <si>
    <t>Chambre PTT L6T</t>
  </si>
  <si>
    <t>Chambre PTT L1C</t>
  </si>
  <si>
    <t>Chambre PTT L2C</t>
  </si>
  <si>
    <t>Chambre PTT L3C</t>
  </si>
  <si>
    <t>Chambre PTT K2C</t>
  </si>
  <si>
    <t>Fourniture et remplacement disjoncteur différentiel 500 mA</t>
  </si>
  <si>
    <t>14.13</t>
  </si>
  <si>
    <t>14.14</t>
  </si>
  <si>
    <t>16.2.4</t>
  </si>
  <si>
    <t>16.2.5</t>
  </si>
  <si>
    <t>SOUS TOTAL MISE A DISPOSITION DE MAIN D'ŒUVRE</t>
  </si>
  <si>
    <t>Plus-value pour peinture de l'arrière des panneaux au RAL défini par le maître d'ouvrage</t>
  </si>
  <si>
    <t>Fourniture et pose de revêtement de dalle podo-tactile en béton</t>
  </si>
  <si>
    <t>Fourniture et pose de revêtement de dalle podo-tactile en béton ou pierre naturelle</t>
  </si>
  <si>
    <t>2.2.8.1</t>
  </si>
  <si>
    <t>2.2.8.2</t>
  </si>
  <si>
    <t>Fourniture et pose de revêtement de dalle podo-tactile en pierre naturelle</t>
  </si>
  <si>
    <t>Remblai avec terres de déblai triées, criblées et traitées à la chaux (2%)</t>
  </si>
  <si>
    <t>Remblai avec terres de déblai triées, criblées et traitées à la chaux (2%) et au ciment (5%)</t>
  </si>
  <si>
    <t>MARQUAGE ET PIQUETAGE DES RESEAUX CONCESSIONNAIRES</t>
  </si>
  <si>
    <t>TERRASSEMENT EN TRANCHEE</t>
  </si>
  <si>
    <t>Terrassement en tranchée réalisé à la main</t>
  </si>
  <si>
    <t>Terrassement en tranchée réalisé à l'engin mécanique</t>
  </si>
  <si>
    <t>4.7.3</t>
  </si>
  <si>
    <t>FOURNITURE ET POSE DE FOURREAUX EN TRANCHEE OUVERTE</t>
  </si>
  <si>
    <t>5.2.1</t>
  </si>
  <si>
    <t>5.2.2</t>
  </si>
  <si>
    <t>5.2.3</t>
  </si>
  <si>
    <t>5.4.4</t>
  </si>
  <si>
    <t>Dépose et évacuation de fourreau de diamètre &gt; 100 mm</t>
  </si>
  <si>
    <t>5.4.5</t>
  </si>
  <si>
    <t>FOURNITURE ET POSE DE CABLES EN TRANCHEE OUVERTE</t>
  </si>
  <si>
    <t>6.2.5</t>
  </si>
  <si>
    <t>6.2.6</t>
  </si>
  <si>
    <t>6.2.7</t>
  </si>
  <si>
    <t>TRAVAUX DE GENIE CIVIL</t>
  </si>
  <si>
    <t>SOUS TOTAL TRAVAUX DE GENIE CIVIL</t>
  </si>
  <si>
    <t>FOURNITURE ET POSE DE SUPPORTS ET POTEAUX</t>
  </si>
  <si>
    <t>Fourniture de mât en acier galvanisé de type Europe</t>
  </si>
  <si>
    <t>Hauteur 8 m</t>
  </si>
  <si>
    <t>Hauteur 9 m</t>
  </si>
  <si>
    <t>Hauteur 10 m</t>
  </si>
  <si>
    <t>Hauteur 8 m simple crosse 1,50 m</t>
  </si>
  <si>
    <t>Hauteur 9 m simple crosse 1,50 m</t>
  </si>
  <si>
    <t>Hauteur 10 m simple crosse 2,00 m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</si>
  <si>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</si>
  <si>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</si>
  <si>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</si>
  <si>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</si>
  <si>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</si>
  <si>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</si>
  <si>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</si>
  <si>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</si>
  <si>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</si>
  <si>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</si>
  <si>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SOUS TOTAL FOURNITURE ET POSE DE SUPPORTS ET POTEAUX</t>
  </si>
  <si>
    <t>SOUS TOTAL APPAREILLAGE ECLAIRAGE PUBLIC - PLATINES ET DIVERS</t>
  </si>
  <si>
    <t>14.11</t>
  </si>
  <si>
    <t>14.11.1</t>
  </si>
  <si>
    <t>14.11.2</t>
  </si>
  <si>
    <t>14.11.3</t>
  </si>
  <si>
    <t>14.11.4</t>
  </si>
  <si>
    <t>14.12</t>
  </si>
  <si>
    <t>11.20</t>
  </si>
  <si>
    <t>11.21</t>
  </si>
  <si>
    <t>11.22</t>
  </si>
  <si>
    <t>11.23</t>
  </si>
  <si>
    <t>11.24</t>
  </si>
  <si>
    <t>11.25</t>
  </si>
  <si>
    <t>FOURNITURE ET POSE D'ACCESSOIRES D'ECLAIRAGE PUBLIC</t>
  </si>
  <si>
    <t>SOUS TOTAL ARMOIRE DE COMMANDE</t>
  </si>
  <si>
    <t>SOUS TOTAL FOURNITURE ET POSE D'ACCESSOIRES D'ECLAIRAGE PUBLIC</t>
  </si>
  <si>
    <t>SOUS TOTAL LIGNES AERIENNES</t>
  </si>
  <si>
    <t>SOUS TOTAL SIGNALISATION LUMINEUSE TRICOLORE</t>
  </si>
  <si>
    <t>Monteur niveau 1</t>
  </si>
  <si>
    <t>Monteur niveau 2</t>
  </si>
  <si>
    <t>Monteur niveau 3</t>
  </si>
  <si>
    <t>SOUS TOTAL FOURNITURE ET POSE DE FOURREAUX EN TRANCHEE OUVERTE</t>
  </si>
  <si>
    <t>SOUS TOTAL FOURNITURE ET POSE DE CABLES EN TRANCHEE OUVERTE</t>
  </si>
  <si>
    <t>7.3.1.1</t>
  </si>
  <si>
    <t>7.3.1.2</t>
  </si>
  <si>
    <t>7.3.1.3</t>
  </si>
  <si>
    <t>7.3.1.4</t>
  </si>
  <si>
    <t>7.3.2.1</t>
  </si>
  <si>
    <t>7.3.2.2</t>
  </si>
  <si>
    <t>7.3.2.3</t>
  </si>
  <si>
    <t>7.3.2.4</t>
  </si>
  <si>
    <t>8.1.4</t>
  </si>
  <si>
    <t>8.1.4.1</t>
  </si>
  <si>
    <t>8.1.4.2</t>
  </si>
  <si>
    <t>8.1.4.3</t>
  </si>
  <si>
    <t>8.1.5</t>
  </si>
  <si>
    <t>8.1.6</t>
  </si>
  <si>
    <t>8.1.7</t>
  </si>
  <si>
    <t>8.1.8</t>
  </si>
  <si>
    <t>8.1.9</t>
  </si>
  <si>
    <t>8.1.10</t>
  </si>
  <si>
    <t>8.2.2.1</t>
  </si>
  <si>
    <t>8.2.2.2</t>
  </si>
  <si>
    <t>8.12</t>
  </si>
  <si>
    <t>8.13</t>
  </si>
  <si>
    <t>8.14</t>
  </si>
  <si>
    <t>8.15</t>
  </si>
  <si>
    <t>8.16</t>
  </si>
  <si>
    <t>8.17</t>
  </si>
  <si>
    <t>11.26</t>
  </si>
  <si>
    <t>11.27</t>
  </si>
  <si>
    <t>11.28</t>
  </si>
  <si>
    <t>SOUS TOTAL ENFOUISSEMENT DE RESEAUX EDF ET FRANCE TELECOM</t>
  </si>
  <si>
    <t>14.1.17</t>
  </si>
  <si>
    <t>14.1.18</t>
  </si>
  <si>
    <t>14.15</t>
  </si>
  <si>
    <t>14.16</t>
  </si>
  <si>
    <t>14.17</t>
  </si>
  <si>
    <t>14.19</t>
  </si>
  <si>
    <t>14.20</t>
  </si>
  <si>
    <t>14.21</t>
  </si>
  <si>
    <t>14.22</t>
  </si>
  <si>
    <t>14.23</t>
  </si>
  <si>
    <t>14.24</t>
  </si>
  <si>
    <t>14.25</t>
  </si>
  <si>
    <t>14.26</t>
  </si>
  <si>
    <t>14.27</t>
  </si>
  <si>
    <t>14.28</t>
  </si>
  <si>
    <t>14.29</t>
  </si>
  <si>
    <t>14.30</t>
  </si>
  <si>
    <t>14.31</t>
  </si>
  <si>
    <t>15.3.1</t>
  </si>
  <si>
    <t>15.3.2</t>
  </si>
  <si>
    <t>ESSAI ET CONTRÔLE DE CONFORMITE</t>
  </si>
  <si>
    <t>PLUS-VALUE AUX PRIX 3.4.1 ET 3.4.2 POUR DECROTTAGE DE PAVES</t>
  </si>
  <si>
    <t>DEPOSE ET EVACUATION DE FOURREAU</t>
  </si>
  <si>
    <t>FOURNITURE ET POSE EN TRANCHEE OUVERTE DE FOURREAU EN PVC TYPE LST ET DE SES ACCESSOIRES</t>
  </si>
  <si>
    <t>6.2.1.1</t>
  </si>
  <si>
    <t>6.2.1.2</t>
  </si>
  <si>
    <t>6.2.1.3</t>
  </si>
  <si>
    <t>6.2.1.4</t>
  </si>
  <si>
    <t>6.2.1.5</t>
  </si>
  <si>
    <t>6.2.1.6</t>
  </si>
  <si>
    <t>6.2.1.7</t>
  </si>
  <si>
    <t>6.2.1.8</t>
  </si>
  <si>
    <t>6.2.1.9</t>
  </si>
  <si>
    <t>6.2.1.10</t>
  </si>
  <si>
    <t>6.2.1.11</t>
  </si>
  <si>
    <t>6.2.1.12</t>
  </si>
  <si>
    <t>6.2.1.13</t>
  </si>
  <si>
    <t>6.2.1.14</t>
  </si>
  <si>
    <t>6.2.1.15</t>
  </si>
  <si>
    <t>6.2.1.16</t>
  </si>
  <si>
    <t>6.2.1.17</t>
  </si>
  <si>
    <t>6.2.2.1</t>
  </si>
  <si>
    <t>6.2.2.2</t>
  </si>
  <si>
    <t>6.2.2.3</t>
  </si>
  <si>
    <t>6.2.2.4</t>
  </si>
  <si>
    <t>6.2.2.5</t>
  </si>
  <si>
    <t>6.2.3.1</t>
  </si>
  <si>
    <t>6.2.3.2</t>
  </si>
  <si>
    <t>6.2.3.3</t>
  </si>
  <si>
    <t>6.2.3.4</t>
  </si>
  <si>
    <t>6.2.3.5</t>
  </si>
  <si>
    <t>6.2.3.6</t>
  </si>
  <si>
    <t>6.2.4.1</t>
  </si>
  <si>
    <t>6.2.4.2</t>
  </si>
  <si>
    <t>6.2.4.3</t>
  </si>
  <si>
    <t>6.2.4.4</t>
  </si>
  <si>
    <t>6.2.5.1</t>
  </si>
  <si>
    <t>6.2.5.2</t>
  </si>
  <si>
    <t>Fourniture et pose en tranchée de câble BT U 1000 RVFV</t>
  </si>
  <si>
    <t>PLUS-VALUE POUR TIRAGE DE CABLE EN FOURREAUX</t>
  </si>
  <si>
    <t>MESURE D'ISOLEMENT ET DE CONTINUITE D'UN CABLE</t>
  </si>
  <si>
    <t>EXECUTION DE TETE DE CABLE A BANDE ISOLANTE</t>
  </si>
  <si>
    <t>FOURNITURE ET POSE DE PIQUET DE TERRE</t>
  </si>
  <si>
    <t>DEMOLITION DE MASSIF BETON</t>
  </si>
  <si>
    <t>CONFECTION DE MASSIF BETON</t>
  </si>
  <si>
    <t>OUVRAGES SOUTERRAINS</t>
  </si>
  <si>
    <t>FOURNITURE DE MAT</t>
  </si>
  <si>
    <t>FOURNITURE DE CANDELABRE</t>
  </si>
  <si>
    <t>FOURNITURE DE CONSOLE</t>
  </si>
  <si>
    <t>FOURNITURE ET POSE DE SEMELLE DE REGLAGE POUR CANDELABRE DE TYPE PEPLIC</t>
  </si>
  <si>
    <t>FOURNITURE DE LANTERNE PIETONNE</t>
  </si>
  <si>
    <t>FOURNITURE DE CROSSE ARRIERE</t>
  </si>
  <si>
    <t>DEPOSE</t>
  </si>
  <si>
    <t>DEPOSE ET REPOSE DE CELULLE PHOTOELECTRIQUE</t>
  </si>
  <si>
    <t>NUMEROTATION DE CANDELABRE</t>
  </si>
  <si>
    <t>DEPOSE D'APPAREILLAGE DE TOUT TYPE</t>
  </si>
  <si>
    <t>9.8.3</t>
  </si>
  <si>
    <t>9.8.4</t>
  </si>
  <si>
    <t>REMPLACEMENT DIVERS</t>
  </si>
  <si>
    <t>FOURNITURE, POSE ET RACCORDEMENT DE PLAQUE DE RUE LUMINEUSE A LED, A DOUBLE FACE, Y COMPRIS FIXATION SUR RAIL</t>
  </si>
  <si>
    <t>Lanterne 16 LED</t>
  </si>
  <si>
    <t>Lanterne 24 LED</t>
  </si>
  <si>
    <t>Lanterne 32 LED</t>
  </si>
  <si>
    <t>Lanterne 48 LED</t>
  </si>
  <si>
    <t>Fourniture de lanterne LED type CITEA y compris appareillage</t>
  </si>
  <si>
    <t>Fourniture de lanterne LED type INOA y compris appareillage</t>
  </si>
  <si>
    <t>Fourniture de lanterne de style type STYLAGE y compris appareillage</t>
  </si>
  <si>
    <t>Fourniture de lanterne de style type VALENTINO y compris appareillage</t>
  </si>
  <si>
    <t>DEPART PAR DISJONCTEUR SUPPLEMENTAIRE Y COMPRIS CONTACTEUR DE COMMANDE</t>
  </si>
  <si>
    <t>FOURNITURE, POSE, RACCORDEMENT ET CONFECTION D'UNE BOITE DE JONCTION OU DE DERIVATION</t>
  </si>
  <si>
    <t>FOURNITURE, POSE, RACCORDEMENT ET CONFECTION D'UNE BOITE DE COUPURE</t>
  </si>
  <si>
    <t>FOURNITURE, POSE, RACCORDEMENT ET CONFECTION DE TRANSFORMATEUR</t>
  </si>
  <si>
    <t>FOURNITURE ET POSE DE CHAISE DE TRANSFORMATEUR</t>
  </si>
  <si>
    <t>FOURNITURE ET POSE DE FUSIBLE</t>
  </si>
  <si>
    <t>FOURNITURE D'ARMOIRE MM 110</t>
  </si>
  <si>
    <t>POSE D'ARMOIRE MM 110</t>
  </si>
  <si>
    <t>DEPOSE D'ARMOIRE MM 110</t>
  </si>
  <si>
    <t>DEPOSE DE BOITE SOUTERRAINE DE JONCTION OU DE DERIVATION</t>
  </si>
  <si>
    <t>DEPOSE DE BOITE DE COUPURE FONTE</t>
  </si>
  <si>
    <t>DEPOSE DE BOITE DE COUPURE DEFENSE EN CHAMBRE</t>
  </si>
  <si>
    <t>DEPOSE DE TRANSFORMATEUR EN REGARD</t>
  </si>
  <si>
    <t>FOURNITURE ET POSE D'UN COFFRET DE PROTECTION TYPE C2P2 EN PIED DE POTEAU OU DE FACADE EQUIPE D'UN CC P/N</t>
  </si>
  <si>
    <t>FOURNITURE DE FOURREAU EN ACIER</t>
  </si>
  <si>
    <t>FOURNITURE ET POSE DE SERRURE D'ARMOIRE DE COMMANDE</t>
  </si>
  <si>
    <t>FOURNITURE ET POSE DE DISJONCTEUR DIFFERENTIEL 500 mA</t>
  </si>
  <si>
    <t>FOURNITURE ET POSE DE DISJONCTEUR DIFFERENTIEL 4 A 30 mA</t>
  </si>
  <si>
    <t>FOURNITURE ET POSE DE CARTOUCHES FUSIBLES</t>
  </si>
  <si>
    <t>FOURNITURE, POSE ET RACCORDEMENT D'UNE CELLULE PHOTO-ELECTRIQUE OU HORLOGE, NON COMPRIS LE CABLE DE LIAISON</t>
  </si>
  <si>
    <t>REMPLACEMENT DISJONCTEUR NON DIFFERENTIEL Y COMPRIS 4 x 63, 4 x 32, 4 x 16</t>
  </si>
  <si>
    <t>FOURNITURE ET POSE D'INTERRUPTEUR DIFFERENTIEL 30 mA</t>
  </si>
  <si>
    <t>CONSIGNATION DE POSTE</t>
  </si>
  <si>
    <t>FOURNITURE ET POSE DE CONTACTEUR 63 A TETRA</t>
  </si>
  <si>
    <t>FOURNITURE ET POSE DE POTEAU BOIS</t>
  </si>
  <si>
    <t>FOURNITURE DE PINCE D'ANCRAGE OU BALANCELLE</t>
  </si>
  <si>
    <t>POSE DE BOITE DE RACCORDEMENT ETANCHE AVEC PROTECTION FUSIBLE</t>
  </si>
  <si>
    <t>CONFECTION DE REMONTEE AEROSOUTERRAINE</t>
  </si>
  <si>
    <t>RACCORDEMENT SUR RESEAU AERIEN</t>
  </si>
  <si>
    <t>DEPLACEMENT DE FEU TRICOLORE</t>
  </si>
  <si>
    <t>REMISE A L'APLOMB DE POTEAU, POTELET OU POTENCE</t>
  </si>
  <si>
    <t>DEPOSE DE POTEAU BOIS</t>
  </si>
  <si>
    <t>FOURNITURE ET POSE DE MASSIF AUTOPORTEUR POUR POTEAU BOIS</t>
  </si>
  <si>
    <t>DEPOSE DE MASSIF AUTOPORTEUR POUR POTEAU BOIS</t>
  </si>
  <si>
    <t>FOURNITURE ET POSE D'ARMOIRE OU D'ACCESSOIRES</t>
  </si>
  <si>
    <t>FOURNITURE ET REMPLACEMENT D'ACCESSOIRES</t>
  </si>
  <si>
    <t>MODIFICATION D'UNE PROGRAMMATION DE CONTROLEUR</t>
  </si>
  <si>
    <t>14.18</t>
  </si>
  <si>
    <t>PROGRAMMATION COMPLETE DE CONTROLEUR</t>
  </si>
  <si>
    <t>16.1.6</t>
  </si>
  <si>
    <t>16.1.7</t>
  </si>
  <si>
    <t>16.1.8</t>
  </si>
  <si>
    <t>16.1.9</t>
  </si>
  <si>
    <t>16.1.10</t>
  </si>
  <si>
    <t>16.1.11</t>
  </si>
  <si>
    <t>DIVERS</t>
  </si>
  <si>
    <t>15.2.6</t>
  </si>
  <si>
    <t>15.2.7</t>
  </si>
  <si>
    <t>15.3.3</t>
  </si>
  <si>
    <t>15.3.4</t>
  </si>
  <si>
    <t>15.3.5</t>
  </si>
  <si>
    <t>15.3.6</t>
  </si>
  <si>
    <t>15.3.7</t>
  </si>
  <si>
    <t>15.4.3</t>
  </si>
  <si>
    <t>15.4.4</t>
  </si>
  <si>
    <t>15.4.5</t>
  </si>
  <si>
    <t>15.4.6</t>
  </si>
  <si>
    <t>15.4.7</t>
  </si>
  <si>
    <t>16.1.12</t>
  </si>
  <si>
    <t>16.1.13</t>
  </si>
  <si>
    <t>16.1.14</t>
  </si>
  <si>
    <t>16.1.15</t>
  </si>
  <si>
    <t>16.1.16</t>
  </si>
  <si>
    <t>16.1.17</t>
  </si>
  <si>
    <t>16.1.18</t>
  </si>
  <si>
    <t>11.29</t>
  </si>
  <si>
    <t>FOURNITURE ET POSE DE DISJONCTEUR 16A</t>
  </si>
  <si>
    <t>FOURNITURE ET POSE DE DISJONCTEUR 32A</t>
  </si>
  <si>
    <t>FOURNITURE ET POSE DE CONTACTEUR 32A</t>
  </si>
  <si>
    <t>FOURNITURE ET POSE DE PORTE FUSIBLE 4 x 20 A</t>
  </si>
  <si>
    <t>FOURNITURE ET POSE DE PORTE FUSIBLE 2 x 20 A</t>
  </si>
  <si>
    <t>POSE ET ALIMENTATION SUR CANDELABRE D'UN PANNEAU LUMINEUX DE SIGNALISATION OU D'UNE PLAQUE DE RUE</t>
  </si>
  <si>
    <t>POSE ET RACCORDEMENT DE REPETITEUR TRAFIC</t>
  </si>
  <si>
    <t>Dépose de borne (quel que soit le type)</t>
  </si>
  <si>
    <t>Dépose de boule (quel que soit le type)</t>
  </si>
  <si>
    <t>Dépose de grille d'arbre (quel que soit le type)</t>
  </si>
  <si>
    <t>Dépose de barrière (quel que soit le type)</t>
  </si>
  <si>
    <t>Dépose de poubelle (quel que soit le type)</t>
  </si>
  <si>
    <t>Dépose de jardinière (quel que soit le type)</t>
  </si>
  <si>
    <t>Pose de boule (quel que soit le type)</t>
  </si>
  <si>
    <t>Pose de grille d'arbre (quel que soit le type)</t>
  </si>
  <si>
    <t>Pose de barrière (quel que soit le type)</t>
  </si>
  <si>
    <t>Pose de poubelle (quel que soit le type)</t>
  </si>
  <si>
    <t>Pose de borne (quel que soit le type)</t>
  </si>
  <si>
    <t>Pose de jardinière (quel que soit le type)</t>
  </si>
  <si>
    <t>Dépose d'une borne rétractable (quel que soit le type), y compris la mise hors tension</t>
  </si>
  <si>
    <t>2.2.3.15.1</t>
  </si>
  <si>
    <t>Fourniture d'une borne rétractable</t>
  </si>
  <si>
    <t>Dépose de bordure quel que soit le type</t>
  </si>
  <si>
    <t>Dépose de bordurette quel que soit le type</t>
  </si>
  <si>
    <t>Béton Bitumineux Très Mince (BBTM) 0/6 noir</t>
  </si>
  <si>
    <t>Réfection du revêtement de trottoir en béton gris balayé sur 10 cm d'épaisseur</t>
  </si>
  <si>
    <t>Réfection du revêtement de trottoir en béton gris désactivé sur 10 cm d'épaisseur</t>
  </si>
  <si>
    <t>Repose en alignement droit de bordures ou caniveaux grès ou granit préalablement déposées y compris béton de fondation et solin</t>
  </si>
  <si>
    <t>Repose en alignement droit de bordures ou caniveaux béton préalablement déposées y compris béton de fondation et solin</t>
  </si>
  <si>
    <t>Chargement-déchargement-transport dans une Installation de Stockage des Déchets Non dangereux</t>
  </si>
  <si>
    <t>FOURNITURE ET POSE DE GRILLAGE AVERTISSEUR</t>
  </si>
  <si>
    <t>Fourniture et pose de câble MT armé H33 S22</t>
  </si>
  <si>
    <t>8.1.2.3</t>
  </si>
  <si>
    <t>Fourniture de mât en acier galva de type Auriga avec crosse type Palio 0,70 m, hauteur 5 m</t>
  </si>
  <si>
    <t>Fourniture de mât en acier galva  cylindro-conique avec crossette saillie 0,80 m, hauteur 5 m</t>
  </si>
  <si>
    <t xml:space="preserve">Fourniture de mât en acier galva de type Antares avec crosse type Palio 1, hauteur 8 m </t>
  </si>
  <si>
    <t>REMISE A L'APLOMB DE CANDELABRE EXISTANT</t>
  </si>
  <si>
    <t>POSE DES PANNEAUX SUR MAT EXISTANT OU NOUVEAU MAT</t>
  </si>
  <si>
    <t>9.13</t>
  </si>
  <si>
    <t>FOURNITURE DE PROJECTEUR</t>
  </si>
  <si>
    <t>FOURNITURE ET POSE D'ARMOIRE DE COMMANDE</t>
  </si>
  <si>
    <t>DEPOSE D'ARMOIRE D'ECLAIRAGE PUBLIC ET ENLEVEMENT DES EQUIPEMENTS</t>
  </si>
  <si>
    <t>FOURNITURE DE SUPPORT ET POTEAU</t>
  </si>
  <si>
    <t>Réfection définitive en grave ciment 0/20</t>
  </si>
  <si>
    <t>1.12.1</t>
  </si>
  <si>
    <t>1.12.2</t>
  </si>
  <si>
    <t>1.5.1</t>
  </si>
  <si>
    <t>1.5.2</t>
  </si>
  <si>
    <t>Amenée, mise en place et repli de séparateurs de voies plastiques</t>
  </si>
  <si>
    <t>Location de séparateurs de voies plastiques</t>
  </si>
  <si>
    <t>Repose de pavage</t>
  </si>
  <si>
    <t>6.1.4</t>
  </si>
  <si>
    <t>Dépose de réseau d'électricité HT hors service</t>
  </si>
  <si>
    <t>POSE</t>
  </si>
  <si>
    <t>Pose de poteau bois de 11 m</t>
  </si>
  <si>
    <t>Pose d'un massif provisoire</t>
  </si>
  <si>
    <t>Pose de lanterne piétonne</t>
  </si>
  <si>
    <t>Pose de crosse arrière</t>
  </si>
  <si>
    <t>POSE DE LANTERNE DE TOUT TYPE</t>
  </si>
  <si>
    <t>FOURNITURE ET POSE DE LUMINAIRE SOUS OUVRAGE</t>
  </si>
  <si>
    <t>POSE DE PROJECTEUR SUR MAT</t>
  </si>
  <si>
    <t>POSE DE PROJECTEUR ENCASTRE DE SOL</t>
  </si>
  <si>
    <t>Armoire étanche pour installation de 6 platines avec bornier de raccordement et protection</t>
  </si>
  <si>
    <t>POSE DE SUPPORT DE FEU, TRAFIC OU PIETONS, POTENCE DE SIGNALISATION</t>
  </si>
  <si>
    <t>Pose  de support de feu 3,65 m</t>
  </si>
  <si>
    <t>Pose de potence de signalisation</t>
  </si>
  <si>
    <t>Véhicule nacelle 19 - 25 m</t>
  </si>
  <si>
    <t>Véhicule nacelle 14 - 18 m</t>
  </si>
  <si>
    <t>1.9.1</t>
  </si>
  <si>
    <t>1.9.2</t>
  </si>
  <si>
    <t>1.10.3</t>
  </si>
  <si>
    <t>1.12.3</t>
  </si>
  <si>
    <t>1.12.4</t>
  </si>
  <si>
    <t>1.12.5</t>
  </si>
  <si>
    <t>1.12.6</t>
  </si>
  <si>
    <t>1.12.7</t>
  </si>
  <si>
    <t>Fourniture de panneau A13b à leds avec système d'alimentation solaire</t>
  </si>
  <si>
    <t>6.2.1.18</t>
  </si>
  <si>
    <t>6.2.4.5</t>
  </si>
  <si>
    <t>Fourniture et pose en tranchée de câble HT de type SENOREP</t>
  </si>
  <si>
    <t>Lanterne 8 LED CITEA mini</t>
  </si>
  <si>
    <t>Lanterne 16 LED CITEA mini</t>
  </si>
  <si>
    <t>Lanterne 16 LED CITEA midi</t>
  </si>
  <si>
    <t>Lanterne 24 LED CITEA mini</t>
  </si>
  <si>
    <t>Lanterne 24 LED CITEA midi</t>
  </si>
  <si>
    <t>Lanterne 32 LED CITEA mini</t>
  </si>
  <si>
    <t>Lanterne 48 LED CITEA mini</t>
  </si>
  <si>
    <t>Lanterne 48 LED CITEA midi</t>
  </si>
  <si>
    <t>Lanterne 32 LED CITEA midi</t>
  </si>
  <si>
    <t>Fourniture de candélabre de type Rivoli avec crosse type spirale 750</t>
  </si>
  <si>
    <t>Fourniture de candélabre de type Rivoli 5,11m avec crosse type spirale 750 et contre-crosse spirale 450 à 4,00m</t>
  </si>
  <si>
    <t>Hauteur 5,11m</t>
  </si>
  <si>
    <t>Hauteur 6,00m</t>
  </si>
  <si>
    <t>Fourniture de candélabre de type Rivoli hauteur 4,11m</t>
  </si>
  <si>
    <t>Fourniture de crosse type FLO 1,2m</t>
  </si>
  <si>
    <t>Fourniture de crosse type spirale 750 mm</t>
  </si>
  <si>
    <t>Fourniture de crosse type spirale 450 mm</t>
  </si>
  <si>
    <t>POSE DE CROSSE AVANT</t>
  </si>
  <si>
    <t xml:space="preserve">Lanterne type B2 2.0 SOMLED  </t>
  </si>
  <si>
    <t xml:space="preserve">Lanterne type B2 2.1 SOMLED </t>
  </si>
  <si>
    <t xml:space="preserve">Lanterne type B2 2.2 SOMLED  </t>
  </si>
  <si>
    <t>Lanterne type B2 1 SOMLED</t>
  </si>
  <si>
    <t>FOURNITURE ET POSE D'UNE PRISE POUR ILLUMINATION Y COMPRIS RACCORDEMENT</t>
  </si>
  <si>
    <t>FOURNITURE DE CROSSE</t>
  </si>
  <si>
    <t xml:space="preserve">Fourniture de lanterne type FURYO 1  </t>
  </si>
  <si>
    <t xml:space="preserve">Fourniture de lanterne type FURYO 2 </t>
  </si>
  <si>
    <t xml:space="preserve">Lanterne 48 leds type XPL </t>
  </si>
  <si>
    <t>Remplacement des portes extérieures d'un local HT sans grilles</t>
  </si>
  <si>
    <t>Remplacement des portes extérieures d'un local HT avec grilles</t>
  </si>
  <si>
    <t xml:space="preserve">Transformateurs huile 20kV/3,2kV - 160 kVA EcoDesign </t>
  </si>
  <si>
    <t>Transformateurs huile 20kV/3,2kV - 250 kVA EcoDesign</t>
  </si>
  <si>
    <t xml:space="preserve">Transformateurs huile 20kV/3,2kV - 630kVA EcoDesign </t>
  </si>
  <si>
    <t xml:space="preserve">Transformateurs huile 20kV/3,2kV - 800kVA EcoDesign </t>
  </si>
  <si>
    <t>Bac à rétention huile pour un transformateur 160 kVA</t>
  </si>
  <si>
    <t>Bac à rétention huile pour un transformateur 250 kVA</t>
  </si>
  <si>
    <t>Bac à rétention huile pour un transformateur 630 kVA</t>
  </si>
  <si>
    <t>Bac à rétention huile pour un transformateur 800 kVA</t>
  </si>
  <si>
    <t xml:space="preserve">Montant du chantier compris entre 300 001 € HT et 500 000 € HT </t>
  </si>
  <si>
    <t xml:space="preserve">Montant du chantier compris entre 500 001 € HT et 800 000 € HT </t>
  </si>
  <si>
    <t xml:space="preserve">Montant du chantier compris entre 800 001 € HT et 1 100 000 € HT </t>
  </si>
  <si>
    <t xml:space="preserve">Montant du chantier compris entre 1 100 001 € HT et 1 500 000 € HT </t>
  </si>
  <si>
    <t xml:space="preserve">Dépose de caméra de vidéoprotection, surveillance, ou verbalisation </t>
  </si>
  <si>
    <t xml:space="preserve">Pose de caméra de vidéoprotection, surveillance, ou verbalisation </t>
  </si>
  <si>
    <t xml:space="preserve">Percement de chambre de tirage existante </t>
  </si>
  <si>
    <t>Fourniture de mât tubulaire en acier galvanisé</t>
  </si>
  <si>
    <t>Hauteur 3m à 3,5m</t>
  </si>
  <si>
    <t>Hauteur 4m à 4,5m</t>
  </si>
  <si>
    <t xml:space="preserve">Hauteur 5m </t>
  </si>
  <si>
    <t>Fourniture de mât cylindro-conique en acier galvanisé</t>
  </si>
  <si>
    <t>Fourniture de mât octo-conique en acier galvanisé</t>
  </si>
  <si>
    <t>Hauteur jusqu'à 3,5m</t>
  </si>
  <si>
    <t>Fourniture de mât en aluminium tubulaire</t>
  </si>
  <si>
    <t>Fourniture de mât en aluminium cylindro-conique</t>
  </si>
  <si>
    <t>Hauteur 3,5m</t>
  </si>
  <si>
    <t>Fourniture de candélabre de type Europe</t>
  </si>
  <si>
    <t>Hauteur 8 m simple crosse 2,00 m</t>
  </si>
  <si>
    <t>Hauteur 9 m simple crosse 2,00 m</t>
  </si>
  <si>
    <t>Hauteur 6m</t>
  </si>
  <si>
    <t>POSE DE CONSOLE</t>
  </si>
  <si>
    <t>Dépose de mât inférieur à 5m y compris protection</t>
  </si>
  <si>
    <t>Dépose de mât de 6 m y compris protection</t>
  </si>
  <si>
    <t>Dépose de mât de 8 m y compris protection</t>
  </si>
  <si>
    <t>Dépose de mât de 10 m y compris protection</t>
  </si>
  <si>
    <t>Dépose de candélabre de 6 m y compris protection</t>
  </si>
  <si>
    <t>Dépose de candélabre de 8 m y compris protection</t>
  </si>
  <si>
    <t>Dépose de candélabre de 10 m y compris protection</t>
  </si>
  <si>
    <t>Remplacement de sectionneur</t>
  </si>
  <si>
    <t xml:space="preserve">Fourniture de Lanterne YOA </t>
  </si>
  <si>
    <t xml:space="preserve">Fourniture de lanterne OYO </t>
  </si>
  <si>
    <t>Fourniture de lanterne SENSO</t>
  </si>
  <si>
    <t>Fourniture de lanterne type BEAUREGARD 2 B2 SOMLED PCS</t>
  </si>
  <si>
    <t>Fourniture et pose de cache arrière pour lanterne type BEAUREGARD en usine</t>
  </si>
  <si>
    <t>Fourniture de lanterne type TWEET</t>
  </si>
  <si>
    <t>Lanterne type S1 / X1 1 BLS 8</t>
  </si>
  <si>
    <t>Lanterne type S1 / X1 2 BLS 8</t>
  </si>
  <si>
    <t xml:space="preserve">Lanterne type S1 / X1 3 BLS 8 </t>
  </si>
  <si>
    <t xml:space="preserve">Lanterne type S2 / X2 2 BLS 12 </t>
  </si>
  <si>
    <t xml:space="preserve">Lanterne type S2 / X2 3 BLS 12 </t>
  </si>
  <si>
    <t>Fourniture de lanterne type TEO</t>
  </si>
  <si>
    <t>Lanterne type 1.0</t>
  </si>
  <si>
    <t>Lanterne type 1.1</t>
  </si>
  <si>
    <t>Lanterne type 1.2</t>
  </si>
  <si>
    <t>Lanterne type TEO 55</t>
  </si>
  <si>
    <t>Lanterne type TEO 45</t>
  </si>
  <si>
    <t>Fourniture de lanterne type LINK vasques courtes claires</t>
  </si>
  <si>
    <t>Pour mât 6 m et raccordement</t>
  </si>
  <si>
    <t>Pour mât 8 m et raccordement</t>
  </si>
  <si>
    <t>Pour mât 10 m et raccordement</t>
  </si>
  <si>
    <t>Réalisation d'une boîte capot - bout perdu</t>
  </si>
  <si>
    <t>Transformateur sec</t>
  </si>
  <si>
    <t>FOURNITURE ET POSE DE BAC DE RETENTION D'HUILE</t>
  </si>
  <si>
    <t>FOURNITURE DE PORTE EN LOCAL HT</t>
  </si>
  <si>
    <t>Panneau d'information à l'interieur du poste</t>
  </si>
  <si>
    <t xml:space="preserve">Panneau d'information à l'exterieur du poste </t>
  </si>
  <si>
    <t>Extincteurs</t>
  </si>
  <si>
    <t>Gants, perche, VAT , tabouret, tapis isolant,…</t>
  </si>
  <si>
    <t xml:space="preserve">Fourniture, pose et raccordement d'un contrôleur de feu </t>
  </si>
  <si>
    <t xml:space="preserve">Contrôleur 4 lignes de feux type Garbarini Gallery </t>
  </si>
  <si>
    <t>Contrôleur 8 lignes de feux type Garbarini Gallery</t>
  </si>
  <si>
    <t>Contrôleur 12 lignes de feux type Garbarini Gallery</t>
  </si>
  <si>
    <t>Contrôleur 16 lignes de feux type Garbarini Gallery</t>
  </si>
  <si>
    <t>Contrôleur 24 lignes de feux type Garbarini Gallery</t>
  </si>
  <si>
    <t>Contrôleur 4 lignes de feux type Lacroix traffy</t>
  </si>
  <si>
    <t>Contrôleur 8 lignes de feux type Lacroix traffy</t>
  </si>
  <si>
    <t>Contrôleur 12 lignes de feux type Lacroix traffy</t>
  </si>
  <si>
    <t>Contrôleur 16 lignes de feux type Lacroix traffy</t>
  </si>
  <si>
    <t>Contrôleur 24 lignes de feux type Lacroix traffy</t>
  </si>
  <si>
    <t>Contrôleur 4 lignes de feux type M@estro</t>
  </si>
  <si>
    <t>Contrôleur 8 lignes de feux type M@estro</t>
  </si>
  <si>
    <t>Contrôleur 12 lignes de feux type M@estro</t>
  </si>
  <si>
    <t>Contrôleur 16 lignes de feux type M@estro</t>
  </si>
  <si>
    <t>Contrôleur 24 lignes de feux type M@estro</t>
  </si>
  <si>
    <t>Fourniture pose et raccordement d'une carte de puissance</t>
  </si>
  <si>
    <t>Fourniture et pose embase de détecteur</t>
  </si>
  <si>
    <t>Fourniture de feu tricolore de type AXIMUM ATLAS 3G diam 222</t>
  </si>
  <si>
    <t>Fourniture de feu tricolore de type FARECO VISION 2 diam 222</t>
  </si>
  <si>
    <t xml:space="preserve">Fourniture de feu tricolore de type FARECO VISION 2 diam 322 </t>
  </si>
  <si>
    <t>Fourniture de feu tricolore de type AXIMUM ATLAS 3G diam 322</t>
  </si>
  <si>
    <t>Fourniture de feu répétiteur pour véhicule de type AXIMUM REVA</t>
  </si>
  <si>
    <t>Fourniture de feu tricolore de type LACROIX TRAFIC ALUMIX diam 222</t>
  </si>
  <si>
    <t>Fourniture de feu tricolore de type LACROIX TRAFIC ALUMIX diam 322</t>
  </si>
  <si>
    <t>Fourniture de feu répétiteur pour véhicule de type LACROIX TRAFIC ALUMIX</t>
  </si>
  <si>
    <t>Fourniture d'un feu piéton de type FARECO VISION 2</t>
  </si>
  <si>
    <t>Fourniture d'un feu piéton de type AXIMUM SPAx</t>
  </si>
  <si>
    <t>Fourniture d'un feu piéton de type LACROIX TRAFIC ALUMIX</t>
  </si>
  <si>
    <t>Fourniture d'un feu type croix grec du fabriquant FARECO de la gamme VISION 2</t>
  </si>
  <si>
    <t>Fourniture d'un feu type croix grec du fabriquant AXIMUM de la gamme ATLAS 3G</t>
  </si>
  <si>
    <t>Fourniture de feu tricolore de type AXIMUM ALUXE diam 222</t>
  </si>
  <si>
    <t>Fourniture de feu tricolore de type AXIMUM ALUXE diam 322</t>
  </si>
  <si>
    <t>Fourniture d'un feu type croix grec du fabriquant AXIMUM de la gamme ALUXE</t>
  </si>
  <si>
    <t>Fourniture d'un feu type croix grec du fabriquant LACROIX TRAFIC de la gamme ALUMIX</t>
  </si>
  <si>
    <t xml:space="preserve">POSE ET RACCORDEMENT DE FEU SUR BRAS DE POTENCE </t>
  </si>
  <si>
    <t>POSE ET RACCORDEMENT DE FEU MONOCOULEUR</t>
  </si>
  <si>
    <t>Fourniture d'un feu priorité piéton de type FARECO VISION 2</t>
  </si>
  <si>
    <t>POSE ET RACCORDEMENT DE FEU PRINCIPAL SUR SUPPORT</t>
  </si>
  <si>
    <t>POSE ET RACCORDEMENT DE FEU PIETON</t>
  </si>
  <si>
    <t>POSE ET RACCORDEMENT DE FEU TYPE PRIORITE PIETON</t>
  </si>
  <si>
    <t>POSE ET RACCORDEMENT DE BOUTON D'APPEL PIETON</t>
  </si>
  <si>
    <t>Fourniture de bouton appel piéton de type FARECO VISION 2</t>
  </si>
  <si>
    <t>Fourniture de bouton appel piéton de type LACROIX TRAFIC ALUMIX</t>
  </si>
  <si>
    <t>Fourniture de bouton appel piéton de type AXIMUM BAPA</t>
  </si>
  <si>
    <t>Fourniture et pose de câble BT U1000 R2V</t>
  </si>
  <si>
    <t>Confection de massif béton pour potelet de signalisation</t>
  </si>
  <si>
    <t>FOURNITURE, POSE ET RACCORDEMENT DE COFFRET CLASSE II</t>
  </si>
  <si>
    <t>2 x 1,5mm²</t>
  </si>
  <si>
    <t>2 x 2,5 mm²</t>
  </si>
  <si>
    <t>2 x 4 mm²</t>
  </si>
  <si>
    <t>2 x 6 mm²</t>
  </si>
  <si>
    <t>2 x 10 mm²</t>
  </si>
  <si>
    <t>2 x 16 mm²</t>
  </si>
  <si>
    <t>3 x 2,5 mm²</t>
  </si>
  <si>
    <t>3 x 4 mm²</t>
  </si>
  <si>
    <t>3 x 6 mm²</t>
  </si>
  <si>
    <t>3 x 10 mm²</t>
  </si>
  <si>
    <t>4 x 2,5 mm²</t>
  </si>
  <si>
    <t>4 x 4 mm²</t>
  </si>
  <si>
    <t>4 x 6 mm²</t>
  </si>
  <si>
    <t>4 x 10 mm²</t>
  </si>
  <si>
    <t>4 x 16 mm²</t>
  </si>
  <si>
    <t>4 x 25 mm²</t>
  </si>
  <si>
    <t>4 x 35 mm²</t>
  </si>
  <si>
    <t>4 x 50 mm²</t>
  </si>
  <si>
    <t>3 x 1,5mm²</t>
  </si>
  <si>
    <t>3G1,5mm²</t>
  </si>
  <si>
    <t>3G2,5mm²</t>
  </si>
  <si>
    <t>5G1,5mm²</t>
  </si>
  <si>
    <t>5G2,5mm²</t>
  </si>
  <si>
    <t>7G1,5mm²</t>
  </si>
  <si>
    <t>7G2,5mm²</t>
  </si>
  <si>
    <t>12G1,5mm²</t>
  </si>
  <si>
    <t>12G2,5mm²</t>
  </si>
  <si>
    <t>Dépose de remontée aérosouterraine (RAS)</t>
  </si>
  <si>
    <t>BAES</t>
  </si>
  <si>
    <t>Remplacement des portes doubles extérieures d'un local HT sans grilles</t>
  </si>
  <si>
    <t>Remplacement des portes doubles extérieures d'un local HT avec grilles</t>
  </si>
  <si>
    <t>Fourniture et pose de grille verrouillable pour regard d'éclairage</t>
  </si>
  <si>
    <t>Grille verrouillable y compris serrure pour regard 60 x 60 cm</t>
  </si>
  <si>
    <t>Grille verrouillable y compris serrure pour regard 80 x 80 cm</t>
  </si>
  <si>
    <t>Diamètre 40</t>
  </si>
  <si>
    <t>Diamètre 60</t>
  </si>
  <si>
    <t>Armoire de commande en alliange aluminium IP44 1 porte équipée de :
1 Panneau CTBX précâblé sous goulotte et rail
1 Coffret IP2X
1 Bornier 16/70² tétrapolaire 4 Arrivées
4 Interrupteurs tétrapolaire 160A INS160
1 Répartiteur 250A tétrapolaire
1 Interrupteur bipolaire différentiel 30mA 25A pour protection télécommande, PC et éclairage
1 Disjoncteur de protection télécommande DT40 2A 6KA courbe C
1 Eclairage LED 11W commandé par fin de course et protégé par disjoncteur DT40 2A 6KA courbe C
1 Prise de courant protégée par disjoncteur DT40 16A 6KA courbe C
1 Bornier raccordement commande
1 Disjoncteur tétrapolaire iC60N 63A courbe C 10kVA
2 Contacteurs 4P 63A 220/240 Jour/Nuit (1 pour 2 départs)
4 Départs disjoncteur tétrapolaire iC60N 20A courbe B 10kA avec différentiel 300mA
4 Départs sur bornier 16/35² tétrapolaire avec borne de terre
1 horloge astronomique 
1 serrure DENY</t>
  </si>
  <si>
    <t>Fourniture de feu répétiteur pour véhicule de type FARECO VISION 2</t>
  </si>
  <si>
    <t>Fourniture et mise en œuvre d'un geotextile type pare racine</t>
  </si>
  <si>
    <t>2 x 25 mm²</t>
  </si>
  <si>
    <t>Cadre et tampon acier galvanisé classe B125 pour regard 60 x 60 cm</t>
  </si>
  <si>
    <t>Cadre et tampon acier galvanisé classe B125 pour regard 80 x 80 cm</t>
  </si>
  <si>
    <t>Grille verrouillable y compris serrure pour regard 100 x 80 cm</t>
  </si>
  <si>
    <t>Grille verrouillable y compris serrure pour regard 120 x 80 cm</t>
  </si>
  <si>
    <t xml:space="preserve">Hauteur 6m </t>
  </si>
  <si>
    <t>Fourniture de crosse type cintrée 0,5m</t>
  </si>
  <si>
    <t>Peplic 400 x 400</t>
  </si>
  <si>
    <t>Peplic 260 x 260</t>
  </si>
  <si>
    <t>Pose de mât ou embase jusqu'à 4,00 m et raccordement</t>
  </si>
  <si>
    <t>Pose de mât ou embase jusqu'à 4,50 m et raccordement</t>
  </si>
  <si>
    <t>Pose de mât ou embase jusqu'à 5,00 m et raccordement</t>
  </si>
  <si>
    <t>Pose de candélabre ou embase de 6,00m et raccordement</t>
  </si>
  <si>
    <t>Pose de candélabre ou embase de 8,00 m et raccordement</t>
  </si>
  <si>
    <t>Pose de candélabre ou embase de 9,00 m et raccordement</t>
  </si>
  <si>
    <t>Pose de candélabre ou embase de 10,00 m et raccordement</t>
  </si>
  <si>
    <t xml:space="preserve">MISE EN PEINTURE D'EQUIPEMENTS </t>
  </si>
  <si>
    <t>Fourniture de projecteur Néos 2</t>
  </si>
  <si>
    <t>PEINTURE D'EQUIPEMENTS EXISTANTS SUR SITE</t>
  </si>
  <si>
    <t xml:space="preserve">Mise en peinture 3 couches de support de feu existant au RAL choisit par la MOA </t>
  </si>
  <si>
    <t xml:space="preserve">Mise en peinture 3 couches de potelet support de répétiteur existant au RAL choisit par la MOA </t>
  </si>
  <si>
    <t xml:space="preserve">Mise en peinture 3 couches de potence de 4 m d'avancée existant au RAL choisit par la MOA </t>
  </si>
  <si>
    <t xml:space="preserve">Mise en peinture 3 couches de potence de 5 m d'avancée existant au RAL choisit par la MOA </t>
  </si>
  <si>
    <t xml:space="preserve">Mise en peinture 3 couches de feu tricolore existant au RAL choisit par la MOA </t>
  </si>
  <si>
    <t xml:space="preserve">Mise en peinture 3 couches de répétiteur trafic existant au RAL choisit par la MOA </t>
  </si>
  <si>
    <t xml:space="preserve">Mise en peinture 3 couches de répétiteur piétons existant au RAL choisit par la MOA </t>
  </si>
  <si>
    <t xml:space="preserve">Mise en peinture 3 couches de coffret d'appel piétons existant au RAL choisit par la MOA </t>
  </si>
  <si>
    <t xml:space="preserve">Mise en peinture 3 couches d'armoire de signalisation tricolore existant au RAL choisit par la MOA </t>
  </si>
  <si>
    <t xml:space="preserve">Fourniture de poteau rétreint 140/90 de 3,65 m acier galva  thermo-laqué </t>
  </si>
  <si>
    <t xml:space="preserve">Fourniture de poteau rétreint 140/90 de 2,65 m acier galvanisé thermo-laqué </t>
  </si>
  <si>
    <t>Fourniture de poteau bisection 140/90 de 3,65 m en acier galvanisée thermo-laqué</t>
  </si>
  <si>
    <t>Fourniture de poteau bisection 140/90 de 2,65 m en acier galvanisée thermo-laqué</t>
  </si>
  <si>
    <t>avancée 3,50m</t>
  </si>
  <si>
    <t>avancée 4,00m</t>
  </si>
  <si>
    <t>avancée 4,50m</t>
  </si>
  <si>
    <t>Pose de support de feu 2,65 m</t>
  </si>
  <si>
    <t>Fourniture et pose d'un GPS</t>
  </si>
  <si>
    <t>Fourniture de feu tricolore de type LACROIX TRAFIC ALUMIX diam 333</t>
  </si>
  <si>
    <t>Fourniture de feu tricolore de type AXIMUM ALUXE diam 333</t>
  </si>
  <si>
    <t>Fourniture de feu tricolore de type AXIMUM ATLAS 3G diam 333</t>
  </si>
  <si>
    <t>Fourniture de feu tricolore de type FARECO VISION 2 diam 333</t>
  </si>
  <si>
    <t xml:space="preserve">1 voie de circulation </t>
  </si>
  <si>
    <t xml:space="preserve">2 voies de circulation </t>
  </si>
  <si>
    <t>Fourniture, pose, raccordement et paramétrage de radar hyper fréquence type SPOT CAPSYS</t>
  </si>
  <si>
    <t>Fourniture d'un feu fléché du fabriquant AXIMUM de la gamme ATLAS 3G</t>
  </si>
  <si>
    <t>Fourniture d'un feu fléché du fabriquant FARECO de la gamme VISION 2</t>
  </si>
  <si>
    <t>Fourniture d'un feu fléché du fabriquant AXIMUM de la gamme ALUXE</t>
  </si>
  <si>
    <t>Fourniture d'un feu fléché du fabriquant LACROIX TRAFIC de la gamme ALUMIX</t>
  </si>
  <si>
    <t>Fourniture de projecteur FOCAL</t>
  </si>
  <si>
    <t>Fourniture de crosse type DIABOLO</t>
  </si>
  <si>
    <t>Fourniture de crosse type cintrée 1 m</t>
  </si>
  <si>
    <t>Fourniture de crosse type cintrée 1,5m</t>
  </si>
  <si>
    <t>Fourniture de crosse type cintrée 2m</t>
  </si>
  <si>
    <t>Fourniture de crosse type PALIO</t>
  </si>
  <si>
    <t>Fourniture de crosse type VECTOR 0,75 m</t>
  </si>
  <si>
    <t>Fourniture de crosse type VECTOR 1,2 m</t>
  </si>
  <si>
    <t>Fourniture de crosse type ARIANE 3</t>
  </si>
  <si>
    <t>Fourniture de feu répétiteur pour véhicule de type SEA AXEL</t>
  </si>
  <si>
    <t>Fourniture de feu tricolore de type SEA AXEL diam 222</t>
  </si>
  <si>
    <t>Fourniture de feu tricolore de type SEA AXEL diam 322</t>
  </si>
  <si>
    <t>Fourniture de feu tricolore de type SEA AXEL diam 333</t>
  </si>
  <si>
    <t>Fourniture de feu répétiteur pour véhicule de type SEA NIXEA</t>
  </si>
  <si>
    <t>Fourniture de feu tricolore de type SEA NIXEA diam 222</t>
  </si>
  <si>
    <t>Fourniture de feu tricolore de type SEA NIXEA diam 322</t>
  </si>
  <si>
    <t>Fourniture de feu tricolore de type SEA NIXEA diam 333</t>
  </si>
  <si>
    <t>Fourniture d'un feu piéton de type SEA AXEL</t>
  </si>
  <si>
    <t>Fourniture d'un feu piéton de type SEA NIXEA</t>
  </si>
  <si>
    <t>Fourniture d'un feu type croix grec du fabriquant SEA de la gamme AXEL</t>
  </si>
  <si>
    <t>Fourniture d'un feu type croix grec du fabriquant SEA de la gamme NIXEA</t>
  </si>
  <si>
    <t>Fourniture d'un feu fléché du fabriquant SEA de la gamme AXEL</t>
  </si>
  <si>
    <t>Fourniture d'un feu fléché du fabriquant SEA de la gamme NIXEA</t>
  </si>
  <si>
    <t>Fourniture d'un feu priorité piéton de type AXIMUM ATLAS 3G</t>
  </si>
  <si>
    <t>Fourniture d'un feu priorité piéton de type AXIMUM ALUXE</t>
  </si>
  <si>
    <t>Fourniture d'un feu priorité piéton de type LACROIX TRAFIC ALUMIX</t>
  </si>
  <si>
    <t>Fourniture d'un feu priorité piéton de type SEA AXEL</t>
  </si>
  <si>
    <t>Fourniture d'un feu priorité piéton de type SEA NIXEA</t>
  </si>
  <si>
    <t>Dépose d'arceau anti stationnement (quel que soit le type)</t>
  </si>
  <si>
    <t>Pose d'arceau anti stationnement (quel que soit le type)</t>
  </si>
  <si>
    <t>MISE A LA TERRE INDIVIDUELLE DE CANDELABRE, D'ARMOIRE OU DE DIVERS COFFRET</t>
  </si>
  <si>
    <t xml:space="preserve">Fourniture de mât en acier galva de type Antares avec crosse type Palio 1, hauteur 7 m </t>
  </si>
  <si>
    <t>Fourniture de bouton appel piéton de type SEA</t>
  </si>
  <si>
    <t>taille 700mm</t>
  </si>
  <si>
    <t>taille 1000mm</t>
  </si>
  <si>
    <t>Contrôleur 4 lignes de feux type SEA</t>
  </si>
  <si>
    <t>Contrôleur 8 lignes de feux type SEA</t>
  </si>
  <si>
    <t>Contrôleur 12 lignes de feux type SEA</t>
  </si>
  <si>
    <t>Contrôleur 16 lignes de feux type SEA</t>
  </si>
  <si>
    <t>Contrôleur 24 lignes de feux type SEA</t>
  </si>
  <si>
    <t>PROGRAMMATION OU MODIFICATION D'UN MESSAGE SONORE POUR CAISSON PIETON</t>
  </si>
  <si>
    <t>1.1.8</t>
  </si>
  <si>
    <t>1.1.9</t>
  </si>
  <si>
    <t>1.1.10</t>
  </si>
  <si>
    <t>1.1.11</t>
  </si>
  <si>
    <t>1.8.1</t>
  </si>
  <si>
    <t>1.8.2</t>
  </si>
  <si>
    <t>1.9.3</t>
  </si>
  <si>
    <t>1.10.4</t>
  </si>
  <si>
    <t>1.10.5</t>
  </si>
  <si>
    <t>1.10.6</t>
  </si>
  <si>
    <t>1.11.3</t>
  </si>
  <si>
    <t>1.11.4</t>
  </si>
  <si>
    <t>1.11.5</t>
  </si>
  <si>
    <t>1.11.6</t>
  </si>
  <si>
    <t>1.11.7</t>
  </si>
  <si>
    <t>1.11.8</t>
  </si>
  <si>
    <t>1.11.9</t>
  </si>
  <si>
    <t>1.11.10</t>
  </si>
  <si>
    <t>1.11.11</t>
  </si>
  <si>
    <t>1.12.8</t>
  </si>
  <si>
    <t>1.12.9</t>
  </si>
  <si>
    <t>1.12.10</t>
  </si>
  <si>
    <t>1.12.11</t>
  </si>
  <si>
    <t>4.4.1</t>
  </si>
  <si>
    <t>4.4.2</t>
  </si>
  <si>
    <t>4.4.3</t>
  </si>
  <si>
    <t>4.4.4</t>
  </si>
  <si>
    <t>4.4.5</t>
  </si>
  <si>
    <t>4.5.1</t>
  </si>
  <si>
    <t>4.5.2</t>
  </si>
  <si>
    <t>4.5.3</t>
  </si>
  <si>
    <t>4.5.4</t>
  </si>
  <si>
    <t>4.7.4</t>
  </si>
  <si>
    <t>4.7.5</t>
  </si>
  <si>
    <t>4.7.5.1</t>
  </si>
  <si>
    <t>4.7.5.2</t>
  </si>
  <si>
    <t>4.7.5.3</t>
  </si>
  <si>
    <t>4.7.5.4</t>
  </si>
  <si>
    <t>4.7.5.5</t>
  </si>
  <si>
    <t>4.7.5.6</t>
  </si>
  <si>
    <t>4.7.5.7</t>
  </si>
  <si>
    <t>6.2.1.19</t>
  </si>
  <si>
    <t>6.2.1.20</t>
  </si>
  <si>
    <t>6.2.1.21</t>
  </si>
  <si>
    <t>6.2.1.22</t>
  </si>
  <si>
    <t>6.2.1.23</t>
  </si>
  <si>
    <t>6.2.1.24</t>
  </si>
  <si>
    <t>6.2.1.25</t>
  </si>
  <si>
    <t>6.2.1.26</t>
  </si>
  <si>
    <t>6.2.1.27</t>
  </si>
  <si>
    <t>6.2.1.28</t>
  </si>
  <si>
    <t>6.2.1.29</t>
  </si>
  <si>
    <t>6.2.2.6</t>
  </si>
  <si>
    <t>6.2.2.7</t>
  </si>
  <si>
    <t>6.2.2.8</t>
  </si>
  <si>
    <t>6.2.2.9</t>
  </si>
  <si>
    <t>6.2.2.10</t>
  </si>
  <si>
    <t>6.2.2.11</t>
  </si>
  <si>
    <t>6.2.2.12</t>
  </si>
  <si>
    <t>6.2.2.13</t>
  </si>
  <si>
    <t>6.2.2.14</t>
  </si>
  <si>
    <t>7.3.3</t>
  </si>
  <si>
    <t>7.3.3.1</t>
  </si>
  <si>
    <t>7.3.3.2</t>
  </si>
  <si>
    <t>7.3.3.3</t>
  </si>
  <si>
    <t>7.3.3.4</t>
  </si>
  <si>
    <t>7.4.1</t>
  </si>
  <si>
    <t>7.4.2</t>
  </si>
  <si>
    <t>8.1.2.4</t>
  </si>
  <si>
    <t>8.1.2.5</t>
  </si>
  <si>
    <t>8.1.2.6</t>
  </si>
  <si>
    <t>8.1.2.7</t>
  </si>
  <si>
    <t>8.1.3.1</t>
  </si>
  <si>
    <t>8.1.3.2</t>
  </si>
  <si>
    <t>8.1.3.3</t>
  </si>
  <si>
    <t>8.5.12</t>
  </si>
  <si>
    <t>8.5.13</t>
  </si>
  <si>
    <t>8.5.14</t>
  </si>
  <si>
    <t>8.5.15</t>
  </si>
  <si>
    <t>8.5.16</t>
  </si>
  <si>
    <t>8.12.5</t>
  </si>
  <si>
    <t>8.12.6</t>
  </si>
  <si>
    <t>8.12.7</t>
  </si>
  <si>
    <t>8.12.8</t>
  </si>
  <si>
    <t>8.12.9</t>
  </si>
  <si>
    <t>8.12.10</t>
  </si>
  <si>
    <t>8.12.11</t>
  </si>
  <si>
    <t>8.12.12</t>
  </si>
  <si>
    <t>8.12.13</t>
  </si>
  <si>
    <t>8.12.14</t>
  </si>
  <si>
    <t>8.17.11</t>
  </si>
  <si>
    <t>9.2.1</t>
  </si>
  <si>
    <t>9.2.2</t>
  </si>
  <si>
    <t>9.2.3</t>
  </si>
  <si>
    <t>9.2.4</t>
  </si>
  <si>
    <t>9.2.5</t>
  </si>
  <si>
    <t>9.2.6</t>
  </si>
  <si>
    <t>9.2.7</t>
  </si>
  <si>
    <t>9.2.8</t>
  </si>
  <si>
    <t>9.2.9</t>
  </si>
  <si>
    <t>9.6.1</t>
  </si>
  <si>
    <t>9.6.1.1</t>
  </si>
  <si>
    <t>9.6.2.2</t>
  </si>
  <si>
    <t>9.6.4.4</t>
  </si>
  <si>
    <t>9.6.1.2</t>
  </si>
  <si>
    <t>9.6.1.3</t>
  </si>
  <si>
    <t>9.6.1.4</t>
  </si>
  <si>
    <t>9.6.2</t>
  </si>
  <si>
    <t>9.6.2.1</t>
  </si>
  <si>
    <t>9.6.2.3</t>
  </si>
  <si>
    <t>9.6.3</t>
  </si>
  <si>
    <t>9.6.4</t>
  </si>
  <si>
    <t>9.6.4.1</t>
  </si>
  <si>
    <t>9.6.4.2</t>
  </si>
  <si>
    <t>9.6.4.3</t>
  </si>
  <si>
    <t>9.6.5</t>
  </si>
  <si>
    <t>9.6.6</t>
  </si>
  <si>
    <t>9.6.7</t>
  </si>
  <si>
    <t>9.6.8</t>
  </si>
  <si>
    <t>9.6.9</t>
  </si>
  <si>
    <t>9.6.10</t>
  </si>
  <si>
    <t>9.6.11</t>
  </si>
  <si>
    <t>9.6.12</t>
  </si>
  <si>
    <t>9.6.13</t>
  </si>
  <si>
    <t>9.6.14</t>
  </si>
  <si>
    <t>9.6.15</t>
  </si>
  <si>
    <t>9.6.15.1</t>
  </si>
  <si>
    <t>9.6.15.2</t>
  </si>
  <si>
    <t>9.6.16</t>
  </si>
  <si>
    <t>9.6.16.1</t>
  </si>
  <si>
    <t>9.6.16.2</t>
  </si>
  <si>
    <t>9.6.17</t>
  </si>
  <si>
    <t>9.6.17.1</t>
  </si>
  <si>
    <t>9.6.17.2</t>
  </si>
  <si>
    <t>9.6.17.3</t>
  </si>
  <si>
    <t>9.6.18</t>
  </si>
  <si>
    <t>11.3.1.1</t>
  </si>
  <si>
    <t>11.3.2.2</t>
  </si>
  <si>
    <t>11.3.1.2</t>
  </si>
  <si>
    <t>11.3.1.3</t>
  </si>
  <si>
    <t>11.3.1.4</t>
  </si>
  <si>
    <t>11.3.2.1</t>
  </si>
  <si>
    <t>11.3.2.3</t>
  </si>
  <si>
    <t>11.3.2.4</t>
  </si>
  <si>
    <t>11.3.2.5</t>
  </si>
  <si>
    <t>11.3.2.6</t>
  </si>
  <si>
    <t>11.3.2.7</t>
  </si>
  <si>
    <t>11.6.4</t>
  </si>
  <si>
    <t>11.10.1</t>
  </si>
  <si>
    <t>11.10.2</t>
  </si>
  <si>
    <t>11.10.3</t>
  </si>
  <si>
    <t>11.10.4</t>
  </si>
  <si>
    <t>11.10.5</t>
  </si>
  <si>
    <t>11.10.6</t>
  </si>
  <si>
    <t>11.10.7</t>
  </si>
  <si>
    <t>11.10.8</t>
  </si>
  <si>
    <t>11.10.9</t>
  </si>
  <si>
    <t>11.30</t>
  </si>
  <si>
    <t>11.31</t>
  </si>
  <si>
    <t>11.32</t>
  </si>
  <si>
    <t>11.33</t>
  </si>
  <si>
    <t>11.34</t>
  </si>
  <si>
    <t>14.10.1</t>
  </si>
  <si>
    <t>14.10.2</t>
  </si>
  <si>
    <t>14.10.3</t>
  </si>
  <si>
    <t>14.10.4</t>
  </si>
  <si>
    <t>14.10.5</t>
  </si>
  <si>
    <t>14.10.6</t>
  </si>
  <si>
    <t>14.10.7</t>
  </si>
  <si>
    <t>14.10.8</t>
  </si>
  <si>
    <t>14.10.9</t>
  </si>
  <si>
    <t>14.10.10</t>
  </si>
  <si>
    <t>14.10.11</t>
  </si>
  <si>
    <t>14.10.12</t>
  </si>
  <si>
    <t>14.10.13</t>
  </si>
  <si>
    <t>14.10.14</t>
  </si>
  <si>
    <t>14.14.1</t>
  </si>
  <si>
    <t>14.14.2</t>
  </si>
  <si>
    <t>14.14.3</t>
  </si>
  <si>
    <t>14.14.4</t>
  </si>
  <si>
    <t>14.14.5</t>
  </si>
  <si>
    <t>14.15.1</t>
  </si>
  <si>
    <t>14.15.2</t>
  </si>
  <si>
    <t>14.15.3</t>
  </si>
  <si>
    <t>14.15.4</t>
  </si>
  <si>
    <t>14.15.5</t>
  </si>
  <si>
    <t>14.16.1</t>
  </si>
  <si>
    <t>14.16.2</t>
  </si>
  <si>
    <t>14.16.3</t>
  </si>
  <si>
    <t>14.16.4</t>
  </si>
  <si>
    <t>14.16.5</t>
  </si>
  <si>
    <t>14.16.6</t>
  </si>
  <si>
    <t>14.16.7</t>
  </si>
  <si>
    <t>14.16.8</t>
  </si>
  <si>
    <t>14.16.9</t>
  </si>
  <si>
    <t>14.16.10</t>
  </si>
  <si>
    <t>14.16.11</t>
  </si>
  <si>
    <t>14.16.12</t>
  </si>
  <si>
    <t>14.17.1</t>
  </si>
  <si>
    <t>14.17.2</t>
  </si>
  <si>
    <t>14.17.3</t>
  </si>
  <si>
    <t>14.17.4</t>
  </si>
  <si>
    <t>14.17.5</t>
  </si>
  <si>
    <t>14.17.6</t>
  </si>
  <si>
    <t>14.30.1</t>
  </si>
  <si>
    <t>14.30.2</t>
  </si>
  <si>
    <t>14.30.3</t>
  </si>
  <si>
    <t>14.30.4</t>
  </si>
  <si>
    <t>14.30.5</t>
  </si>
  <si>
    <t>14.30.6</t>
  </si>
  <si>
    <t>14.30.7</t>
  </si>
  <si>
    <t>14.30.8</t>
  </si>
  <si>
    <t>14.30.9</t>
  </si>
  <si>
    <t>Dépose d'étrier de protection pour mât ou poteau en acier galvanisé (quelque soit sa taille)</t>
  </si>
  <si>
    <t>Pose d'étrier de protection pour mât ou poteau en acier galvanisé</t>
  </si>
  <si>
    <t>Fourniture d'étrier de protection pour mât ou poteau en acier galvanisé</t>
  </si>
  <si>
    <t>2.2.5.3.1</t>
  </si>
  <si>
    <t>2.2.5.3.2</t>
  </si>
  <si>
    <t xml:space="preserve">Blindage par tôle métallique </t>
  </si>
  <si>
    <t>Dépose de candélabre inférieur à 5 m y compris protection</t>
  </si>
  <si>
    <t xml:space="preserve">Mise en peinture de console </t>
  </si>
  <si>
    <t>Mise en peinture de retour arrière</t>
  </si>
  <si>
    <t>Mise en peinture de mât de 3,00m</t>
  </si>
  <si>
    <t>Mise en peinture de mât de 3,50m</t>
  </si>
  <si>
    <t>Mise en peinture de mât de 4,00m</t>
  </si>
  <si>
    <t>Mise en peinture de mât de 4,50m</t>
  </si>
  <si>
    <t>Mise en peinture de mât de 5,00m</t>
  </si>
  <si>
    <t>Mise en peinture de candélabre de 6,00m y compris crosse</t>
  </si>
  <si>
    <t>Mise en peinture de candélabre de 8,00m y compris crosse</t>
  </si>
  <si>
    <t>Mise en peinture de candélabre de 9,00m y compris crosse</t>
  </si>
  <si>
    <t>Mise en peinture de candélabre de 10,00m y compris crosse</t>
  </si>
  <si>
    <t>Fourniture et pose de cache arrière pour lanterne STYLAGE en usine</t>
  </si>
  <si>
    <t>Lanterne 8 LED</t>
  </si>
  <si>
    <t>Transformateur à huile</t>
  </si>
  <si>
    <t>FOURNITURE  ET POSE DE TABLEAU HT-EP 3,2KV TRIPHASE</t>
  </si>
  <si>
    <t>TABLEAU ARRIVÉE 20 KV, CELLULES : 2 ARRIVÉES, 1 COMPTAGE, 1 PROTECTION GÉNÉRALE, 2 PROTECTIONS TRANSFO</t>
  </si>
  <si>
    <t>COFFRET C13-100 ONDULÉ</t>
  </si>
  <si>
    <t>EQUIPEMENTS DE SECURITE</t>
  </si>
  <si>
    <t>11.11.1</t>
  </si>
  <si>
    <t>11.11.2</t>
  </si>
  <si>
    <t>11.11.3</t>
  </si>
  <si>
    <t>FOURNITURE DE FEU TRICOLORE A LED</t>
  </si>
  <si>
    <t>FOURNITURE D'UN FEU MONOCOULEUR A LED</t>
  </si>
  <si>
    <t>FOURNITURE D'UN FEU PRIORITE PIETON DE TYPE A13b A LED</t>
  </si>
  <si>
    <t>FOURNITURE ET POSE D'UN ECRAN DE CONSTRASTE POUR FEU ROUTIER</t>
  </si>
  <si>
    <t>Ecran de constrate pour feu routier de type 322</t>
  </si>
  <si>
    <t>Ecran de constrate pour feu routier de type 333</t>
  </si>
  <si>
    <t>FOURNITURE DE BOUTON APPEL PIETONS</t>
  </si>
  <si>
    <t>3 voies de circulation</t>
  </si>
  <si>
    <t>3.8.2.1</t>
  </si>
  <si>
    <t>3.8.2.2</t>
  </si>
  <si>
    <t>3.8.2.3</t>
  </si>
  <si>
    <t>3.8.3</t>
  </si>
  <si>
    <t>3.8.3.1</t>
  </si>
  <si>
    <t>3.8.3.2</t>
  </si>
  <si>
    <t>3.8.3.3</t>
  </si>
  <si>
    <t>3.8.4</t>
  </si>
  <si>
    <t>3.8.5</t>
  </si>
  <si>
    <t>3.8.6</t>
  </si>
  <si>
    <t>3.8.7</t>
  </si>
  <si>
    <t>3.8.7.1</t>
  </si>
  <si>
    <t>3.8.7.2</t>
  </si>
  <si>
    <t>3.8.7.3</t>
  </si>
  <si>
    <t>3.8.7.4</t>
  </si>
  <si>
    <t>3.8.7.5</t>
  </si>
  <si>
    <t>3.8.7.6</t>
  </si>
  <si>
    <t>3.8.7.7</t>
  </si>
  <si>
    <t>3.8.7.8</t>
  </si>
  <si>
    <t>3.8.8</t>
  </si>
  <si>
    <t>3.8.8.1</t>
  </si>
  <si>
    <t>3.8.8.2</t>
  </si>
  <si>
    <t>3.8.8.3</t>
  </si>
  <si>
    <t>3.8.8.4</t>
  </si>
  <si>
    <t>3.8.8.5</t>
  </si>
  <si>
    <t>3.8.9</t>
  </si>
  <si>
    <t>3.8.10</t>
  </si>
  <si>
    <t>3.8.11</t>
  </si>
  <si>
    <t>3.8.12</t>
  </si>
  <si>
    <t>3.8.13</t>
  </si>
  <si>
    <t>3.8.14</t>
  </si>
  <si>
    <t>3.8.14.1</t>
  </si>
  <si>
    <t>3.8.14.2</t>
  </si>
  <si>
    <t>3.8.15</t>
  </si>
  <si>
    <t>3.8.16</t>
  </si>
  <si>
    <t>3.8.17</t>
  </si>
  <si>
    <t>3.8.18</t>
  </si>
  <si>
    <t>Fourniture et pose de cache arrière pour lanterne VALENTINO en usine</t>
  </si>
  <si>
    <t>9.6.18.1</t>
  </si>
  <si>
    <t>9.6.18.2</t>
  </si>
  <si>
    <t>9.6.18.3</t>
  </si>
  <si>
    <t>9.6.18.4</t>
  </si>
  <si>
    <t>Fourniture, pose, raccordement et confection d'une boîte de jonction BT EP</t>
  </si>
  <si>
    <t>Fourniture, pose, raccordement et confection d'une boîte de jonction MT</t>
  </si>
  <si>
    <t>Fourniture, pose, raccordement et confection d'une boîte de dérivation BT EP</t>
  </si>
  <si>
    <t>LIGNES AERIENNES D'ECLAIRAGE PUBLIC</t>
  </si>
  <si>
    <t>14.3.5.1</t>
  </si>
  <si>
    <t>14.3.5.2</t>
  </si>
  <si>
    <t>14.3.5.3</t>
  </si>
  <si>
    <t>14.4.3.1</t>
  </si>
  <si>
    <t>14.4.3.2</t>
  </si>
  <si>
    <t>14.4.3.3</t>
  </si>
  <si>
    <t>14.18.1</t>
  </si>
  <si>
    <t>14.18.2</t>
  </si>
  <si>
    <t>14.31.1</t>
  </si>
  <si>
    <t>14.31.2</t>
  </si>
  <si>
    <t>14.31.3</t>
  </si>
  <si>
    <t>14.31.4</t>
  </si>
  <si>
    <t>14.31.5</t>
  </si>
  <si>
    <t>14.31.6</t>
  </si>
  <si>
    <t>14.31.7</t>
  </si>
  <si>
    <t>14.31.8</t>
  </si>
  <si>
    <t>14.31.9</t>
  </si>
  <si>
    <t>FOURNITURE DE POTEAU BOIS</t>
  </si>
  <si>
    <t>ETUDES</t>
  </si>
  <si>
    <t>Forfait d'étude de reprise de branchement pour un branchement de particulier - Enquête riverain ENEDIS/TELECOM</t>
  </si>
  <si>
    <t>Forfait d'étude CAMELIA pour dimensionnement de poteaux d'arrêt</t>
  </si>
  <si>
    <t>GENIE CIVIL BRANCHEMENTS PARTICULIERS EN DOMAINE PRIVE y compris réfections à l'identique</t>
  </si>
  <si>
    <t>Branchement ENEDIS seul y compris fourreaux TPC</t>
  </si>
  <si>
    <t>Branchement mixte ENEDIS / TELECOM y compris fourreaux</t>
  </si>
  <si>
    <t>13.3</t>
  </si>
  <si>
    <t>GENIE CIVIL SUR LE DOMAINE PUBLIC ENEDIS ET TELECOM</t>
  </si>
  <si>
    <t>Pour un réseau</t>
  </si>
  <si>
    <t>Pour deux réseaux</t>
  </si>
  <si>
    <t>Plus value pour terrassement en techniques douces (aspiratrice ou manuelle)</t>
  </si>
  <si>
    <t>13.4</t>
  </si>
  <si>
    <t>ENEDIS</t>
  </si>
  <si>
    <t>Dépose de coffret</t>
  </si>
  <si>
    <t>Dépose de coffret de branchement en limite de propriété</t>
  </si>
  <si>
    <t>Dépose de coffret réseau</t>
  </si>
  <si>
    <t>13.4.2.1</t>
  </si>
  <si>
    <t>13.4.2.2</t>
  </si>
  <si>
    <t>13.4.2.1.1</t>
  </si>
  <si>
    <t>13.4.2.1.2</t>
  </si>
  <si>
    <t>13.4.2.1.3</t>
  </si>
  <si>
    <t>13.4.2.1.4</t>
  </si>
  <si>
    <t>Dépose des éléments aériens</t>
  </si>
  <si>
    <t>Dépose de branchement existant aérien torsadé avec potelet en toiture ou cheminement en façade posé sur collet de moins de 5 m</t>
  </si>
  <si>
    <t>Dépose de branchement existant aérien torsadé avec potelet en toiture ou cheminement en façade posé sur collet de plus de 5 m</t>
  </si>
  <si>
    <t>Dépose de branchement existant aérien cuivre nu avec potelet en toiture ou cheminement en façade posé sur collet de moins de 5 m</t>
  </si>
  <si>
    <t>Dépose de branchement existant aérien cuivre nu avec potelet en toiture ou cheminement en façade posé sur collet de plus de 5 m</t>
  </si>
  <si>
    <t>Dépose de conducteurs aériens torsadés de toutes sections</t>
  </si>
  <si>
    <t>Dépose de conducteurs aériens en cuivre nu</t>
  </si>
  <si>
    <t xml:space="preserve">Moins-value pour récupération de cuivre </t>
  </si>
  <si>
    <t>Dépose de conducteurs aériens en nus ou torsadés en façade y compris potences et équipements</t>
  </si>
  <si>
    <t>Dépose de boite piano en façade</t>
  </si>
  <si>
    <t>Dépose de potence et réfection à l'identique au droit des scellements sur la façade</t>
  </si>
  <si>
    <t>Dépose de remontée aéro-souterraine</t>
  </si>
  <si>
    <t xml:space="preserve">Dépose des équipements de poteaux (CL,ISO,...) </t>
  </si>
  <si>
    <t>13.4.2.2.1</t>
  </si>
  <si>
    <t>13.4.2.2.2</t>
  </si>
  <si>
    <t>13.4.2.2.3</t>
  </si>
  <si>
    <t>13.4.2.2.4</t>
  </si>
  <si>
    <t>13.4.2.2.5</t>
  </si>
  <si>
    <t>13.4.2.2.6</t>
  </si>
  <si>
    <t>Fourniture et pose de coffrets y compris raccordements</t>
  </si>
  <si>
    <t>Fourniture et pose de coffret ou borne type S22</t>
  </si>
  <si>
    <t>Fourniture et pose de coffret ou borne type S20</t>
  </si>
  <si>
    <t>Fourniture et pose d'un coffret C400-P200 équipé</t>
  </si>
  <si>
    <t>Fourniture et pose de coffret pied de colonne 200 A</t>
  </si>
  <si>
    <t>Fourniture et pose de coffret pour grille fausse coupure équipé</t>
  </si>
  <si>
    <t>13.4.4</t>
  </si>
  <si>
    <t>Fourniture et mise en œuvre de câble aérien PRC Alu sur poteau</t>
  </si>
  <si>
    <t>TELEREPORT</t>
  </si>
  <si>
    <t>Pose de câble sous terre (avec ou sans fourreau) et câble téléreport</t>
  </si>
  <si>
    <t>13.4.5</t>
  </si>
  <si>
    <t>13.4.6</t>
  </si>
  <si>
    <t>13.4.7</t>
  </si>
  <si>
    <t>CONFECTION D'ACCESSOIRES BT</t>
  </si>
  <si>
    <t>13.5</t>
  </si>
  <si>
    <t>Jonction alu-alu/cu yc MALT</t>
  </si>
  <si>
    <t>Boite de jonction par injection type JNI 95-95</t>
  </si>
  <si>
    <t>Boite de jonction par injection type JNI 240-95</t>
  </si>
  <si>
    <t>Boite de jonction par injection type JNI 240-150</t>
  </si>
  <si>
    <t>Boite de jonction par injection type JNI 240-240</t>
  </si>
  <si>
    <t>Boite de jonction coulée type JNC 240-95</t>
  </si>
  <si>
    <t>Boite de jonction coulée type JNC 240-150</t>
  </si>
  <si>
    <t>Boite de jonction coulée type JNC 240-240</t>
  </si>
  <si>
    <t>Boite de jonction thermorétractable type JRRB</t>
  </si>
  <si>
    <t>Jonction alu/cu-papier yc MALT</t>
  </si>
  <si>
    <t>Boite de jonction par injection type JNI-CPI 240-95</t>
  </si>
  <si>
    <t>Boite de jonction par injection type JNI-CPI 240-150</t>
  </si>
  <si>
    <t>Boite de jonction par injection type JNI-CPI 240-240</t>
  </si>
  <si>
    <t>Boite de branchement simple par injection type SDI 240-35 TRI ou MONO</t>
  </si>
  <si>
    <t>Boite de branchement double coulée type DDC 240-35</t>
  </si>
  <si>
    <t>Boite de jonction thermorétractable type JR2V</t>
  </si>
  <si>
    <t xml:space="preserve">Fourniture et pose d'un poteau d'arrêt en béton armé </t>
  </si>
  <si>
    <t>Réalisation d'un arrêt de ligne aérienne existante</t>
  </si>
  <si>
    <t>Réalisation d'une opération de pontage et dépontage de réseaux aériens pour reprise et basculement des branchements</t>
  </si>
  <si>
    <t>Rabattement de RAS d'un câble réseau ou confection d'un bout perdu dans coffret ou boîte souterraine BT</t>
  </si>
  <si>
    <t>Fourniture, pose et raccordement d'une boîte piano sur mur et reprise de branchement</t>
  </si>
  <si>
    <t>Déposes de poteaux béton TELECOM y compris démolition du massif</t>
  </si>
  <si>
    <t>Dépose de réseau aérien et souterrain sur domaine public</t>
  </si>
  <si>
    <t>Dépose de branchement aérien</t>
  </si>
  <si>
    <t>Fourniture et pose d'un poteau bois TELECOM</t>
  </si>
  <si>
    <t>Fourniture et pose d'un poteau béton TELECOM</t>
  </si>
  <si>
    <t xml:space="preserve">Câble 2 paires à graisse </t>
  </si>
  <si>
    <t>Plus value pour mise en œuvre de câble sur façade ou intérieur</t>
  </si>
  <si>
    <t>Fourniture et mise en œuvre des accessoires pour reprise du câble réseau téléphone</t>
  </si>
  <si>
    <t>Fourniture et pose de Boite de Raccordement étanche en chambre</t>
  </si>
  <si>
    <t>Fourniture et mise en œuvre des accessoires pour reprise du branchement téléphone</t>
  </si>
  <si>
    <t>Fourniture et mise en œuvre des accessoires pour reprise du branchement téléphonique en aérien sur un nouveau support</t>
  </si>
  <si>
    <t>13.6</t>
  </si>
  <si>
    <t>13.6.1.1</t>
  </si>
  <si>
    <t>13.6.1.2</t>
  </si>
  <si>
    <t>13.6.2.1</t>
  </si>
  <si>
    <t>13.6.2.2</t>
  </si>
  <si>
    <t>13.6.3.1</t>
  </si>
  <si>
    <t>13.6.3.2</t>
  </si>
  <si>
    <t>13.6.3.3</t>
  </si>
  <si>
    <t>13.6.3.4</t>
  </si>
  <si>
    <t>13.6.3.5</t>
  </si>
  <si>
    <t>13.6.3.6</t>
  </si>
  <si>
    <t>13.6.4.1</t>
  </si>
  <si>
    <t>13.6.4.2</t>
  </si>
  <si>
    <t>13.4.8</t>
  </si>
  <si>
    <t>13.4.8.1</t>
  </si>
  <si>
    <t>13.4.8.2</t>
  </si>
  <si>
    <t>13.4.9</t>
  </si>
  <si>
    <t>13.4.9.1</t>
  </si>
  <si>
    <t>13.4.9.2</t>
  </si>
  <si>
    <t>13.4.10</t>
  </si>
  <si>
    <t>13.4.10.1</t>
  </si>
  <si>
    <t>13.4.10.2</t>
  </si>
  <si>
    <t>13.4.11</t>
  </si>
  <si>
    <t>13.4.12.1</t>
  </si>
  <si>
    <t>13.4.12.2</t>
  </si>
  <si>
    <t>13.4.12.3</t>
  </si>
  <si>
    <t>13.4.12.4</t>
  </si>
  <si>
    <t>13.4.12.5</t>
  </si>
  <si>
    <t>13.4.12.6</t>
  </si>
  <si>
    <t>13.4.12</t>
  </si>
  <si>
    <t>13.4.14</t>
  </si>
  <si>
    <t>13.4.15</t>
  </si>
  <si>
    <t>13.4.16</t>
  </si>
  <si>
    <t>13.4.17</t>
  </si>
  <si>
    <t>13.4.18</t>
  </si>
  <si>
    <t>13.4.19</t>
  </si>
  <si>
    <t>hauteur &lt;12m</t>
  </si>
  <si>
    <t>hauteur ≥12m</t>
  </si>
  <si>
    <t>6 plages</t>
  </si>
  <si>
    <t>9 plages</t>
  </si>
  <si>
    <t>12 plages</t>
  </si>
  <si>
    <t xml:space="preserve">Plus-value pour fourniture d'un RCP400 </t>
  </si>
  <si>
    <t>Plus-value par départ de branchement 4x35 fusiblé</t>
  </si>
  <si>
    <t>PRC 25 mm2</t>
  </si>
  <si>
    <t>PRC 35 mm2</t>
  </si>
  <si>
    <t>PRC 70 mm2</t>
  </si>
  <si>
    <t>PRC 95 mm2</t>
  </si>
  <si>
    <t>Fourniture et pose de coffret REMBT équipé</t>
  </si>
  <si>
    <t>Fourniture et pose de coffret ECP 3D équipé</t>
  </si>
  <si>
    <t>Plus value aux prix 13.2.1 à 13.2.3 pour longueur de terrassement supérieure à 15 ml</t>
  </si>
  <si>
    <t>Plus value au prix 3.8.4 pour repose de pavage en caniveau</t>
  </si>
  <si>
    <t>X</t>
  </si>
  <si>
    <t>Plus-value aux prix 13.4.2.1 pour dépose d'un coffret encastré</t>
  </si>
  <si>
    <t>Mise en chantier de raccordement de branchement électrique individuel</t>
  </si>
  <si>
    <t xml:space="preserve">Taille de haie </t>
  </si>
  <si>
    <t>14.10.8.1</t>
  </si>
  <si>
    <t>14.10.8.2</t>
  </si>
  <si>
    <t>14.10.8.3</t>
  </si>
  <si>
    <t>14.10.8.4</t>
  </si>
  <si>
    <t>14.10.8.5</t>
  </si>
  <si>
    <t>14.10.8.6</t>
  </si>
  <si>
    <t>14.10.8.7</t>
  </si>
  <si>
    <t>14.10.8.8</t>
  </si>
  <si>
    <t>14.10.8.9</t>
  </si>
  <si>
    <t>14.10.8.10</t>
  </si>
  <si>
    <t>14.10.8.11</t>
  </si>
  <si>
    <t>14.10.8.12</t>
  </si>
  <si>
    <t>14.10.8.13</t>
  </si>
  <si>
    <t>14.10.8.14</t>
  </si>
  <si>
    <t>14.10.8.15</t>
  </si>
  <si>
    <t>14.10.8.16</t>
  </si>
  <si>
    <t>14.10.8.17</t>
  </si>
  <si>
    <t>14.10.8.18</t>
  </si>
  <si>
    <t>14.10.8.19</t>
  </si>
  <si>
    <t>14.10.8.20</t>
  </si>
  <si>
    <t>Démolition de massif béton pour poteau 3,65 m</t>
  </si>
  <si>
    <t>7.3.2.5</t>
  </si>
  <si>
    <t>7.3.2.6</t>
  </si>
  <si>
    <t>Fourniture de crosse type cassée 0,5m et d'un angle de 5°</t>
  </si>
  <si>
    <t>Fourniture de crosse type cassée 1 m et d'un angle de 5°</t>
  </si>
  <si>
    <t>Fourniture de crosse type cassée 1,5m et d'un angle de 5°</t>
  </si>
  <si>
    <t>Fourniture de crosse type cassée 2m et d'un angle de 5°</t>
  </si>
  <si>
    <t>9.6.6.1</t>
  </si>
  <si>
    <t>9.6.6.2</t>
  </si>
  <si>
    <t>9.6.6.3</t>
  </si>
  <si>
    <t>9.6.6.4</t>
  </si>
  <si>
    <t>9.6.6.5</t>
  </si>
  <si>
    <t>9.6.6.6</t>
  </si>
  <si>
    <t>9.6.6.7</t>
  </si>
  <si>
    <t>Fourniture de lanterne de style type SCALA y compris appareillage</t>
  </si>
  <si>
    <t>Lanterne MINI 16 LED</t>
  </si>
  <si>
    <t>Lanterne MINI 32 LED</t>
  </si>
  <si>
    <t>Lanterne MINI 48 LED</t>
  </si>
  <si>
    <t>Lanterne MIDI 16 LED</t>
  </si>
  <si>
    <t>Lanterne MIDI 32 LED</t>
  </si>
  <si>
    <t>Lanterne MIDI 48 LED</t>
  </si>
  <si>
    <t>Lanterne MAXI 64 LED</t>
  </si>
  <si>
    <t>9.6.7.1</t>
  </si>
  <si>
    <t>9.6.7.2</t>
  </si>
  <si>
    <t>9.6.8.1</t>
  </si>
  <si>
    <t>9.6.8.2</t>
  </si>
  <si>
    <t>9.6.8.3</t>
  </si>
  <si>
    <t>9.6.9.1</t>
  </si>
  <si>
    <t>9.6.9.2</t>
  </si>
  <si>
    <t>9.6.9.3</t>
  </si>
  <si>
    <t>9.6.10.1</t>
  </si>
  <si>
    <t>9.6.10.2</t>
  </si>
  <si>
    <t>9.6.11.1</t>
  </si>
  <si>
    <t>9.6.11.2</t>
  </si>
  <si>
    <t>9.6.11.3</t>
  </si>
  <si>
    <t>9.6.11.4</t>
  </si>
  <si>
    <t>9.6.12.1</t>
  </si>
  <si>
    <t>9.6.12.2</t>
  </si>
  <si>
    <t>9.6.12.3</t>
  </si>
  <si>
    <t>9.6.12.4</t>
  </si>
  <si>
    <t>Plans et/ou synoptiques plastifié</t>
  </si>
  <si>
    <t>DEPOSE DE TRANSFORMATEUR ENTERRE</t>
  </si>
  <si>
    <t xml:space="preserve">Fourniture de potence acier galvanisé thermolaqué hauteur 7m à 7,50 m </t>
  </si>
  <si>
    <t>FOURNITURE ET POSE DE GOULOTTE EN ACIER type OMEGA</t>
  </si>
  <si>
    <t>11.18.1</t>
  </si>
  <si>
    <t>Diamètre 17,2</t>
  </si>
  <si>
    <t>11.18.2</t>
  </si>
  <si>
    <t>11.18.3</t>
  </si>
  <si>
    <t>11.18.4</t>
  </si>
  <si>
    <t>11.18.5</t>
  </si>
  <si>
    <t>11.18.6</t>
  </si>
  <si>
    <t>11.18.7</t>
  </si>
  <si>
    <t>11.18.8</t>
  </si>
  <si>
    <t>11.18.9</t>
  </si>
  <si>
    <t>11.18.10</t>
  </si>
  <si>
    <t>11.18.11</t>
  </si>
  <si>
    <t>Diamètre 20</t>
  </si>
  <si>
    <t>Diamètre 21,3</t>
  </si>
  <si>
    <t>Diamètre 25</t>
  </si>
  <si>
    <t>Diamètre 26,9</t>
  </si>
  <si>
    <t>Diamètre 30</t>
  </si>
  <si>
    <t>Diamètre 33,7</t>
  </si>
  <si>
    <t>Diamètre 35</t>
  </si>
  <si>
    <t>Diamètre 42,4</t>
  </si>
  <si>
    <t>Diamètre 45</t>
  </si>
  <si>
    <t>12.1.1.1</t>
  </si>
  <si>
    <t>12.1.1.2</t>
  </si>
  <si>
    <t>12.1.1.3</t>
  </si>
  <si>
    <t>12.1.2.1</t>
  </si>
  <si>
    <t>12.1.2.2</t>
  </si>
  <si>
    <t>12.1.2.3</t>
  </si>
  <si>
    <t>Fourniture et pose en tranchée de câble HN33 S33</t>
  </si>
  <si>
    <t xml:space="preserve">Transformateur de 16 KVA - 3200 V / 220 V EcoDesign </t>
  </si>
  <si>
    <t xml:space="preserve">Transformateur de 12 KVA - 3200 V / 220 V EcoDesign </t>
  </si>
  <si>
    <t xml:space="preserve">Transformateur de 10 KVA - 3200 V / 220 V EcoDesign </t>
  </si>
  <si>
    <t xml:space="preserve">Transformateur de 8 KVA - 3200 V / 220 V EcoDesign </t>
  </si>
  <si>
    <t xml:space="preserve">Transformateur de 6 KVA - 3200 V / 220 V EcoDesign </t>
  </si>
  <si>
    <t xml:space="preserve">Transformateur de 5 KVA - 3200 V / 220 V EcoDesign </t>
  </si>
  <si>
    <t xml:space="preserve">Transformateur de 3 KVA - 3200 V / 220 V EcoDesign </t>
  </si>
  <si>
    <t>13.1.1.1</t>
  </si>
  <si>
    <t>13.1.1.2</t>
  </si>
  <si>
    <t>13.1.1.3</t>
  </si>
  <si>
    <t>13.1.2.1</t>
  </si>
  <si>
    <t>13.1.2.2</t>
  </si>
  <si>
    <t>13.1.2.3</t>
  </si>
  <si>
    <t>Pour trois réseaux (largeur de tranchée 0,60m)</t>
  </si>
  <si>
    <t>Pour quatre réseaux (largeur de tranchée 0,70m)</t>
  </si>
  <si>
    <t>Pour cinq réseaux (largeur de tranchée 0,80m)</t>
  </si>
  <si>
    <t>Déposes de coffrets ou de réseaux aériens</t>
  </si>
  <si>
    <t>Fourniture et pose de coffret CIBE yc kit de raccordement et fusibles et couteau type AD</t>
  </si>
  <si>
    <t>Fourniture et pose de coffret CIBE grand volume équipé</t>
  </si>
  <si>
    <t>Fourniture et pose de coffret CIBE double pour branchement type 2 yc platine compteur/disjoncteur, kits de raccordement, fusible et couteau type AD</t>
  </si>
  <si>
    <t>type JDS 240-150</t>
  </si>
  <si>
    <t>type JDDI 150-35 (double dérivation)</t>
  </si>
  <si>
    <t>Reprise de branchement en aérien sur un nouveau support</t>
  </si>
  <si>
    <t xml:space="preserve">Câble 8 paires  à graisse </t>
  </si>
  <si>
    <t xml:space="preserve">Câble 14 paires à graisse </t>
  </si>
  <si>
    <t xml:space="preserve">Câble 28 paires à graisse </t>
  </si>
  <si>
    <t>13.5.5</t>
  </si>
  <si>
    <t>13.5.6</t>
  </si>
  <si>
    <t>13.6.2.1.1</t>
  </si>
  <si>
    <t>13.6.2.1.2</t>
  </si>
  <si>
    <t>13.6.2.1.3</t>
  </si>
  <si>
    <t>13.6.2.1.4</t>
  </si>
  <si>
    <t>13.6.2.1.5</t>
  </si>
  <si>
    <t>13.6.2.1.6</t>
  </si>
  <si>
    <t>13.6.2.1.7</t>
  </si>
  <si>
    <t>13.6.2.1.8</t>
  </si>
  <si>
    <t>13.6.2.2.1</t>
  </si>
  <si>
    <t>13.6.2.2.2</t>
  </si>
  <si>
    <t>13.6.2.2.3</t>
  </si>
  <si>
    <t>13.6.2.3</t>
  </si>
  <si>
    <t>13.6.2.3.1</t>
  </si>
  <si>
    <t>13.6.2.3.2</t>
  </si>
  <si>
    <t>13.6.3.1.1</t>
  </si>
  <si>
    <t>13.6.3.1.2</t>
  </si>
  <si>
    <t>13.6.4.3</t>
  </si>
  <si>
    <t>13.6.4.4</t>
  </si>
  <si>
    <t>13.6.4.5</t>
  </si>
  <si>
    <t>13.6.2.1.9</t>
  </si>
  <si>
    <t>13.7</t>
  </si>
  <si>
    <t>13.7.1.1</t>
  </si>
  <si>
    <t>13.7.1.2</t>
  </si>
  <si>
    <t>13.7.1.3</t>
  </si>
  <si>
    <t>13.7.1.4</t>
  </si>
  <si>
    <t>13.7.2.1</t>
  </si>
  <si>
    <t>13.7.2.2</t>
  </si>
  <si>
    <t>13.7.3.1</t>
  </si>
  <si>
    <t>13.7.3.2</t>
  </si>
  <si>
    <t>13.7.3.3</t>
  </si>
  <si>
    <t>13.7.3.4</t>
  </si>
  <si>
    <t>13.7.3.5</t>
  </si>
  <si>
    <t>13.7.3.6</t>
  </si>
  <si>
    <t>13.7.3.7</t>
  </si>
  <si>
    <t>13.7.3.8</t>
  </si>
  <si>
    <t>13.7.3.9</t>
  </si>
  <si>
    <t>13.7.3.10</t>
  </si>
  <si>
    <t>13.7.3.11</t>
  </si>
  <si>
    <t>13.7.3.12</t>
  </si>
  <si>
    <t>13.7.3.13</t>
  </si>
  <si>
    <t>13.7.4.1</t>
  </si>
  <si>
    <t>13.7.4.2</t>
  </si>
  <si>
    <t>13.7.5.1</t>
  </si>
  <si>
    <t>13.7.5.2</t>
  </si>
  <si>
    <t>13.7.5.3</t>
  </si>
  <si>
    <t>13.7.5.4</t>
  </si>
  <si>
    <t>13.7.5.5</t>
  </si>
  <si>
    <t>13.7.5.6</t>
  </si>
  <si>
    <t>13.7.5.7</t>
  </si>
  <si>
    <t>13.7.5.8</t>
  </si>
  <si>
    <t>13.7.5.9</t>
  </si>
  <si>
    <t>13.7.5.10</t>
  </si>
  <si>
    <t>13.7.5.11</t>
  </si>
  <si>
    <t>13.7.5.12</t>
  </si>
  <si>
    <t>13.7.5.13</t>
  </si>
  <si>
    <t>13.7.6.1</t>
  </si>
  <si>
    <t>13.7.6.2</t>
  </si>
  <si>
    <t>13.7.6.3</t>
  </si>
  <si>
    <t>13.7.6.4</t>
  </si>
  <si>
    <t xml:space="preserve">Fourniture et pose de poteaux </t>
  </si>
  <si>
    <t>13.7.8.1</t>
  </si>
  <si>
    <t>13.7.8.2</t>
  </si>
  <si>
    <t>13.7.8.3</t>
  </si>
  <si>
    <t>13.7.12.1</t>
  </si>
  <si>
    <t>13.7.12.2</t>
  </si>
  <si>
    <t>13.7.12.3</t>
  </si>
  <si>
    <t>13.7.11.1</t>
  </si>
  <si>
    <t>13.7.11.2</t>
  </si>
  <si>
    <t>13.7.11.3</t>
  </si>
  <si>
    <t>FOURNITURE POSE ET RACCORDEMENT DE COFFRET CLASSE II POUR LA SIGNALISATION LUMINEUSE ET TRICOLORE</t>
  </si>
  <si>
    <t>14.26.1</t>
  </si>
  <si>
    <t>14.26.2</t>
  </si>
  <si>
    <t>14.26.3</t>
  </si>
  <si>
    <t>14.26.4</t>
  </si>
  <si>
    <t>14.29.1</t>
  </si>
  <si>
    <t>14.29.1.1</t>
  </si>
  <si>
    <t>14.29.1.2</t>
  </si>
  <si>
    <t>14.29.1.3</t>
  </si>
  <si>
    <t>14.29.2</t>
  </si>
  <si>
    <t>14.29.3</t>
  </si>
  <si>
    <t>14.29.4</t>
  </si>
  <si>
    <t>14.29.5</t>
  </si>
  <si>
    <t>14.29.6</t>
  </si>
  <si>
    <t>14.29.7</t>
  </si>
  <si>
    <t>14.29.7.1</t>
  </si>
  <si>
    <t>14.29.7.2</t>
  </si>
  <si>
    <t>14.29.8</t>
  </si>
  <si>
    <t>14.29.8.1</t>
  </si>
  <si>
    <t>14.29.8.2</t>
  </si>
  <si>
    <t>14.29.9</t>
  </si>
  <si>
    <t>3 x 16 mm²</t>
  </si>
  <si>
    <t>3 x 25 mm²</t>
  </si>
  <si>
    <t>3 x 35 mm² + 35 mm² aluminium</t>
  </si>
  <si>
    <t>3 x 95 mm² + 50 mm² aluminium</t>
  </si>
  <si>
    <t>3 x 150 mm² + 70 mm²</t>
  </si>
  <si>
    <t>3 x 240 mm² + 95 mm²</t>
  </si>
  <si>
    <t>Fourniture et pose de câble anti-inductif (2 x 2,5 mm²)</t>
  </si>
  <si>
    <t>Fourniture et pose de cuivre nu 25 mm²</t>
  </si>
  <si>
    <t>Convecteur</t>
  </si>
  <si>
    <t>Confection d'une prise de terre</t>
  </si>
  <si>
    <t>Fourniture de câble en aluminium autoporté isolé 2 x 16 mm²</t>
  </si>
  <si>
    <t>Fourniture de câble en aluminium autoporté isolé 4 x 16 mm²</t>
  </si>
  <si>
    <t>Fourniture de câble en aluminium autoporté isolé 4 x 25 mm²</t>
  </si>
  <si>
    <t xml:space="preserve">Fourniture et remplacement d'un bloc CPU </t>
  </si>
  <si>
    <t>FOURNITURE D'UN FEU PIETON SONORE A LED SONORE</t>
  </si>
  <si>
    <t>Plus value appliquée aux prix n°13.4.12.1 à 13.4.12.7 puis 13.4.16 à 13.4.18 pour confection d'une niche d'encastrement y compris saignée et scellement du coffret</t>
  </si>
  <si>
    <t xml:space="preserve">Hauteur 7m </t>
  </si>
  <si>
    <t>8.1.2.8</t>
  </si>
  <si>
    <t>Hauteur 7m</t>
  </si>
  <si>
    <t>8.1.3.4</t>
  </si>
  <si>
    <t>Dépose de candélabre de 7 m y compris protection</t>
  </si>
  <si>
    <t>8.12.15</t>
  </si>
  <si>
    <t>Pose de candélabre ou embase de 7,00m et raccordement</t>
  </si>
  <si>
    <t>8.11.13</t>
  </si>
  <si>
    <t>8.12.16</t>
  </si>
  <si>
    <t>1.10.7</t>
  </si>
  <si>
    <t>1.10.8</t>
  </si>
  <si>
    <t>1.10.9</t>
  </si>
  <si>
    <t>1.10.10</t>
  </si>
  <si>
    <t>1.10.11</t>
  </si>
  <si>
    <t>Pour mât 7 m et raccordement</t>
  </si>
  <si>
    <t>9.8.5</t>
  </si>
  <si>
    <t>Pose de mât ou embase jusqu'à 6,00 m et raccordement</t>
  </si>
  <si>
    <t>Pose de mât ou embase jusqu'à 7,00 m et raccordement</t>
  </si>
  <si>
    <t>Pose de mât ou embase jusqu'à 8,00 m et raccordement</t>
  </si>
  <si>
    <t>8.11.14</t>
  </si>
  <si>
    <t>8.11.15</t>
  </si>
  <si>
    <t>Dépose de mât de 7 m y compris protection</t>
  </si>
  <si>
    <t>Chambre PTT K1C</t>
  </si>
  <si>
    <t>Chambre PTT K3C</t>
  </si>
  <si>
    <t>Cadre et tampon fonte classe D400 pour chambre L1C</t>
  </si>
  <si>
    <t>Cadre et tampon fonte classe D400 pour chambre L2C</t>
  </si>
  <si>
    <t>Cadre et tampon fonte classe D400 pour chambre L3C</t>
  </si>
  <si>
    <t>14.14.6</t>
  </si>
  <si>
    <t>14.14.7</t>
  </si>
  <si>
    <t>14.14.8</t>
  </si>
  <si>
    <t>14.14.9</t>
  </si>
  <si>
    <t>14.14.10</t>
  </si>
  <si>
    <t>14.14.11</t>
  </si>
  <si>
    <t>14.14.12</t>
  </si>
  <si>
    <t>14.14.13</t>
  </si>
  <si>
    <t>14.14.14</t>
  </si>
  <si>
    <t>14.14.15</t>
  </si>
  <si>
    <t>14.14.16</t>
  </si>
  <si>
    <t>14.14.17</t>
  </si>
  <si>
    <t>14.14.18</t>
  </si>
  <si>
    <t>14.14.19</t>
  </si>
  <si>
    <t>14.14.20</t>
  </si>
  <si>
    <t>14.14.21</t>
  </si>
  <si>
    <t>14.14.22</t>
  </si>
  <si>
    <t>14.14.23</t>
  </si>
  <si>
    <t>Fourreau LST Ø 42/45 mm</t>
  </si>
  <si>
    <t>Percement de mur de séparation, soutènement ou mur porteur supérieur à 300mm</t>
  </si>
  <si>
    <t xml:space="preserve">Dépose et évacuation de poteaux d'alignement en béton y compris démolition du massif </t>
  </si>
  <si>
    <t xml:space="preserve">Dépose et évacuation de poteaux d'arrêts y compris démolition du massif </t>
  </si>
  <si>
    <t>TELECOMMUNICATIONS</t>
  </si>
  <si>
    <t>Dépose</t>
  </si>
  <si>
    <t>Dépose de poteaux bois TELECOM, stockage, chargement, transport et mise en dépôt dans les locaux d'ORANGE</t>
  </si>
  <si>
    <t>Fourniture et pose de coffret Orange</t>
  </si>
  <si>
    <t>Cadre et tampon classe C250 pour chambre L0T</t>
  </si>
  <si>
    <t>Fourniture et pose de coffret Orange DGB12 pour socle de longueur &lt; = 0,90 m</t>
  </si>
  <si>
    <t>Fourniture et pose de coffret Orange DGB13 pour socle de longueur &lt; ou = 0,60 m</t>
  </si>
  <si>
    <t>13.7.6.5</t>
  </si>
  <si>
    <t>13.7.6.6</t>
  </si>
  <si>
    <t>13.7.6.7</t>
  </si>
  <si>
    <t>13.7.6.8</t>
  </si>
  <si>
    <t>Pour un chantier concernant jusqu'à 10 abonnés</t>
  </si>
  <si>
    <t>13.7.8.4</t>
  </si>
  <si>
    <t>13.7.8.5</t>
  </si>
  <si>
    <t>13.7.10.1</t>
  </si>
  <si>
    <t>13.7.10.2</t>
  </si>
  <si>
    <t>13.7.10.3</t>
  </si>
  <si>
    <t>13.7.10.4</t>
  </si>
  <si>
    <t>13.7.10.5</t>
  </si>
  <si>
    <t>13.7.10.6</t>
  </si>
  <si>
    <t>13.7.10.7</t>
  </si>
  <si>
    <t>13.7.10.8</t>
  </si>
  <si>
    <t>Fourniture , pose déroulage réseau de telecommunications sous fourreaux en domaine privé</t>
  </si>
  <si>
    <t>13.7.11.4</t>
  </si>
  <si>
    <t>13.7.11.5</t>
  </si>
  <si>
    <t>13.7.12.4</t>
  </si>
  <si>
    <t>13.7.12.5</t>
  </si>
  <si>
    <t>Fourniture de lanterne LED type ALBANY midi y compris appareillage</t>
  </si>
  <si>
    <t>Lanterne 32 leds type XPG</t>
  </si>
  <si>
    <t>Lanterne 48 leds type XPG</t>
  </si>
  <si>
    <t>Lanterne 16 leds type XPG</t>
  </si>
  <si>
    <t>Lanterne 24 leds type XPG</t>
  </si>
  <si>
    <t>Fourniture, pose déroulage de cable réseau de telecommunications sous fourreaux en domaine public</t>
  </si>
  <si>
    <t xml:space="preserve">Câble 8 paires à graisse </t>
  </si>
  <si>
    <t>Branchement TELECOM seul y compris regard 30x30 tampon béton/fonte et fourreaux PVC 25/28</t>
  </si>
  <si>
    <t>Fourniture et confection de boite de jonction BT y compris raccordements</t>
  </si>
  <si>
    <t>Boite de branchement bt yc malt</t>
  </si>
  <si>
    <t>Réseau aérien</t>
  </si>
  <si>
    <t>Divers</t>
  </si>
  <si>
    <t>FOURNITURE DE LANTERNE</t>
  </si>
  <si>
    <t>FOURNITURE ET POSE DE CABLE EN TRANCHEE</t>
  </si>
  <si>
    <t>Forfait d'étude réseaux ENEDIS - ARTICLE R323-25</t>
  </si>
  <si>
    <t>Câble monomode 24 FO</t>
  </si>
  <si>
    <t>Câble monomode 48 FO</t>
  </si>
  <si>
    <t>Câble monomode 72 FO</t>
  </si>
  <si>
    <t>Câble monomode 148 FO</t>
  </si>
  <si>
    <t>Câble monomode 2 FO</t>
  </si>
  <si>
    <t>Câble monomode 4 FO</t>
  </si>
  <si>
    <t>Câble monomode 6 FO</t>
  </si>
  <si>
    <t>Câble monomode 12 FO</t>
  </si>
  <si>
    <t>13.4.20</t>
  </si>
  <si>
    <t>13.4.20.1</t>
  </si>
  <si>
    <t>13.4.20.2</t>
  </si>
  <si>
    <t>13.4.20.3</t>
  </si>
  <si>
    <t>13.4.20.4</t>
  </si>
  <si>
    <t>Dépose et évacuation de poteaux d'alignement en bois y compris démolition du massif / colerette béton</t>
  </si>
  <si>
    <t>13.4.13.1</t>
  </si>
  <si>
    <t>13.4.13.2</t>
  </si>
  <si>
    <t>13.4.13.3</t>
  </si>
  <si>
    <t>13.4.13</t>
  </si>
  <si>
    <t>Fourniture et confection de boite de derivation coulée</t>
  </si>
  <si>
    <t>Pour un chantier concernant de 11 à 30 abonnés</t>
  </si>
  <si>
    <t>Pour un chantier concernant de 31 à 50 abonnés</t>
  </si>
  <si>
    <t>Pour un chantier concernant de 51 à 70 abonnés</t>
  </si>
  <si>
    <t>Pour un chantier concernant de 71 abonnés et plus</t>
  </si>
  <si>
    <t>Pour un chantier concernant de 51 à 100 riverains</t>
  </si>
  <si>
    <t>Pour un chantier concernant 101 riverains et plus</t>
  </si>
  <si>
    <t>Dépose et évacuation de fourreau de diamètre ≤ 100 mm</t>
  </si>
  <si>
    <t>Armoire de commande type Tridis triphasée, 2 arrivées, 2 départs équipée de contacteurs 4 x 63 A, bornier 502, disjoncteur 4 x 40 A 300 mA et 4 x 20 A 300 mA, horloge astronomique, panneau bois, éclairage, PC, armoire métallique RAL au choix du MOA, serrure DENY</t>
  </si>
  <si>
    <t xml:space="preserve">Montant du chantier au-delà de 1 500 001 € HT </t>
  </si>
  <si>
    <t>1.1.12</t>
  </si>
  <si>
    <t>1.12.12</t>
  </si>
  <si>
    <t>1.11.12</t>
  </si>
  <si>
    <t>1.10.12</t>
  </si>
  <si>
    <t>1.3.12</t>
  </si>
  <si>
    <t>Néon en plafond</t>
  </si>
  <si>
    <t>3.8.9.1</t>
  </si>
  <si>
    <t>3.8.9.2</t>
  </si>
  <si>
    <t>3.8.9.3</t>
  </si>
  <si>
    <t>3.8.13.1</t>
  </si>
  <si>
    <t>3.8.13.2</t>
  </si>
  <si>
    <t>3.8.14.3</t>
  </si>
  <si>
    <t>3.8.14.4</t>
  </si>
  <si>
    <t>3.8.14.5</t>
  </si>
  <si>
    <t>3.8.14.6</t>
  </si>
  <si>
    <t>3.8.14.7</t>
  </si>
  <si>
    <t>3.8.14.8</t>
  </si>
  <si>
    <t>3.8.14.9</t>
  </si>
  <si>
    <t>3.8.14.10</t>
  </si>
  <si>
    <t>3.8.14.11</t>
  </si>
  <si>
    <t>3.8.14.12</t>
  </si>
  <si>
    <t>3.8.14.13</t>
  </si>
  <si>
    <t>3.8.14.14</t>
  </si>
  <si>
    <t>3.8.14.15</t>
  </si>
  <si>
    <t>3.8.18.1</t>
  </si>
  <si>
    <t>3.8.18.2</t>
  </si>
  <si>
    <t>3.8.18.3</t>
  </si>
  <si>
    <t>Réfection localisée en façade suite dépose de console</t>
  </si>
  <si>
    <t>240 mm²</t>
  </si>
  <si>
    <t>Hauteur 5m</t>
  </si>
  <si>
    <t>Fourniture de mât en acier galva cylindro-conique de type Auriga avec crosse type Lyre V3 en top 0,70 m, hauteur 3,5 m</t>
  </si>
  <si>
    <t>mât cylindrique étagé bisection</t>
  </si>
  <si>
    <t>Fourniture de mât cylindro-conique en acier galvanisé hauteur 4m type AM-C des Ets We-ef ou similaire</t>
  </si>
  <si>
    <t>Fourniture de mât cylindro-conique en acier galvanisé hauteur 6m type AM-C des Ets We-ef ou similaire</t>
  </si>
  <si>
    <t>Fourniture de mât cylindro-conique en acier galvanisé hauteur 6m type Antarès des Ets Valmont ou similaire</t>
  </si>
  <si>
    <t>Fourniture de candélabre de type Rivoli 6,11m avec crosse type spirale 1100</t>
  </si>
  <si>
    <t>Fourniture de candélabre de type Rivoli 6,11m avec crosse type spirale 1100 et contre-crosse spirale 450 à 4,00m</t>
  </si>
  <si>
    <t>Fourniture de candélabre de type Rivoli 5,11m avec crosse Saumur des Ets GHM-ECLATEC</t>
  </si>
  <si>
    <t>Fourniture de candélabre Ariane composé d'un mât 5m00 diamétre 76mm (en top) en acier galvanisé et une crosse ARIANE fermée saillie 1000mm avec boule déco</t>
  </si>
  <si>
    <t>Fourniture d'un ensemble  Ariane composé d'un mât 8m00 diamétre 76mm (en top) en acier galvanisé et une crosse ARIANE fermée saillie 1000mm avec boule déco</t>
  </si>
  <si>
    <t>2.2.3.15,2</t>
  </si>
  <si>
    <t>2.2.9</t>
  </si>
  <si>
    <t>Fourniture et pose de borne de stationnement arrêt minute</t>
  </si>
  <si>
    <t>2.2.9.1</t>
  </si>
  <si>
    <t>Borne d'arrêt minute simple du fabriquant STATOS réference S44 ou équivalent, sans picto -  alimentation sur secteur - RAL au choix</t>
  </si>
  <si>
    <t>2.2.9.2</t>
  </si>
  <si>
    <t>Borne arrêt minute doubledu fabriquant  STATOS référence S45 ou équivalent sans picto -  alimentation sur secteur - RAL au choix</t>
  </si>
  <si>
    <t>2.2.9.3</t>
  </si>
  <si>
    <t>Option batterie pour bornes STATOS S44-S45 - raccordement sur réseau éclairage public</t>
  </si>
  <si>
    <t>2.2.9.4</t>
  </si>
  <si>
    <t>Kit option télégestion modem 3G / 4G ( borne maître)</t>
  </si>
  <si>
    <t>2.2.9.5</t>
  </si>
  <si>
    <t>Option PICTOS STATOS 45</t>
  </si>
  <si>
    <t>2.2.9.6</t>
  </si>
  <si>
    <t>Arceau de protection borne arrêt minute</t>
  </si>
  <si>
    <t>2.2.9.7</t>
  </si>
  <si>
    <t>Forfait mise en service paramétrage raccordement d'un site jusqu'à 3 bornes et formation</t>
  </si>
  <si>
    <t>3.10</t>
  </si>
  <si>
    <t>DEPOSE DE RESEAU D'ELECTRICITE HT/BT, D'ECLAIRAGE PUBLIC OU DE SIGNALISATION LUMINEUSE TRICOLORE HORS SERVICE</t>
  </si>
  <si>
    <t>3 x 240 mm² + 115 mm²</t>
  </si>
  <si>
    <t>Démolition de massif béton pour potelet 2,35 m</t>
  </si>
  <si>
    <t>7.2.9</t>
  </si>
  <si>
    <t>Confection de massif béton pour borne de stationnement (0,50 x 0,50 m x 0,50 m)</t>
  </si>
  <si>
    <t>8.1.3.5</t>
  </si>
  <si>
    <t>8.1.11</t>
  </si>
  <si>
    <t>8.1.12</t>
  </si>
  <si>
    <t>8.1.13</t>
  </si>
  <si>
    <t>8.1.14</t>
  </si>
  <si>
    <t>8.1.14.1</t>
  </si>
  <si>
    <t>8.1.14.2</t>
  </si>
  <si>
    <t>8.1.14.3</t>
  </si>
  <si>
    <t>8.1.15</t>
  </si>
  <si>
    <t>8.1.15.1</t>
  </si>
  <si>
    <t>8.1.15.2</t>
  </si>
  <si>
    <t>8.1.15.3</t>
  </si>
  <si>
    <t>8.2.8</t>
  </si>
  <si>
    <t>8.2.9</t>
  </si>
  <si>
    <t>8.2.10</t>
  </si>
  <si>
    <t>8.2.11</t>
  </si>
  <si>
    <t>8.2.11.1</t>
  </si>
  <si>
    <t>8.2.11.2</t>
  </si>
  <si>
    <t>8.2.11.3</t>
  </si>
  <si>
    <t>8.2.11.4</t>
  </si>
  <si>
    <t>8.2.11.5</t>
  </si>
  <si>
    <t>Fourniture de crosse type spirale 1100 mm</t>
  </si>
  <si>
    <t>8.5.17</t>
  </si>
  <si>
    <t>8.5.18</t>
  </si>
  <si>
    <t>Fourniture de crosse type ARIANE fermée saillie 1 m</t>
  </si>
  <si>
    <t>8.5.19</t>
  </si>
  <si>
    <t>Fourniture de crosse type LYRE V3</t>
  </si>
  <si>
    <t>8.5.20</t>
  </si>
  <si>
    <t>Fourniture de crosse type FLO 1,5m</t>
  </si>
  <si>
    <t>8.5.21</t>
  </si>
  <si>
    <t>Fourniture de crosse type SAUMUR</t>
  </si>
  <si>
    <t>8.11.16</t>
  </si>
  <si>
    <t>Pose de lanterne provisoire</t>
  </si>
  <si>
    <t>Lanterne 24 LEDs type XPG</t>
  </si>
  <si>
    <t>9.6.8.4</t>
  </si>
  <si>
    <t>lanterne type luminaire Beauregard 2 vasque PPC</t>
  </si>
  <si>
    <t>9.6.13.1</t>
  </si>
  <si>
    <t>16 LEDS</t>
  </si>
  <si>
    <t>9.6.13.2</t>
  </si>
  <si>
    <t>24 LEDS</t>
  </si>
  <si>
    <t>9.6.13.3</t>
  </si>
  <si>
    <t>48 LEDS</t>
  </si>
  <si>
    <t>9.6.15.3</t>
  </si>
  <si>
    <t>9.6.15.4</t>
  </si>
  <si>
    <t>9.6.15.5</t>
  </si>
  <si>
    <t>9.6.18.5</t>
  </si>
  <si>
    <t>9.6.18.6</t>
  </si>
  <si>
    <t>9.6.18.7</t>
  </si>
  <si>
    <t>9.6.18.8</t>
  </si>
  <si>
    <t>9.6.18.9</t>
  </si>
  <si>
    <t>9.6.19</t>
  </si>
  <si>
    <t>9.6.19.1</t>
  </si>
  <si>
    <t>9.6.19.2</t>
  </si>
  <si>
    <t>9.6.19.3</t>
  </si>
  <si>
    <t>9.6.19.4</t>
  </si>
  <si>
    <t>9.6.20</t>
  </si>
  <si>
    <t>Fourniture de lanterne de type VFL500</t>
  </si>
  <si>
    <t>9.6.21</t>
  </si>
  <si>
    <t>Fourniture de lanterne de type VFL530</t>
  </si>
  <si>
    <t>9.6.21.1</t>
  </si>
  <si>
    <t>12 LEDs</t>
  </si>
  <si>
    <t>9.6.21.2</t>
  </si>
  <si>
    <t>24 LEDs</t>
  </si>
  <si>
    <t>9.6.22</t>
  </si>
  <si>
    <t>Fourniture de lanterne de type Montmartre n°2</t>
  </si>
  <si>
    <t>9.6.22.1</t>
  </si>
  <si>
    <t>2x8 leds</t>
  </si>
  <si>
    <t>Fourniture d'un luminaire de type Zylindo 16leds</t>
  </si>
  <si>
    <t>9.6.23</t>
  </si>
  <si>
    <t>Fourniture d'une lanterne motif "petit pois" type BOREAL</t>
  </si>
  <si>
    <t>9.6.24</t>
  </si>
  <si>
    <t>Fourniture d'une lanterne type CHENONCEAUX</t>
  </si>
  <si>
    <t>9.6.25</t>
  </si>
  <si>
    <t>Fourniture de lanterne LED type POSS y compris appareillage</t>
  </si>
  <si>
    <t>9.6.25.1</t>
  </si>
  <si>
    <t>9.6.25.2</t>
  </si>
  <si>
    <t>9.6.25.3</t>
  </si>
  <si>
    <t>9.6.25.4</t>
  </si>
  <si>
    <t>9.6.26</t>
  </si>
  <si>
    <t>9.6.26.1</t>
  </si>
  <si>
    <t>Lanterne 40 LED</t>
  </si>
  <si>
    <t>9.6.26.2</t>
  </si>
  <si>
    <t>Fourniture d'un luminaire encastré au sol sur le sol de type 84 815 type BEGA</t>
  </si>
  <si>
    <t>Fourniture et pose de borne lumineuse de hauteur 1,20m intégrant la sonorisation type Creille des Ets Technilum ou équivalent</t>
  </si>
  <si>
    <t>9.14</t>
  </si>
  <si>
    <t>9.14.1</t>
  </si>
  <si>
    <t>9.14.2</t>
  </si>
  <si>
    <t>9.14.3</t>
  </si>
  <si>
    <t>9.14.4</t>
  </si>
  <si>
    <t>9.14.5</t>
  </si>
  <si>
    <t>9.15</t>
  </si>
  <si>
    <t xml:space="preserve">Transformateur de 24 KVA - 3200 V / 220 V EcoDesign </t>
  </si>
  <si>
    <t>11.3.2.8</t>
  </si>
  <si>
    <t>11.35</t>
  </si>
  <si>
    <t>Fourniture et pose de borne de distribution d'énergie</t>
  </si>
  <si>
    <t>11.36</t>
  </si>
  <si>
    <t>Fourniture et pose de coffret organe de coupure</t>
  </si>
  <si>
    <t>kg</t>
  </si>
  <si>
    <t>Cas n° 2</t>
  </si>
  <si>
    <t>SOUS TOTAL LOCATION DE MATERIEL</t>
  </si>
  <si>
    <t>COEFFICIENT DE REVENTE DES MATERIELS ET FOURNITURES</t>
  </si>
  <si>
    <t>SOUS TOTAL COEFFICIENT DE REVENTE DES MATERIELS ET FOURNITURES</t>
  </si>
  <si>
    <t>17.1</t>
  </si>
  <si>
    <t>Si le prix de vente de la pièce est compris entre 1,00 € HT et 500,00 € HT</t>
  </si>
  <si>
    <t>17.2</t>
  </si>
  <si>
    <t>Si le prix de vente de la pièce est compris entre 500,01 € HT et 1 000,00 € HT</t>
  </si>
  <si>
    <t>17.3</t>
  </si>
  <si>
    <t>Si le prix de vente de la pièce est compris entre 1 000,01 € HT et 1 500,00 € HT</t>
  </si>
  <si>
    <t>17.4</t>
  </si>
  <si>
    <t>Si le prix de vente de la pièce est supérieur à 1 500,01 € HT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</si>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</sst>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#\ ##0.00"/>
    <numFmt numFmtId="166" formatCode="0.000"/>
    <numFmt numFmtId="167" formatCode="#,##0.00\ &quot;F&quot;"/>
    <numFmt numFmtId="168" formatCode="_-* #,##0.00\ [$€]_-;\-* #,##0.00\ [$€]_-;_-* &quot;-&quot;??\ [$€]_-;_-@_-"/>
  </numFmts>
  <fonts count="14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59999389629810485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1">
    <xf numFmtId="0" fontId="0" fillId="0" borderId="0" applyNumberFormat="0" applyFont="0" applyFill="0" applyBorder="0" applyAlignment="0" applyProtection="0">
      <alignment vertical="top"/>
    </xf>
    <xf numFmtId="168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5" fillId="0" borderId="0" applyNumberFormat="0" applyFont="0" applyFill="0" applyBorder="0" applyAlignment="0" applyProtection="0">
      <alignment vertical="top"/>
    </xf>
    <xf numFmtId="0" fontId="5" fillId="0" borderId="0"/>
    <xf numFmtId="0" fontId="11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</cellStyleXfs>
  <cellXfs count="165">
    <xf numFmtId="0" fontId="1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vertical="top"/>
    </xf>
    <xf numFmtId="165" fontId="1" fillId="0" borderId="0" xfId="0" applyNumberFormat="1" applyFont="1" applyFill="1" applyBorder="1" applyAlignment="1" applyProtection="1">
      <alignment vertical="top"/>
    </xf>
    <xf numFmtId="166" fontId="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justify" vertical="center" wrapText="1" shrinkToFit="1"/>
    </xf>
    <xf numFmtId="0" fontId="5" fillId="0" borderId="0" xfId="0" applyNumberFormat="1" applyFont="1" applyFill="1" applyBorder="1" applyAlignment="1" applyProtection="1">
      <alignment horizontal="justify" vertical="center" wrapText="1" shrinkToFit="1"/>
    </xf>
    <xf numFmtId="0" fontId="4" fillId="0" borderId="0" xfId="0" applyNumberFormat="1" applyFont="1" applyFill="1" applyBorder="1" applyAlignment="1" applyProtection="1">
      <alignment horizontal="justify" vertical="center" wrapText="1" shrinkToFit="1"/>
    </xf>
    <xf numFmtId="0" fontId="5" fillId="0" borderId="0" xfId="20" applyNumberFormat="1" applyFont="1" applyFill="1" applyBorder="1" applyAlignment="1" applyProtection="1">
      <alignment horizontal="justify" vertical="top" wrapText="1"/>
    </xf>
    <xf numFmtId="0" fontId="6" fillId="0" borderId="0" xfId="0" applyNumberFormat="1" applyFont="1" applyFill="1" applyBorder="1" applyAlignment="1" applyProtection="1">
      <alignment horizontal="justify" vertical="top" wrapText="1" shrinkToFit="1"/>
    </xf>
    <xf numFmtId="0" fontId="6" fillId="0" borderId="0" xfId="0" applyNumberFormat="1" applyFont="1" applyFill="1" applyBorder="1" applyAlignment="1" applyProtection="1">
      <alignment horizontal="justify" vertical="center" wrapText="1" shrinkToFit="1"/>
    </xf>
    <xf numFmtId="0" fontId="7" fillId="0" borderId="0" xfId="0" applyNumberFormat="1" applyFont="1" applyFill="1" applyBorder="1" applyAlignment="1" applyProtection="1">
      <alignment horizontal="justify" vertical="top" wrapText="1" shrinkToFit="1"/>
    </xf>
    <xf numFmtId="0" fontId="5" fillId="0" borderId="0" xfId="0" applyNumberFormat="1" applyFont="1" applyFill="1" applyBorder="1" applyAlignment="1" applyProtection="1">
      <alignment horizontal="justify" vertical="top" wrapText="1" shrinkToFit="1"/>
    </xf>
    <xf numFmtId="0" fontId="2" fillId="0" borderId="0" xfId="0" applyNumberFormat="1" applyFont="1" applyFill="1" applyBorder="1" applyAlignment="1" applyProtection="1">
      <alignment horizontal="justify" vertical="center" wrapText="1" shrinkToFit="1"/>
    </xf>
    <xf numFmtId="4" fontId="2" fillId="0" borderId="0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0" xfId="0" applyNumberFormat="1" applyFont="1" applyFill="1" applyBorder="1" applyAlignment="1" applyProtection="1">
      <alignment horizontal="justify" vertical="center" wrapText="1"/>
    </xf>
    <xf numFmtId="0" fontId="2" fillId="0" borderId="0" xfId="20" applyNumberFormat="1" applyFont="1" applyFill="1" applyBorder="1" applyAlignment="1" applyProtection="1">
      <alignment horizontal="justify" vertical="center" wrapText="1"/>
    </xf>
    <xf numFmtId="4" fontId="2" fillId="0" borderId="4" xfId="0" applyNumberFormat="1" applyFont="1" applyFill="1" applyBorder="1" applyAlignment="1" applyProtection="1">
      <alignment horizontal="center" vertical="center" wrapText="1" shrinkToFit="1"/>
      <protection locked="0"/>
    </xf>
    <xf numFmtId="4" fontId="2" fillId="0" borderId="0" xfId="0" applyNumberFormat="1" applyFont="1" applyFill="1" applyBorder="1" applyAlignment="1" applyProtection="1">
      <alignment horizontal="center" vertical="center" wrapText="1" shrinkToFit="1"/>
    </xf>
    <xf numFmtId="4" fontId="2" fillId="0" borderId="4" xfId="0" applyNumberFormat="1" applyFont="1" applyFill="1" applyBorder="1" applyAlignment="1" applyProtection="1">
      <alignment horizontal="center" vertical="center" wrapText="1" shrinkToFit="1"/>
    </xf>
    <xf numFmtId="4" fontId="2" fillId="4" borderId="0" xfId="2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center" vertical="center" wrapText="1" shrinkToFit="1"/>
    </xf>
    <xf numFmtId="4" fontId="2" fillId="0" borderId="0" xfId="20" applyNumberFormat="1" applyFont="1" applyFill="1" applyBorder="1" applyAlignment="1" applyProtection="1">
      <alignment horizontal="center" vertical="center" wrapText="1" shrinkToFi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0" fontId="6" fillId="3" borderId="8" xfId="0" applyNumberFormat="1" applyFont="1" applyFill="1" applyBorder="1" applyAlignment="1" applyProtection="1">
      <alignment horizontal="left" vertical="top" wrapText="1" indent="1" shrinkToFit="1"/>
    </xf>
    <xf numFmtId="4" fontId="6" fillId="3" borderId="0" xfId="0" applyNumberFormat="1" applyFont="1" applyFill="1" applyBorder="1" applyAlignment="1" applyProtection="1">
      <alignment horizontal="left" vertical="center" wrapText="1" shrinkToFit="1"/>
    </xf>
    <xf numFmtId="0" fontId="6" fillId="3" borderId="0" xfId="0" applyNumberFormat="1" applyFont="1" applyFill="1" applyBorder="1" applyAlignment="1" applyProtection="1">
      <alignment horizontal="center" vertical="top" wrapText="1" shrinkToFit="1"/>
    </xf>
    <xf numFmtId="0" fontId="6" fillId="0" borderId="8" xfId="0" applyNumberFormat="1" applyFont="1" applyFill="1" applyBorder="1" applyAlignment="1" applyProtection="1">
      <alignment horizontal="left" vertical="top" wrapText="1" shrinkToFit="1"/>
    </xf>
    <xf numFmtId="4" fontId="6" fillId="0" borderId="0" xfId="0" applyNumberFormat="1" applyFont="1" applyFill="1" applyBorder="1" applyAlignment="1" applyProtection="1">
      <alignment horizontal="left" vertical="top" wrapText="1" shrinkToFit="1"/>
    </xf>
    <xf numFmtId="0" fontId="6" fillId="0" borderId="8" xfId="0" applyNumberFormat="1" applyFont="1" applyFill="1" applyBorder="1" applyAlignment="1" applyProtection="1">
      <alignment horizontal="justify" vertical="top" wrapText="1" shrinkToFit="1"/>
    </xf>
    <xf numFmtId="0" fontId="6" fillId="3" borderId="10" xfId="0" applyNumberFormat="1" applyFont="1" applyFill="1" applyBorder="1" applyAlignment="1" applyProtection="1">
      <alignment horizontal="left" vertical="top" wrapText="1" indent="1" shrinkToFit="1"/>
    </xf>
    <xf numFmtId="4" fontId="6" fillId="3" borderId="5" xfId="0" applyNumberFormat="1" applyFont="1" applyFill="1" applyBorder="1" applyAlignment="1" applyProtection="1">
      <alignment horizontal="left" vertical="center" wrapText="1" shrinkToFit="1"/>
    </xf>
    <xf numFmtId="0" fontId="6" fillId="0" borderId="8" xfId="0" applyNumberFormat="1" applyFont="1" applyFill="1" applyBorder="1" applyAlignment="1" applyProtection="1">
      <alignment horizontal="left" vertical="top" wrapText="1" indent="1" shrinkToFit="1"/>
    </xf>
    <xf numFmtId="4" fontId="6" fillId="0" borderId="0" xfId="0" applyNumberFormat="1" applyFont="1" applyFill="1" applyBorder="1" applyAlignment="1" applyProtection="1">
      <alignment horizontal="justify" vertical="center" wrapText="1" shrinkToFit="1"/>
    </xf>
    <xf numFmtId="0" fontId="6" fillId="0" borderId="8" xfId="0" applyNumberFormat="1" applyFont="1" applyFill="1" applyBorder="1" applyAlignment="1" applyProtection="1">
      <alignment vertical="top" wrapText="1" shrinkToFit="1"/>
    </xf>
    <xf numFmtId="4" fontId="6" fillId="0" borderId="0" xfId="0" applyNumberFormat="1" applyFont="1" applyFill="1" applyBorder="1" applyAlignment="1" applyProtection="1">
      <alignment horizontal="justify" vertical="top" wrapText="1" shrinkToFit="1"/>
    </xf>
    <xf numFmtId="4" fontId="6" fillId="3" borderId="5" xfId="0" applyNumberFormat="1" applyFont="1" applyFill="1" applyBorder="1" applyAlignment="1" applyProtection="1">
      <alignment horizontal="justify" vertical="center" wrapText="1" shrinkToFit="1"/>
    </xf>
    <xf numFmtId="0" fontId="6" fillId="0" borderId="0" xfId="0" applyNumberFormat="1" applyFont="1" applyFill="1" applyBorder="1" applyAlignment="1" applyProtection="1">
      <alignment horizontal="center" vertical="top" wrapText="1" shrinkToFit="1"/>
    </xf>
    <xf numFmtId="49" fontId="6" fillId="0" borderId="0" xfId="0" applyNumberFormat="1" applyFont="1" applyFill="1" applyBorder="1" applyAlignment="1" applyProtection="1">
      <alignment horizontal="center" vertical="top" wrapText="1" shrinkToFit="1"/>
    </xf>
    <xf numFmtId="0" fontId="8" fillId="0" borderId="7" xfId="0" applyNumberFormat="1" applyFont="1" applyFill="1" applyBorder="1" applyAlignment="1" applyProtection="1">
      <alignment horizontal="left" vertical="center" wrapText="1"/>
    </xf>
    <xf numFmtId="4" fontId="8" fillId="0" borderId="1" xfId="0" applyNumberFormat="1" applyFont="1" applyFill="1" applyBorder="1" applyAlignment="1" applyProtection="1">
      <alignment horizontal="justify" vertical="center" wrapText="1" shrinkToFi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44" fontId="8" fillId="0" borderId="2" xfId="0" applyNumberFormat="1" applyFont="1" applyFill="1" applyBorder="1" applyAlignment="1" applyProtection="1">
      <alignment horizontal="center" vertical="center" wrapText="1"/>
    </xf>
    <xf numFmtId="44" fontId="3" fillId="0" borderId="3" xfId="0" applyNumberFormat="1" applyFont="1" applyFill="1" applyBorder="1" applyAlignment="1" applyProtection="1">
      <alignment horizontal="center" vertical="center" wrapText="1" shrinkToFit="1"/>
    </xf>
    <xf numFmtId="44" fontId="3" fillId="0" borderId="6" xfId="0" applyNumberFormat="1" applyFont="1" applyFill="1" applyBorder="1" applyAlignment="1" applyProtection="1">
      <alignment horizontal="center" vertical="center" wrapText="1" shrinkToFit="1"/>
    </xf>
    <xf numFmtId="44" fontId="3" fillId="0" borderId="3" xfId="0" applyNumberFormat="1" applyFont="1" applyFill="1" applyBorder="1" applyAlignment="1" applyProtection="1">
      <alignment horizontal="center" vertical="center" wrapText="1"/>
    </xf>
    <xf numFmtId="44" fontId="3" fillId="0" borderId="6" xfId="0" applyNumberFormat="1" applyFont="1" applyFill="1" applyBorder="1" applyAlignment="1" applyProtection="1">
      <alignment horizontal="center" vertical="center" wrapText="1"/>
    </xf>
    <xf numFmtId="44" fontId="3" fillId="0" borderId="0" xfId="0" applyNumberFormat="1" applyFont="1" applyFill="1" applyBorder="1" applyAlignment="1" applyProtection="1">
      <alignment horizontal="center" vertical="center" wrapText="1"/>
    </xf>
    <xf numFmtId="44" fontId="3" fillId="0" borderId="5" xfId="0" applyNumberFormat="1" applyFont="1" applyFill="1" applyBorder="1" applyAlignment="1" applyProtection="1">
      <alignment horizontal="center" vertical="center" wrapText="1"/>
    </xf>
    <xf numFmtId="44" fontId="3" fillId="0" borderId="12" xfId="0" applyNumberFormat="1" applyFont="1" applyFill="1" applyBorder="1" applyAlignment="1" applyProtection="1">
      <alignment horizontal="center" vertical="center" wrapText="1"/>
    </xf>
    <xf numFmtId="44" fontId="3" fillId="0" borderId="32" xfId="0" applyNumberFormat="1" applyFont="1" applyFill="1" applyBorder="1" applyAlignment="1" applyProtection="1">
      <alignment horizontal="center" vertical="center" wrapText="1"/>
    </xf>
    <xf numFmtId="44" fontId="3" fillId="0" borderId="22" xfId="0" applyNumberFormat="1" applyFont="1" applyFill="1" applyBorder="1" applyAlignment="1" applyProtection="1">
      <alignment horizontal="center" vertical="center" wrapText="1"/>
    </xf>
    <xf numFmtId="44" fontId="3" fillId="0" borderId="31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left" vertical="top" wrapText="1" shrinkToFit="1"/>
    </xf>
    <xf numFmtId="0" fontId="5" fillId="0" borderId="5" xfId="17" applyBorder="1" applyAlignment="1">
      <alignment horizontal="right" vertical="top" wrapText="1"/>
    </xf>
    <xf numFmtId="4" fontId="2" fillId="0" borderId="5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justify" vertical="center" wrapText="1" shrinkToFit="1"/>
    </xf>
    <xf numFmtId="4" fontId="6" fillId="0" borderId="12" xfId="0" applyNumberFormat="1" applyFont="1" applyFill="1" applyBorder="1" applyAlignment="1" applyProtection="1">
      <alignment horizontal="justify" vertical="center" wrapText="1" shrinkToFit="1"/>
    </xf>
    <xf numFmtId="4" fontId="2" fillId="0" borderId="36" xfId="0" applyNumberFormat="1" applyFont="1" applyFill="1" applyBorder="1" applyAlignment="1" applyProtection="1">
      <alignment horizontal="center" vertical="center" wrapText="1"/>
    </xf>
    <xf numFmtId="4" fontId="2" fillId="0" borderId="37" xfId="0" applyNumberFormat="1" applyFont="1" applyFill="1" applyBorder="1" applyAlignment="1" applyProtection="1">
      <alignment horizontal="center" vertical="center" wrapText="1"/>
    </xf>
    <xf numFmtId="0" fontId="5" fillId="0" borderId="32" xfId="17" applyBorder="1" applyAlignment="1">
      <alignment horizontal="center" vertical="top" wrapText="1"/>
    </xf>
    <xf numFmtId="0" fontId="5" fillId="0" borderId="32" xfId="17" applyBorder="1" applyAlignment="1">
      <alignment horizontal="justify" vertical="top" wrapText="1"/>
    </xf>
    <xf numFmtId="4" fontId="2" fillId="0" borderId="20" xfId="0" applyNumberFormat="1" applyFont="1" applyFill="1" applyBorder="1" applyAlignment="1" applyProtection="1">
      <alignment horizontal="center" vertical="center" wrapText="1"/>
    </xf>
    <xf numFmtId="4" fontId="2" fillId="0" borderId="34" xfId="0" applyNumberFormat="1" applyFont="1" applyFill="1" applyBorder="1" applyAlignment="1" applyProtection="1">
      <alignment horizontal="center" vertical="center" wrapText="1"/>
    </xf>
    <xf numFmtId="0" fontId="6" fillId="0" borderId="22" xfId="17" applyFont="1" applyBorder="1" applyAlignment="1">
      <alignment horizontal="center" vertical="top" wrapText="1"/>
    </xf>
    <xf numFmtId="4" fontId="6" fillId="0" borderId="22" xfId="17" applyNumberFormat="1" applyFont="1" applyBorder="1" applyAlignment="1">
      <alignment horizontal="justify" vertical="top" wrapText="1"/>
    </xf>
    <xf numFmtId="4" fontId="2" fillId="0" borderId="11" xfId="0" applyNumberFormat="1" applyFont="1" applyFill="1" applyBorder="1" applyAlignment="1" applyProtection="1">
      <alignment horizontal="center" vertical="center" wrapText="1"/>
    </xf>
    <xf numFmtId="4" fontId="2" fillId="0" borderId="27" xfId="0" applyNumberFormat="1" applyFont="1" applyFill="1" applyBorder="1" applyAlignment="1" applyProtection="1">
      <alignment horizontal="center" vertical="center" wrapText="1"/>
    </xf>
    <xf numFmtId="0" fontId="6" fillId="0" borderId="23" xfId="17" applyFont="1" applyBorder="1" applyAlignment="1">
      <alignment horizontal="center" vertical="top" wrapText="1"/>
    </xf>
    <xf numFmtId="0" fontId="6" fillId="0" borderId="29" xfId="17" applyFont="1" applyBorder="1" applyAlignment="1">
      <alignment horizontal="center" vertical="top" wrapText="1"/>
    </xf>
    <xf numFmtId="4" fontId="6" fillId="0" borderId="20" xfId="17" applyNumberFormat="1" applyFont="1" applyBorder="1" applyAlignment="1">
      <alignment horizontal="justify" vertical="top" wrapText="1"/>
    </xf>
    <xf numFmtId="0" fontId="6" fillId="0" borderId="15" xfId="17" applyFont="1" applyBorder="1" applyAlignment="1">
      <alignment horizontal="center" vertical="top" wrapText="1"/>
    </xf>
    <xf numFmtId="0" fontId="6" fillId="0" borderId="25" xfId="17" applyFont="1" applyBorder="1" applyAlignment="1">
      <alignment horizontal="justify" vertical="top" wrapText="1"/>
    </xf>
    <xf numFmtId="4" fontId="2" fillId="0" borderId="25" xfId="0" applyNumberFormat="1" applyFont="1" applyFill="1" applyBorder="1" applyAlignment="1" applyProtection="1">
      <alignment horizontal="center" vertical="center" wrapText="1"/>
    </xf>
    <xf numFmtId="4" fontId="2" fillId="0" borderId="30" xfId="0" applyNumberFormat="1" applyFont="1" applyFill="1" applyBorder="1" applyAlignment="1" applyProtection="1">
      <alignment horizontal="center" vertical="center" wrapText="1"/>
    </xf>
    <xf numFmtId="4" fontId="2" fillId="0" borderId="14" xfId="0" applyNumberFormat="1" applyFont="1" applyFill="1" applyBorder="1" applyAlignment="1" applyProtection="1">
      <alignment horizontal="center" vertical="center" wrapText="1"/>
    </xf>
    <xf numFmtId="4" fontId="2" fillId="0" borderId="26" xfId="0" applyNumberFormat="1" applyFont="1" applyFill="1" applyBorder="1" applyAlignment="1" applyProtection="1">
      <alignment horizontal="center" vertical="center" wrapText="1"/>
    </xf>
    <xf numFmtId="0" fontId="5" fillId="0" borderId="18" xfId="17" applyBorder="1" applyAlignment="1">
      <alignment horizontal="center" vertical="top" wrapText="1"/>
    </xf>
    <xf numFmtId="0" fontId="7" fillId="0" borderId="22" xfId="17" applyFont="1" applyBorder="1" applyAlignment="1">
      <alignment horizontal="right" vertical="top" wrapText="1"/>
    </xf>
    <xf numFmtId="0" fontId="5" fillId="0" borderId="24" xfId="17" applyBorder="1" applyAlignment="1">
      <alignment horizontal="center" vertical="top" wrapText="1"/>
    </xf>
    <xf numFmtId="0" fontId="7" fillId="0" borderId="23" xfId="17" applyFont="1" applyBorder="1" applyAlignment="1">
      <alignment horizontal="right" vertical="top" wrapText="1"/>
    </xf>
    <xf numFmtId="4" fontId="2" fillId="0" borderId="17" xfId="0" applyNumberFormat="1" applyFont="1" applyFill="1" applyBorder="1" applyAlignment="1" applyProtection="1">
      <alignment horizontal="center" vertical="center" wrapText="1"/>
    </xf>
    <xf numFmtId="4" fontId="2" fillId="0" borderId="28" xfId="0" applyNumberFormat="1" applyFont="1" applyFill="1" applyBorder="1" applyAlignment="1" applyProtection="1">
      <alignment horizontal="center" vertical="center" wrapText="1"/>
    </xf>
    <xf numFmtId="0" fontId="5" fillId="2" borderId="0" xfId="0" applyNumberFormat="1" applyFont="1" applyFill="1" applyBorder="1" applyAlignment="1" applyProtection="1">
      <alignment vertical="center"/>
    </xf>
    <xf numFmtId="0" fontId="5" fillId="2" borderId="0" xfId="0" applyNumberFormat="1" applyFont="1" applyFill="1" applyBorder="1" applyAlignment="1" applyProtection="1">
      <alignment horizontal="center" vertical="center"/>
    </xf>
    <xf numFmtId="1" fontId="13" fillId="0" borderId="0" xfId="0" applyNumberFormat="1" applyFont="1" applyFill="1" applyBorder="1" applyAlignment="1" applyProtection="1">
      <alignment horizontal="right" vertical="center" wrapText="1"/>
    </xf>
    <xf numFmtId="1" fontId="3" fillId="2" borderId="0" xfId="0" applyNumberFormat="1" applyFont="1" applyFill="1" applyBorder="1" applyAlignment="1" applyProtection="1">
      <alignment horizontal="right" vertical="center"/>
    </xf>
    <xf numFmtId="167" fontId="9" fillId="2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167" fontId="2" fillId="2" borderId="0" xfId="0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Border="1" applyAlignment="1" applyProtection="1">
      <alignment vertical="center" wrapText="1"/>
    </xf>
    <xf numFmtId="44" fontId="3" fillId="2" borderId="0" xfId="0" applyNumberFormat="1" applyFont="1" applyFill="1" applyBorder="1" applyAlignment="1" applyProtection="1">
      <alignment vertical="center" wrapText="1"/>
    </xf>
    <xf numFmtId="0" fontId="3" fillId="3" borderId="0" xfId="0" applyNumberFormat="1" applyFont="1" applyFill="1" applyBorder="1" applyAlignment="1" applyProtection="1">
      <alignment horizontal="center" vertical="center" wrapText="1" shrinkToFit="1"/>
    </xf>
    <xf numFmtId="44" fontId="3" fillId="3" borderId="3" xfId="0" applyNumberFormat="1" applyFont="1" applyFill="1" applyBorder="1" applyAlignment="1" applyProtection="1">
      <alignment horizontal="center" vertical="center" wrapText="1" shrinkToFit="1"/>
    </xf>
    <xf numFmtId="0" fontId="2" fillId="0" borderId="0" xfId="0" applyNumberFormat="1" applyFont="1" applyFill="1" applyBorder="1" applyAlignment="1" applyProtection="1">
      <alignment horizontal="center" vertical="center" wrapText="1" shrinkToFit="1"/>
    </xf>
    <xf numFmtId="0" fontId="5" fillId="0" borderId="0" xfId="17" applyAlignment="1">
      <alignment vertical="center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4" fontId="2" fillId="0" borderId="0" xfId="0" applyNumberFormat="1" applyFont="1" applyFill="1" applyBorder="1" applyAlignment="1" applyProtection="1">
      <alignment horizontal="justify" vertical="center" wrapText="1" shrinkToFi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top" wrapText="1" shrinkToFit="1"/>
    </xf>
    <xf numFmtId="49" fontId="1" fillId="0" borderId="0" xfId="0" applyNumberFormat="1" applyFont="1" applyFill="1" applyBorder="1" applyAlignment="1" applyProtection="1">
      <alignment horizontal="center" vertical="top" wrapText="1" shrinkToFit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49" fontId="1" fillId="0" borderId="4" xfId="0" applyNumberFormat="1" applyFont="1" applyFill="1" applyBorder="1" applyAlignment="1" applyProtection="1">
      <alignment horizontal="center" vertical="top" wrapText="1" shrinkToFit="1"/>
    </xf>
    <xf numFmtId="49" fontId="1" fillId="3" borderId="5" xfId="0" applyNumberFormat="1" applyFont="1" applyFill="1" applyBorder="1" applyAlignment="1" applyProtection="1">
      <alignment horizontal="center" vertical="top" wrapText="1" shrinkToFit="1"/>
    </xf>
    <xf numFmtId="49" fontId="1" fillId="0" borderId="0" xfId="20" applyNumberFormat="1" applyFont="1" applyFill="1" applyBorder="1" applyAlignment="1" applyProtection="1">
      <alignment horizontal="center" vertical="top" wrapText="1" shrinkToFit="1"/>
    </xf>
    <xf numFmtId="49" fontId="1" fillId="0" borderId="0" xfId="0" applyNumberFormat="1" applyFont="1" applyFill="1" applyBorder="1" applyAlignment="1" applyProtection="1">
      <alignment horizontal="center" wrapText="1" shrinkToFit="1"/>
    </xf>
    <xf numFmtId="49" fontId="1" fillId="0" borderId="0" xfId="0" applyNumberFormat="1" applyFont="1" applyFill="1" applyBorder="1" applyAlignment="1" applyProtection="1">
      <alignment horizontal="center" vertical="center" wrapText="1" shrinkToFit="1"/>
    </xf>
    <xf numFmtId="49" fontId="1" fillId="3" borderId="0" xfId="0" applyNumberFormat="1" applyFont="1" applyFill="1" applyBorder="1" applyAlignment="1" applyProtection="1">
      <alignment horizontal="center" vertical="top" wrapText="1" shrinkToFit="1"/>
    </xf>
    <xf numFmtId="49" fontId="1" fillId="0" borderId="5" xfId="0" applyNumberFormat="1" applyFont="1" applyFill="1" applyBorder="1" applyAlignment="1" applyProtection="1">
      <alignment horizontal="center" vertical="top" wrapText="1" shrinkToFit="1"/>
    </xf>
    <xf numFmtId="49" fontId="1" fillId="0" borderId="35" xfId="0" applyNumberFormat="1" applyFont="1" applyFill="1" applyBorder="1" applyAlignment="1" applyProtection="1">
      <alignment horizontal="center" vertical="top" wrapText="1" shrinkToFit="1"/>
    </xf>
    <xf numFmtId="0" fontId="1" fillId="0" borderId="33" xfId="17" applyFont="1" applyBorder="1" applyAlignment="1">
      <alignment horizontal="center" vertical="top" wrapText="1"/>
    </xf>
    <xf numFmtId="0" fontId="1" fillId="0" borderId="19" xfId="17" applyFont="1" applyBorder="1" applyAlignment="1">
      <alignment horizontal="center" vertical="top" wrapText="1"/>
    </xf>
    <xf numFmtId="0" fontId="1" fillId="0" borderId="11" xfId="17" applyFont="1" applyBorder="1" applyAlignment="1">
      <alignment horizontal="center" vertical="top" wrapText="1"/>
    </xf>
    <xf numFmtId="0" fontId="1" fillId="0" borderId="25" xfId="17" applyFont="1" applyBorder="1" applyAlignment="1">
      <alignment horizontal="center" vertical="top" wrapText="1"/>
    </xf>
    <xf numFmtId="0" fontId="1" fillId="0" borderId="13" xfId="17" applyFont="1" applyBorder="1" applyAlignment="1">
      <alignment horizontal="center" vertical="top" wrapText="1"/>
    </xf>
    <xf numFmtId="0" fontId="1" fillId="0" borderId="15" xfId="17" applyFont="1" applyBorder="1" applyAlignment="1">
      <alignment horizontal="center" vertical="top" wrapText="1"/>
    </xf>
    <xf numFmtId="0" fontId="1" fillId="0" borderId="16" xfId="17" applyFont="1" applyBorder="1" applyAlignment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left" vertical="top" wrapText="1" shrinkToFit="1"/>
    </xf>
    <xf numFmtId="0" fontId="1" fillId="0" borderId="8" xfId="0" applyNumberFormat="1" applyFont="1" applyFill="1" applyBorder="1" applyAlignment="1" applyProtection="1">
      <alignment horizontal="left" vertical="top" wrapText="1" indent="1" shrinkToFit="1"/>
    </xf>
    <xf numFmtId="4" fontId="1" fillId="0" borderId="0" xfId="0" applyNumberFormat="1" applyFont="1" applyFill="1" applyBorder="1" applyAlignment="1" applyProtection="1">
      <alignment horizontal="justify" vertical="center" wrapText="1" shrinkToFit="1"/>
    </xf>
    <xf numFmtId="4" fontId="1" fillId="0" borderId="0" xfId="0" applyNumberFormat="1" applyFont="1" applyFill="1" applyBorder="1" applyAlignment="1" applyProtection="1">
      <alignment horizontal="left" vertical="top" wrapText="1" shrinkToFit="1"/>
    </xf>
    <xf numFmtId="0" fontId="1" fillId="0" borderId="9" xfId="0" applyNumberFormat="1" applyFont="1" applyFill="1" applyBorder="1" applyAlignment="1" applyProtection="1">
      <alignment horizontal="left" vertical="top" wrapText="1" indent="1" shrinkToFit="1"/>
    </xf>
    <xf numFmtId="4" fontId="1" fillId="0" borderId="4" xfId="0" applyNumberFormat="1" applyFont="1" applyFill="1" applyBorder="1" applyAlignment="1" applyProtection="1">
      <alignment horizontal="justify" vertical="center" wrapText="1" shrinkToFit="1"/>
    </xf>
    <xf numFmtId="49" fontId="1" fillId="3" borderId="3" xfId="0" applyNumberFormat="1" applyFont="1" applyFill="1" applyBorder="1" applyAlignment="1" applyProtection="1">
      <alignment horizontal="center" vertical="top" wrapText="1" shrinkToFit="1"/>
    </xf>
    <xf numFmtId="4" fontId="1" fillId="0" borderId="0" xfId="0" applyNumberFormat="1" applyFont="1" applyFill="1" applyBorder="1" applyAlignment="1" applyProtection="1">
      <alignment horizontal="justify" vertical="top" wrapText="1" shrinkToFit="1"/>
    </xf>
    <xf numFmtId="49" fontId="1" fillId="0" borderId="3" xfId="0" applyNumberFormat="1" applyFont="1" applyFill="1" applyBorder="1" applyAlignment="1" applyProtection="1">
      <alignment horizontal="center" vertical="top" wrapText="1" shrinkToFit="1"/>
    </xf>
    <xf numFmtId="49" fontId="1" fillId="0" borderId="6" xfId="0" applyNumberFormat="1" applyFont="1" applyFill="1" applyBorder="1" applyAlignment="1" applyProtection="1">
      <alignment horizontal="center" vertical="top" wrapText="1" shrinkToFit="1"/>
    </xf>
    <xf numFmtId="0" fontId="1" fillId="0" borderId="8" xfId="0" applyNumberFormat="1" applyFont="1" applyFill="1" applyBorder="1" applyAlignment="1" applyProtection="1">
      <alignment horizontal="justify" vertical="top" wrapText="1" shrinkToFit="1"/>
    </xf>
    <xf numFmtId="4" fontId="1" fillId="0" borderId="0" xfId="0" applyNumberFormat="1" applyFont="1" applyFill="1" applyBorder="1" applyAlignment="1" applyProtection="1">
      <alignment horizontal="center" vertical="top" wrapText="1" shrinkToFit="1"/>
      <protection locked="0"/>
    </xf>
    <xf numFmtId="4" fontId="1" fillId="0" borderId="0" xfId="0" applyNumberFormat="1" applyFont="1" applyFill="1" applyBorder="1" applyAlignment="1" applyProtection="1">
      <alignment horizontal="center" vertical="top" wrapText="1" shrinkToFit="1"/>
    </xf>
    <xf numFmtId="4" fontId="1" fillId="0" borderId="4" xfId="0" applyNumberFormat="1" applyFont="1" applyFill="1" applyBorder="1" applyAlignment="1" applyProtection="1">
      <alignment horizontal="left" vertical="top" wrapText="1" shrinkToFit="1"/>
    </xf>
    <xf numFmtId="0" fontId="1" fillId="0" borderId="8" xfId="0" applyNumberFormat="1" applyFont="1" applyFill="1" applyBorder="1" applyAlignment="1" applyProtection="1">
      <alignment horizontal="left" vertical="top" wrapText="1" shrinkToFit="1"/>
    </xf>
    <xf numFmtId="0" fontId="1" fillId="0" borderId="9" xfId="0" applyNumberFormat="1" applyFont="1" applyFill="1" applyBorder="1" applyAlignment="1" applyProtection="1">
      <alignment horizontal="left" vertical="top" wrapText="1" shrinkToFit="1"/>
    </xf>
    <xf numFmtId="49" fontId="6" fillId="0" borderId="0" xfId="0" applyNumberFormat="1" applyFont="1" applyFill="1" applyBorder="1" applyAlignment="1" applyProtection="1">
      <alignment horizontal="left" vertical="top" wrapText="1" shrinkToFit="1"/>
    </xf>
    <xf numFmtId="0" fontId="1" fillId="0" borderId="0" xfId="0" applyNumberFormat="1" applyFont="1" applyFill="1" applyBorder="1" applyAlignment="1" applyProtection="1">
      <alignment horizontal="left" vertical="top" wrapText="1" indent="1" shrinkToFit="1"/>
    </xf>
    <xf numFmtId="4" fontId="2" fillId="5" borderId="0" xfId="0" applyNumberFormat="1" applyFont="1" applyFill="1" applyBorder="1" applyAlignment="1" applyProtection="1">
      <alignment horizontal="center" vertical="center" wrapText="1" shrinkToFit="1"/>
      <protection locked="0"/>
    </xf>
    <xf numFmtId="1" fontId="3" fillId="2" borderId="0" xfId="0" applyNumberFormat="1" applyFont="1" applyFill="1" applyBorder="1" applyAlignment="1" applyProtection="1">
      <alignment horizontal="center" vertical="center"/>
    </xf>
    <xf numFmtId="2" fontId="3" fillId="2" borderId="0" xfId="0" applyNumberFormat="1" applyFont="1" applyFill="1" applyBorder="1" applyAlignment="1" applyProtection="1">
      <alignment horizontal="center" vertical="center" wrapText="1"/>
    </xf>
    <xf numFmtId="2" fontId="3" fillId="2" borderId="0" xfId="0" applyNumberFormat="1" applyFont="1" applyFill="1" applyBorder="1" applyAlignment="1" applyProtection="1">
      <alignment horizontal="center" vertical="center"/>
      <protection locked="0"/>
    </xf>
    <xf numFmtId="167" fontId="9" fillId="2" borderId="0" xfId="0" applyNumberFormat="1" applyFont="1" applyFill="1" applyBorder="1" applyAlignment="1" applyProtection="1">
      <alignment horizontal="center" vertical="center"/>
    </xf>
    <xf numFmtId="0" fontId="1" fillId="0" borderId="38" xfId="17" applyFont="1" applyBorder="1" applyAlignment="1">
      <alignment horizontal="center" vertical="top" wrapText="1"/>
    </xf>
    <xf numFmtId="4" fontId="2" fillId="0" borderId="39" xfId="0" applyNumberFormat="1" applyFont="1" applyFill="1" applyBorder="1" applyAlignment="1" applyProtection="1">
      <alignment horizontal="center" vertical="center" wrapText="1"/>
    </xf>
    <xf numFmtId="4" fontId="2" fillId="0" borderId="40" xfId="0" applyNumberFormat="1" applyFont="1" applyFill="1" applyBorder="1" applyAlignment="1" applyProtection="1">
      <alignment horizontal="center" vertical="center" wrapText="1"/>
    </xf>
    <xf numFmtId="44" fontId="3" fillId="0" borderId="41" xfId="0" applyNumberFormat="1" applyFont="1" applyFill="1" applyBorder="1" applyAlignment="1" applyProtection="1">
      <alignment horizontal="center" vertical="center" wrapText="1"/>
    </xf>
    <xf numFmtId="0" fontId="6" fillId="0" borderId="9" xfId="17" applyFont="1" applyBorder="1" applyAlignment="1">
      <alignment horizontal="center" vertical="top" wrapText="1"/>
    </xf>
    <xf numFmtId="0" fontId="7" fillId="0" borderId="32" xfId="17" applyFont="1" applyBorder="1" applyAlignment="1">
      <alignment horizontal="right" vertical="top" wrapText="1"/>
    </xf>
    <xf numFmtId="0" fontId="6" fillId="0" borderId="43" xfId="17" applyFont="1" applyBorder="1" applyAlignment="1">
      <alignment horizontal="justify" vertical="top" wrapText="1"/>
    </xf>
    <xf numFmtId="44" fontId="3" fillId="0" borderId="42" xfId="0" applyNumberFormat="1" applyFont="1" applyFill="1" applyBorder="1" applyAlignment="1" applyProtection="1">
      <alignment horizontal="center" vertical="center" wrapText="1"/>
    </xf>
    <xf numFmtId="44" fontId="3" fillId="0" borderId="21" xfId="0" applyNumberFormat="1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center" vertical="center" wrapText="1" shrinkToFit="1"/>
    </xf>
    <xf numFmtId="0" fontId="5" fillId="0" borderId="0" xfId="17" applyAlignment="1" applyProtection="1">
      <alignment horizontal="center" vertical="top" wrapText="1"/>
    </xf>
    <xf numFmtId="0" fontId="6" fillId="0" borderId="0" xfId="17" applyFont="1" applyAlignment="1" applyProtection="1">
      <alignment horizontal="right" vertical="top" wrapText="1"/>
    </xf>
    <xf numFmtId="0" fontId="5" fillId="0" borderId="0" xfId="17" applyAlignment="1" applyProtection="1">
      <alignment horizontal="right" vertical="top" wrapText="1"/>
    </xf>
    <xf numFmtId="0" fontId="5" fillId="0" borderId="4" xfId="17" applyBorder="1" applyAlignment="1" applyProtection="1">
      <alignment horizontal="right" vertical="top" wrapText="1"/>
    </xf>
    <xf numFmtId="4" fontId="10" fillId="0" borderId="0" xfId="0" applyNumberFormat="1" applyFont="1" applyFill="1" applyBorder="1" applyAlignment="1" applyProtection="1">
      <alignment horizontal="center" vertical="center" wrapText="1" shrinkToFit="1"/>
    </xf>
    <xf numFmtId="4" fontId="10" fillId="0" borderId="4" xfId="0" applyNumberFormat="1" applyFont="1" applyFill="1" applyBorder="1" applyAlignment="1" applyProtection="1">
      <alignment horizontal="center" vertical="center" wrapText="1" shrinkToFit="1"/>
    </xf>
    <xf numFmtId="0" fontId="6" fillId="0" borderId="4" xfId="17" applyFont="1" applyBorder="1" applyAlignment="1" applyProtection="1">
      <alignment horizontal="right" vertical="top" wrapText="1"/>
    </xf>
    <xf numFmtId="49" fontId="1" fillId="3" borderId="0" xfId="0" applyNumberFormat="1" applyFont="1" applyFill="1" applyBorder="1" applyAlignment="1" applyProtection="1">
      <alignment horizontal="center" vertical="top" wrapText="1" shrinkToFit="1"/>
      <protection locked="0"/>
    </xf>
    <xf numFmtId="49" fontId="1" fillId="0" borderId="0" xfId="0" applyNumberFormat="1" applyFont="1" applyFill="1" applyBorder="1" applyAlignment="1" applyProtection="1">
      <alignment horizontal="center" vertical="top" wrapText="1" shrinkToFit="1"/>
      <protection locked="0"/>
    </xf>
    <xf numFmtId="49" fontId="1" fillId="0" borderId="4" xfId="0" applyNumberFormat="1" applyFont="1" applyFill="1" applyBorder="1" applyAlignment="1" applyProtection="1">
      <alignment horizontal="center" vertical="top" wrapText="1" shrinkToFit="1"/>
      <protection locked="0"/>
    </xf>
    <xf numFmtId="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1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7" applyAlignment="1" applyProtection="1">
      <alignment horizontal="center" vertical="top" wrapText="1"/>
      <protection locked="0"/>
    </xf>
  </cellXfs>
  <cellStyles count="21">
    <cellStyle name="Euro" xfId="1" xr:uid="{00000000-0005-0000-0000-000000000000}"/>
    <cellStyle name="Milliers 2" xfId="2" xr:uid="{00000000-0005-0000-0000-000001000000}"/>
    <cellStyle name="Milliers 3" xfId="3" xr:uid="{00000000-0005-0000-0000-000002000000}"/>
    <cellStyle name="Monétaire 2" xfId="4" xr:uid="{00000000-0005-0000-0000-000003000000}"/>
    <cellStyle name="Monétaire 2 2" xfId="5" xr:uid="{00000000-0005-0000-0000-000004000000}"/>
    <cellStyle name="Monétaire 2 2 2" xfId="6" xr:uid="{00000000-0005-0000-0000-000005000000}"/>
    <cellStyle name="Monétaire 2 2 3" xfId="7" xr:uid="{00000000-0005-0000-0000-000006000000}"/>
    <cellStyle name="Monétaire 2 2 4" xfId="8" xr:uid="{00000000-0005-0000-0000-000007000000}"/>
    <cellStyle name="Monétaire 2 3" xfId="9" xr:uid="{00000000-0005-0000-0000-000008000000}"/>
    <cellStyle name="Monétaire 2 4" xfId="10" xr:uid="{00000000-0005-0000-0000-000009000000}"/>
    <cellStyle name="Monétaire 2 5" xfId="11" xr:uid="{00000000-0005-0000-0000-00000A000000}"/>
    <cellStyle name="Monétaire 3" xfId="12" xr:uid="{00000000-0005-0000-0000-00000B000000}"/>
    <cellStyle name="Monétaire 3 2" xfId="13" xr:uid="{00000000-0005-0000-0000-00000C000000}"/>
    <cellStyle name="Monétaire 3 3" xfId="14" xr:uid="{00000000-0005-0000-0000-00000D000000}"/>
    <cellStyle name="Monétaire 3 4" xfId="15" xr:uid="{00000000-0005-0000-0000-00000E000000}"/>
    <cellStyle name="Normal" xfId="0" builtinId="0"/>
    <cellStyle name="Normal 2" xfId="16" xr:uid="{00000000-0005-0000-0000-000010000000}"/>
    <cellStyle name="Normal 3" xfId="17" xr:uid="{00000000-0005-0000-0000-000011000000}"/>
    <cellStyle name="Normal 4" xfId="18" xr:uid="{00000000-0005-0000-0000-000012000000}"/>
    <cellStyle name="Normal 4 2" xfId="19" xr:uid="{00000000-0005-0000-0000-000013000000}"/>
    <cellStyle name="Normal_Estim PRO" xfId="20" xr:uid="{00000000-0005-0000-0000-000014000000}"/>
  </cellStyles>
  <dxfs count="36"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</xdr:col>
      <xdr:colOff>1466850</xdr:colOff>
      <xdr:row>4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401B79A-E00E-4341-8D56-7C27414B182A}"/>
            </a:ext>
          </a:extLst>
        </xdr:cNvPr>
        <xdr:cNvSpPr>
          <a:spLocks noChangeArrowheads="1"/>
        </xdr:cNvSpPr>
      </xdr:nvSpPr>
      <xdr:spPr bwMode="auto">
        <a:xfrm>
          <a:off x="0" y="9525"/>
          <a:ext cx="2289810" cy="1209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38100</xdr:rowOff>
    </xdr:from>
    <xdr:to>
      <xdr:col>1</xdr:col>
      <xdr:colOff>190500</xdr:colOff>
      <xdr:row>3</xdr:row>
      <xdr:rowOff>0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3BE12BB2-EE3B-45EA-B06E-2FF0DB83C9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975360" cy="929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1</xdr:col>
      <xdr:colOff>190500</xdr:colOff>
      <xdr:row>3</xdr:row>
      <xdr:rowOff>0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B89E3EFE-1C4C-4F9F-B043-BF84519115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975360" cy="929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D945"/>
  <sheetViews>
    <sheetView workbookViewId="0"/>
  </sheetViews>
  <sheetFormatPr baseColWidth="10" defaultRowHeight="13.2" x14ac:dyDescent="0.25"/>
  <sheetData>
    <row r="1" spans="1:4" x14ac:dyDescent="0.25">
      <c r="A1" t="s">
        <v>269</v>
      </c>
      <c r="B1" t="s">
        <v>1129</v>
      </c>
      <c r="C1" t="s">
        <v>1130</v>
      </c>
      <c r="D1" t="s">
        <v>1131</v>
      </c>
    </row>
    <row r="2" spans="1:4" x14ac:dyDescent="0.25">
      <c r="A2" s="1" t="s">
        <v>272</v>
      </c>
      <c r="B2" s="3" t="e">
        <f>IF(ISTEXT(([0]!P_1_1.1.1 [0]!Qté)),0,([0]!P_1_1.1.1 [0]!Qté))</f>
        <v>#REF!</v>
      </c>
      <c r="C2" s="2" t="e">
        <f>([0]!P_1_1.1.1 [0]!PU)</f>
        <v>#REF!</v>
      </c>
      <c r="D2" s="2" t="e">
        <f>IF(ISTEXT(([0]!P_1_1.1.1 [0]!MT)),0,([0]!P_1_1.1.1 [0]!MT))</f>
        <v>#REF!</v>
      </c>
    </row>
    <row r="3" spans="1:4" x14ac:dyDescent="0.25">
      <c r="A3" s="1" t="s">
        <v>273</v>
      </c>
      <c r="B3" s="3" t="e">
        <f>IF(ISTEXT(([0]!P_1_1.1.2 [0]!Qté)),0,([0]!P_1_1.1.2 [0]!Qté))</f>
        <v>#REF!</v>
      </c>
      <c r="C3" s="2" t="e">
        <f>([0]!P_1_1.1.2 [0]!PU)</f>
        <v>#REF!</v>
      </c>
      <c r="D3" s="2" t="e">
        <f>IF(ISTEXT(([0]!P_1_1.1.2 [0]!MT)),0,([0]!P_1_1.1.2 [0]!MT))</f>
        <v>#REF!</v>
      </c>
    </row>
    <row r="4" spans="1:4" x14ac:dyDescent="0.25">
      <c r="A4" s="1" t="s">
        <v>274</v>
      </c>
      <c r="B4" s="3" t="e">
        <f>IF(ISTEXT(([0]!P_1_1.2 [0]!Qté)),0,([0]!P_1_1.2 [0]!Qté))</f>
        <v>#REF!</v>
      </c>
      <c r="C4" s="2" t="e">
        <f>([0]!P_1_1.2 [0]!PU)</f>
        <v>#REF!</v>
      </c>
      <c r="D4" s="2" t="e">
        <f>IF(ISTEXT(([0]!P_1_1.2 [0]!MT)),0,([0]!P_1_1.2 [0]!MT))</f>
        <v>#REF!</v>
      </c>
    </row>
    <row r="5" spans="1:4" x14ac:dyDescent="0.25">
      <c r="A5" s="1" t="s">
        <v>1104</v>
      </c>
      <c r="B5" s="3" t="e">
        <f>IF(ISTEXT(([0]!P_1_1.3.1.1 [0]!Qté)),0,([0]!P_1_1.3.1.1 [0]!Qté))</f>
        <v>#REF!</v>
      </c>
      <c r="C5" s="2" t="e">
        <f>([0]!P_1_1.3.1.1 [0]!PU)</f>
        <v>#REF!</v>
      </c>
      <c r="D5" s="2" t="e">
        <f>IF(ISTEXT(([0]!P_1_1.3.1.1 [0]!MT)),0,([0]!P_1_1.3.1.1 [0]!MT))</f>
        <v>#REF!</v>
      </c>
    </row>
    <row r="6" spans="1:4" x14ac:dyDescent="0.25">
      <c r="A6" s="1" t="s">
        <v>1105</v>
      </c>
      <c r="B6" s="3" t="e">
        <f>IF(ISTEXT(([0]!P_1_1.3.1.2 [0]!Qté)),0,([0]!P_1_1.3.1.2 [0]!Qté))</f>
        <v>#REF!</v>
      </c>
      <c r="C6" s="2" t="e">
        <f>([0]!P_1_1.3.1.2 [0]!PU)</f>
        <v>#REF!</v>
      </c>
      <c r="D6" s="2" t="e">
        <f>IF(ISTEXT(([0]!P_1_1.3.1.2 [0]!MT)),0,([0]!P_1_1.3.1.2 [0]!MT))</f>
        <v>#REF!</v>
      </c>
    </row>
    <row r="7" spans="1:4" x14ac:dyDescent="0.25">
      <c r="A7" s="1" t="s">
        <v>1106</v>
      </c>
      <c r="B7" s="3" t="e">
        <f>IF(ISTEXT(([0]!P_1_1.3.1.3 [0]!Qté)),0,([0]!P_1_1.3.1.3 [0]!Qté))</f>
        <v>#REF!</v>
      </c>
      <c r="C7" s="2" t="e">
        <f>([0]!P_1_1.3.1.3 [0]!PU)</f>
        <v>#REF!</v>
      </c>
      <c r="D7" s="2" t="e">
        <f>IF(ISTEXT(([0]!P_1_1.3.1.3 [0]!MT)),0,([0]!P_1_1.3.1.3 [0]!MT))</f>
        <v>#REF!</v>
      </c>
    </row>
    <row r="8" spans="1:4" x14ac:dyDescent="0.25">
      <c r="A8" s="1" t="s">
        <v>1107</v>
      </c>
      <c r="B8" s="3" t="e">
        <f>IF(ISTEXT(([0]!P_1_1.3.1.4 [0]!Qté)),0,([0]!P_1_1.3.1.4 [0]!Qté))</f>
        <v>#REF!</v>
      </c>
      <c r="C8" s="2" t="e">
        <f>([0]!P_1_1.3.1.4 [0]!PU)</f>
        <v>#REF!</v>
      </c>
      <c r="D8" s="2" t="e">
        <f>IF(ISTEXT(([0]!P_1_1.3.1.4 [0]!MT)),0,([0]!P_1_1.3.1.4 [0]!MT))</f>
        <v>#REF!</v>
      </c>
    </row>
    <row r="9" spans="1:4" x14ac:dyDescent="0.25">
      <c r="A9" s="1" t="s">
        <v>1108</v>
      </c>
      <c r="B9" s="3" t="e">
        <f>IF(ISTEXT(([0]!P_1_1.3.1.5 [0]!Qté)),0,([0]!P_1_1.3.1.5 [0]!Qté))</f>
        <v>#REF!</v>
      </c>
      <c r="C9" s="2" t="e">
        <f>([0]!P_1_1.3.1.5 [0]!PU)</f>
        <v>#REF!</v>
      </c>
      <c r="D9" s="2" t="e">
        <f>IF(ISTEXT(([0]!P_1_1.3.1.5 [0]!MT)),0,([0]!P_1_1.3.1.5 [0]!MT))</f>
        <v>#REF!</v>
      </c>
    </row>
    <row r="10" spans="1:4" x14ac:dyDescent="0.25">
      <c r="A10" s="1" t="s">
        <v>1109</v>
      </c>
      <c r="B10" s="3" t="e">
        <f>IF(ISTEXT(([0]!P_1_1.3.1.6 [0]!Qté)),0,([0]!P_1_1.3.1.6 [0]!Qté))</f>
        <v>#REF!</v>
      </c>
      <c r="C10" s="2" t="e">
        <f>([0]!P_1_1.3.1.6 [0]!PU)</f>
        <v>#REF!</v>
      </c>
      <c r="D10" s="2" t="e">
        <f>IF(ISTEXT(([0]!P_1_1.3.1.6 [0]!MT)),0,([0]!P_1_1.3.1.6 [0]!MT))</f>
        <v>#REF!</v>
      </c>
    </row>
    <row r="11" spans="1:4" x14ac:dyDescent="0.25">
      <c r="A11" s="1" t="s">
        <v>1110</v>
      </c>
      <c r="B11" s="3" t="e">
        <f>IF(ISTEXT(([0]!P_1_1.3.1.7 [0]!Qté)),0,([0]!P_1_1.3.1.7 [0]!Qté))</f>
        <v>#REF!</v>
      </c>
      <c r="C11" s="2" t="e">
        <f>([0]!P_1_1.3.1.7 [0]!PU)</f>
        <v>#REF!</v>
      </c>
      <c r="D11" s="2" t="e">
        <f>IF(ISTEXT(([0]!P_1_1.3.1.7 [0]!MT)),0,([0]!P_1_1.3.1.7 [0]!MT))</f>
        <v>#REF!</v>
      </c>
    </row>
    <row r="12" spans="1:4" x14ac:dyDescent="0.25">
      <c r="A12" s="1" t="s">
        <v>1111</v>
      </c>
      <c r="B12" s="3" t="e">
        <f>IF(ISTEXT(([0]!P_1_1.3.1.8 [0]!Qté)),0,([0]!P_1_1.3.1.8 [0]!Qté))</f>
        <v>#REF!</v>
      </c>
      <c r="C12" s="2" t="e">
        <f>([0]!P_1_1.3.1.8 [0]!PU)</f>
        <v>#REF!</v>
      </c>
      <c r="D12" s="2" t="e">
        <f>IF(ISTEXT(([0]!P_1_1.3.1.8 [0]!MT)),0,([0]!P_1_1.3.1.8 [0]!MT))</f>
        <v>#REF!</v>
      </c>
    </row>
    <row r="13" spans="1:4" x14ac:dyDescent="0.25">
      <c r="A13" s="1" t="s">
        <v>416</v>
      </c>
      <c r="B13" s="3" t="e">
        <f>IF(ISTEXT(([0]!P_1_1.3.2.1 [0]!Qté)),0,([0]!P_1_1.3.2.1 [0]!Qté))</f>
        <v>#REF!</v>
      </c>
      <c r="C13" s="2" t="e">
        <f>([0]!P_1_1.3.2.1 [0]!PU)</f>
        <v>#REF!</v>
      </c>
      <c r="D13" s="2" t="e">
        <f>IF(ISTEXT(([0]!P_1_1.3.2.1 [0]!MT)),0,([0]!P_1_1.3.2.1 [0]!MT))</f>
        <v>#REF!</v>
      </c>
    </row>
    <row r="14" spans="1:4" x14ac:dyDescent="0.25">
      <c r="A14" s="1" t="s">
        <v>1113</v>
      </c>
      <c r="B14" s="3" t="e">
        <f>IF(ISTEXT(([0]!P_1_1.3.2.2 [0]!Qté)),0,([0]!P_1_1.3.2.2 [0]!Qté))</f>
        <v>#REF!</v>
      </c>
      <c r="C14" s="2" t="e">
        <f>([0]!P_1_1.3.2.2 [0]!PU)</f>
        <v>#REF!</v>
      </c>
      <c r="D14" s="2" t="e">
        <f>IF(ISTEXT(([0]!P_1_1.3.2.2 [0]!MT)),0,([0]!P_1_1.3.2.2 [0]!MT))</f>
        <v>#REF!</v>
      </c>
    </row>
    <row r="15" spans="1:4" x14ac:dyDescent="0.25">
      <c r="A15" s="1" t="s">
        <v>1114</v>
      </c>
      <c r="B15" s="3" t="e">
        <f>IF(ISTEXT(([0]!P_1_1.3.2.3 [0]!Qté)),0,([0]!P_1_1.3.2.3 [0]!Qté))</f>
        <v>#REF!</v>
      </c>
      <c r="C15" s="2" t="e">
        <f>([0]!P_1_1.3.2.3 [0]!PU)</f>
        <v>#REF!</v>
      </c>
      <c r="D15" s="2" t="e">
        <f>IF(ISTEXT(([0]!P_1_1.3.2.3 [0]!MT)),0,([0]!P_1_1.3.2.3 [0]!MT))</f>
        <v>#REF!</v>
      </c>
    </row>
    <row r="16" spans="1:4" x14ac:dyDescent="0.25">
      <c r="A16" s="1" t="s">
        <v>1115</v>
      </c>
      <c r="B16" s="3" t="e">
        <f>IF(ISTEXT(([0]!P_1_1.3.2.4 [0]!Qté)),0,([0]!P_1_1.3.2.4 [0]!Qté))</f>
        <v>#REF!</v>
      </c>
      <c r="C16" s="2" t="e">
        <f>([0]!P_1_1.3.2.4 [0]!PU)</f>
        <v>#REF!</v>
      </c>
      <c r="D16" s="2" t="e">
        <f>IF(ISTEXT(([0]!P_1_1.3.2.4 [0]!MT)),0,([0]!P_1_1.3.2.4 [0]!MT))</f>
        <v>#REF!</v>
      </c>
    </row>
    <row r="17" spans="1:4" x14ac:dyDescent="0.25">
      <c r="A17" s="1" t="s">
        <v>417</v>
      </c>
      <c r="B17" s="3" t="e">
        <f>IF(ISTEXT(([0]!P_1_1.3.3.1 [0]!Qté)),0,([0]!P_1_1.3.3.1 [0]!Qté))</f>
        <v>#REF!</v>
      </c>
      <c r="C17" s="2" t="e">
        <f>([0]!P_1_1.3.3.1 [0]!PU)</f>
        <v>#REF!</v>
      </c>
      <c r="D17" s="2" t="e">
        <f>IF(ISTEXT(([0]!P_1_1.3.3.1 [0]!MT)),0,([0]!P_1_1.3.3.1 [0]!MT))</f>
        <v>#REF!</v>
      </c>
    </row>
    <row r="18" spans="1:4" x14ac:dyDescent="0.25">
      <c r="A18" s="1" t="s">
        <v>1117</v>
      </c>
      <c r="B18" s="3" t="e">
        <f>IF(ISTEXT(([0]!P_1_1.3.3.2 [0]!Qté)),0,([0]!P_1_1.3.3.2 [0]!Qté))</f>
        <v>#REF!</v>
      </c>
      <c r="C18" s="2" t="e">
        <f>([0]!P_1_1.3.3.2 [0]!PU)</f>
        <v>#REF!</v>
      </c>
      <c r="D18" s="2" t="e">
        <f>IF(ISTEXT(([0]!P_1_1.3.3.2 [0]!MT)),0,([0]!P_1_1.3.3.2 [0]!MT))</f>
        <v>#REF!</v>
      </c>
    </row>
    <row r="19" spans="1:4" x14ac:dyDescent="0.25">
      <c r="A19" s="1" t="s">
        <v>1118</v>
      </c>
      <c r="B19" s="3" t="e">
        <f>IF(ISTEXT(([0]!P_1_1.3.3.3 [0]!Qté)),0,([0]!P_1_1.3.3.3 [0]!Qté))</f>
        <v>#REF!</v>
      </c>
      <c r="C19" s="2" t="e">
        <f>([0]!P_1_1.3.3.3 [0]!PU)</f>
        <v>#REF!</v>
      </c>
      <c r="D19" s="2" t="e">
        <f>IF(ISTEXT(([0]!P_1_1.3.3.3 [0]!MT)),0,([0]!P_1_1.3.3.3 [0]!MT))</f>
        <v>#REF!</v>
      </c>
    </row>
    <row r="20" spans="1:4" x14ac:dyDescent="0.25">
      <c r="A20" s="1" t="s">
        <v>1119</v>
      </c>
      <c r="B20" s="3" t="e">
        <f>IF(ISTEXT(([0]!P_1_1.3.3.4 [0]!Qté)),0,([0]!P_1_1.3.3.4 [0]!Qté))</f>
        <v>#REF!</v>
      </c>
      <c r="C20" s="2" t="e">
        <f>([0]!P_1_1.3.3.4 [0]!PU)</f>
        <v>#REF!</v>
      </c>
      <c r="D20" s="2" t="e">
        <f>IF(ISTEXT(([0]!P_1_1.3.3.4 [0]!MT)),0,([0]!P_1_1.3.3.4 [0]!MT))</f>
        <v>#REF!</v>
      </c>
    </row>
    <row r="21" spans="1:4" x14ac:dyDescent="0.25">
      <c r="A21" s="1" t="s">
        <v>1120</v>
      </c>
      <c r="B21" s="3" t="e">
        <f>IF(ISTEXT(([0]!P_1_1.3.4 [0]!Qté)),0,([0]!P_1_1.3.4 [0]!Qté))</f>
        <v>#REF!</v>
      </c>
      <c r="C21" s="2" t="e">
        <f>([0]!P_1_1.3.4 [0]!PU)</f>
        <v>#REF!</v>
      </c>
      <c r="D21" s="2" t="e">
        <f>IF(ISTEXT(([0]!P_1_1.3.4 [0]!MT)),0,([0]!P_1_1.3.4 [0]!MT))</f>
        <v>#REF!</v>
      </c>
    </row>
    <row r="22" spans="1:4" x14ac:dyDescent="0.25">
      <c r="A22" s="1" t="s">
        <v>1122</v>
      </c>
      <c r="B22" s="3" t="e">
        <f>IF(ISTEXT(([0]!P_1_1.3.5 [0]!Qté)),0,([0]!P_1_1.3.5 [0]!Qté))</f>
        <v>#REF!</v>
      </c>
      <c r="C22" s="2" t="e">
        <f>([0]!P_1_1.3.5 [0]!PU)</f>
        <v>#REF!</v>
      </c>
      <c r="D22" s="2" t="e">
        <f>IF(ISTEXT(([0]!P_1_1.3.5 [0]!MT)),0,([0]!P_1_1.3.5 [0]!MT))</f>
        <v>#REF!</v>
      </c>
    </row>
    <row r="23" spans="1:4" x14ac:dyDescent="0.25">
      <c r="A23" s="1" t="s">
        <v>1123</v>
      </c>
      <c r="B23" s="3" t="e">
        <f>IF(ISTEXT(([0]!P_1_1.3.6 [0]!Qté)),0,([0]!P_1_1.3.6 [0]!Qté))</f>
        <v>#REF!</v>
      </c>
      <c r="C23" s="2" t="e">
        <f>([0]!P_1_1.3.6 [0]!PU)</f>
        <v>#REF!</v>
      </c>
      <c r="D23" s="2" t="e">
        <f>IF(ISTEXT(([0]!P_1_1.3.6 [0]!MT)),0,([0]!P_1_1.3.6 [0]!MT))</f>
        <v>#REF!</v>
      </c>
    </row>
    <row r="24" spans="1:4" x14ac:dyDescent="0.25">
      <c r="A24" s="1" t="s">
        <v>310</v>
      </c>
      <c r="B24" s="3" t="e">
        <f>IF(ISTEXT(([0]!P_1_1.3.7 [0]!Qté)),0,([0]!P_1_1.3.7 [0]!Qté))</f>
        <v>#REF!</v>
      </c>
      <c r="C24" s="2" t="e">
        <f>([0]!P_1_1.3.7 [0]!PU)</f>
        <v>#REF!</v>
      </c>
      <c r="D24" s="2" t="e">
        <f>IF(ISTEXT(([0]!P_1_1.3.7 [0]!MT)),0,([0]!P_1_1.3.7 [0]!MT))</f>
        <v>#REF!</v>
      </c>
    </row>
    <row r="25" spans="1:4" x14ac:dyDescent="0.25">
      <c r="A25" s="1" t="s">
        <v>311</v>
      </c>
      <c r="B25" s="3" t="e">
        <f>IF(ISTEXT(([0]!P_1_1.3.8 [0]!Qté)),0,([0]!P_1_1.3.8 [0]!Qté))</f>
        <v>#REF!</v>
      </c>
      <c r="C25" s="2" t="e">
        <f>([0]!P_1_1.3.8 [0]!PU)</f>
        <v>#REF!</v>
      </c>
      <c r="D25" s="2" t="e">
        <f>IF(ISTEXT(([0]!P_1_1.3.8 [0]!MT)),0,([0]!P_1_1.3.8 [0]!MT))</f>
        <v>#REF!</v>
      </c>
    </row>
    <row r="26" spans="1:4" x14ac:dyDescent="0.25">
      <c r="A26" s="1" t="s">
        <v>312</v>
      </c>
      <c r="B26" s="3" t="e">
        <f>IF(ISTEXT(([0]!P_1_1.3.9 [0]!Qté)),0,([0]!P_1_1.3.9 [0]!Qté))</f>
        <v>#REF!</v>
      </c>
      <c r="C26" s="2" t="e">
        <f>([0]!P_1_1.3.9 [0]!PU)</f>
        <v>#REF!</v>
      </c>
      <c r="D26" s="2" t="e">
        <f>IF(ISTEXT(([0]!P_1_1.3.9 [0]!MT)),0,([0]!P_1_1.3.9 [0]!MT))</f>
        <v>#REF!</v>
      </c>
    </row>
    <row r="27" spans="1:4" x14ac:dyDescent="0.25">
      <c r="A27" s="1" t="s">
        <v>313</v>
      </c>
      <c r="B27" s="3" t="e">
        <f>IF(ISTEXT(([0]!P_1_1.3.10 [0]!Qté)),0,([0]!P_1_1.3.10 [0]!Qté))</f>
        <v>#REF!</v>
      </c>
      <c r="C27" s="2" t="e">
        <f>([0]!P_1_1.3.10 [0]!PU)</f>
        <v>#REF!</v>
      </c>
      <c r="D27" s="2" t="e">
        <f>IF(ISTEXT(([0]!P_1_1.3.10 [0]!MT)),0,([0]!P_1_1.3.10 [0]!MT))</f>
        <v>#REF!</v>
      </c>
    </row>
    <row r="28" spans="1:4" x14ac:dyDescent="0.25">
      <c r="A28" s="1" t="s">
        <v>314</v>
      </c>
      <c r="B28" s="3" t="e">
        <f>IF(ISTEXT(([0]!P_1_1.3.11 [0]!Qté)),0,([0]!P_1_1.3.11 [0]!Qté))</f>
        <v>#REF!</v>
      </c>
      <c r="C28" s="2" t="e">
        <f>([0]!P_1_1.3.11 [0]!PU)</f>
        <v>#REF!</v>
      </c>
      <c r="D28" s="2" t="e">
        <f>IF(ISTEXT(([0]!P_1_1.3.11 [0]!MT)),0,([0]!P_1_1.3.11 [0]!MT))</f>
        <v>#REF!</v>
      </c>
    </row>
    <row r="29" spans="1:4" x14ac:dyDescent="0.25">
      <c r="A29" s="1" t="s">
        <v>1134</v>
      </c>
      <c r="B29" s="3" t="e">
        <f>IF(ISTEXT(([0]!P_1_1.4.1 [0]!Qté)),0,([0]!P_1_1.4.1 [0]!Qté))</f>
        <v>#REF!</v>
      </c>
      <c r="C29" s="2" t="e">
        <f>([0]!P_1_1.4.1 [0]!PU)</f>
        <v>#REF!</v>
      </c>
      <c r="D29" s="2" t="e">
        <f>IF(ISTEXT(([0]!P_1_1.4.1 [0]!MT)),0,([0]!P_1_1.4.1 [0]!MT))</f>
        <v>#REF!</v>
      </c>
    </row>
    <row r="30" spans="1:4" x14ac:dyDescent="0.25">
      <c r="A30" s="1" t="s">
        <v>1136</v>
      </c>
      <c r="B30" s="3" t="e">
        <f>IF(ISTEXT(([0]!P_1_1.4.2 [0]!Qté)),0,([0]!P_1_1.4.2 [0]!Qté))</f>
        <v>#REF!</v>
      </c>
      <c r="C30" s="2" t="e">
        <f>([0]!P_1_1.4.2 [0]!PU)</f>
        <v>#REF!</v>
      </c>
      <c r="D30" s="2" t="e">
        <f>IF(ISTEXT(([0]!P_1_1.4.2 [0]!MT)),0,([0]!P_1_1.4.2 [0]!MT))</f>
        <v>#REF!</v>
      </c>
    </row>
    <row r="31" spans="1:4" x14ac:dyDescent="0.25">
      <c r="A31" s="1" t="s">
        <v>1138</v>
      </c>
      <c r="B31" s="3" t="e">
        <f>IF(ISTEXT(([0]!P_1_1.4.3 [0]!Qté)),0,([0]!P_1_1.4.3 [0]!Qté))</f>
        <v>#REF!</v>
      </c>
      <c r="C31" s="2" t="e">
        <f>([0]!P_1_1.4.3 [0]!PU)</f>
        <v>#REF!</v>
      </c>
      <c r="D31" s="2" t="e">
        <f>IF(ISTEXT(([0]!P_1_1.4.3 [0]!MT)),0,([0]!P_1_1.4.3 [0]!MT))</f>
        <v>#REF!</v>
      </c>
    </row>
    <row r="32" spans="1:4" x14ac:dyDescent="0.25">
      <c r="A32" s="1" t="s">
        <v>1140</v>
      </c>
      <c r="B32" s="3" t="e">
        <f>IF(ISTEXT(([0]!P_1_1.5 [0]!Qté)),0,([0]!P_1_1.5 [0]!Qté))</f>
        <v>#REF!</v>
      </c>
      <c r="C32" s="2" t="e">
        <f>([0]!P_1_1.5 [0]!PU)</f>
        <v>#REF!</v>
      </c>
      <c r="D32" s="2" t="e">
        <f>IF(ISTEXT(([0]!P_1_1.5 [0]!MT)),0,([0]!P_1_1.5 [0]!MT))</f>
        <v>#REF!</v>
      </c>
    </row>
    <row r="33" spans="1:4" x14ac:dyDescent="0.25">
      <c r="A33" s="1" t="s">
        <v>1141</v>
      </c>
      <c r="B33" s="3" t="e">
        <f>IF(ISTEXT(([0]!P_1_1.6 [0]!Qté)),0,([0]!P_1_1.6 [0]!Qté))</f>
        <v>#REF!</v>
      </c>
      <c r="C33" s="2" t="e">
        <f>([0]!P_1_1.6 [0]!PU)</f>
        <v>#REF!</v>
      </c>
      <c r="D33" s="2" t="e">
        <f>IF(ISTEXT(([0]!P_1_1.6 [0]!MT)),0,([0]!P_1_1.6 [0]!MT))</f>
        <v>#REF!</v>
      </c>
    </row>
    <row r="34" spans="1:4" x14ac:dyDescent="0.25">
      <c r="A34" s="1" t="s">
        <v>317</v>
      </c>
      <c r="B34" s="3" t="e">
        <f>IF(ISTEXT(([0]!P_1_1.7.1 [0]!Qté)),0,([0]!P_1_1.7.1 [0]!Qté))</f>
        <v>#REF!</v>
      </c>
      <c r="C34" s="2" t="e">
        <f>([0]!P_1_1.7.1 [0]!PU)</f>
        <v>#REF!</v>
      </c>
      <c r="D34" s="2" t="e">
        <f>IF(ISTEXT(([0]!P_1_1.7.1 [0]!MT)),0,([0]!P_1_1.7.1 [0]!MT))</f>
        <v>#REF!</v>
      </c>
    </row>
    <row r="35" spans="1:4" x14ac:dyDescent="0.25">
      <c r="A35" s="1" t="s">
        <v>318</v>
      </c>
      <c r="B35" s="3" t="e">
        <f>IF(ISTEXT(([0]!P_1_1.7.2 [0]!Qté)),0,([0]!P_1_1.7.2 [0]!Qté))</f>
        <v>#REF!</v>
      </c>
      <c r="C35" s="2" t="e">
        <f>([0]!P_1_1.7.2 [0]!PU)</f>
        <v>#REF!</v>
      </c>
      <c r="D35" s="2" t="e">
        <f>IF(ISTEXT(([0]!P_1_1.7.2 [0]!MT)),0,([0]!P_1_1.7.2 [0]!MT))</f>
        <v>#REF!</v>
      </c>
    </row>
    <row r="36" spans="1:4" x14ac:dyDescent="0.25">
      <c r="A36" s="1" t="s">
        <v>319</v>
      </c>
      <c r="B36" s="3" t="e">
        <f>IF(ISTEXT(([0]!P_1_1.7.3 [0]!Qté)),0,([0]!P_1_1.7.3 [0]!Qté))</f>
        <v>#REF!</v>
      </c>
      <c r="C36" s="2" t="e">
        <f>([0]!P_1_1.7.3 [0]!PU)</f>
        <v>#REF!</v>
      </c>
      <c r="D36" s="2" t="e">
        <f>IF(ISTEXT(([0]!P_1_1.7.3 [0]!MT)),0,([0]!P_1_1.7.3 [0]!MT))</f>
        <v>#REF!</v>
      </c>
    </row>
    <row r="37" spans="1:4" x14ac:dyDescent="0.25">
      <c r="A37" s="1" t="s">
        <v>15</v>
      </c>
      <c r="B37" s="3" t="e">
        <f>IF(ISTEXT(([0]!P_1_2.1.1 [0]!Qté)),0,([0]!P_1_2.1.1 [0]!Qté))</f>
        <v>#REF!</v>
      </c>
      <c r="C37" s="2" t="e">
        <f>([0]!P_1_2.1.1 [0]!PU)</f>
        <v>#REF!</v>
      </c>
      <c r="D37" s="2" t="e">
        <f>IF(ISTEXT(([0]!P_1_2.1.1 [0]!MT)),0,([0]!P_1_2.1.1 [0]!MT))</f>
        <v>#REF!</v>
      </c>
    </row>
    <row r="38" spans="1:4" x14ac:dyDescent="0.25">
      <c r="A38" s="1" t="s">
        <v>16</v>
      </c>
      <c r="B38" s="3" t="e">
        <f>IF(ISTEXT(([0]!P_1_2.1.2 [0]!Qté)),0,([0]!P_1_2.1.2 [0]!Qté))</f>
        <v>#REF!</v>
      </c>
      <c r="C38" s="2" t="e">
        <f>([0]!P_1_2.1.2 [0]!PU)</f>
        <v>#REF!</v>
      </c>
      <c r="D38" s="2" t="e">
        <f>IF(ISTEXT(([0]!P_1_2.1.2 [0]!MT)),0,([0]!P_1_2.1.2 [0]!MT))</f>
        <v>#REF!</v>
      </c>
    </row>
    <row r="39" spans="1:4" x14ac:dyDescent="0.25">
      <c r="A39" s="1" t="s">
        <v>17</v>
      </c>
      <c r="B39" s="3" t="e">
        <f>IF(ISTEXT(([0]!P_1_2.1.3 [0]!Qté)),0,([0]!P_1_2.1.3 [0]!Qté))</f>
        <v>#REF!</v>
      </c>
      <c r="C39" s="2" t="e">
        <f>([0]!P_1_2.1.3 [0]!PU)</f>
        <v>#REF!</v>
      </c>
      <c r="D39" s="2" t="e">
        <f>IF(ISTEXT(([0]!P_1_2.1.3 [0]!MT)),0,([0]!P_1_2.1.3 [0]!MT))</f>
        <v>#REF!</v>
      </c>
    </row>
    <row r="40" spans="1:4" x14ac:dyDescent="0.25">
      <c r="A40" s="1" t="s">
        <v>18</v>
      </c>
      <c r="B40" s="3" t="e">
        <f>IF(ISTEXT(([0]!P_1_2.1.4 [0]!Qté)),0,([0]!P_1_2.1.4 [0]!Qté))</f>
        <v>#REF!</v>
      </c>
      <c r="C40" s="2" t="e">
        <f>([0]!P_1_2.1.4 [0]!PU)</f>
        <v>#REF!</v>
      </c>
      <c r="D40" s="2" t="e">
        <f>IF(ISTEXT(([0]!P_1_2.1.4 [0]!MT)),0,([0]!P_1_2.1.4 [0]!MT))</f>
        <v>#REF!</v>
      </c>
    </row>
    <row r="41" spans="1:4" x14ac:dyDescent="0.25">
      <c r="A41" s="1" t="s">
        <v>19</v>
      </c>
      <c r="B41" s="3" t="e">
        <f>IF(ISTEXT(([0]!P_1_2.1.5 [0]!Qté)),0,([0]!P_1_2.1.5 [0]!Qté))</f>
        <v>#REF!</v>
      </c>
      <c r="C41" s="2" t="e">
        <f>([0]!P_1_2.1.5 [0]!PU)</f>
        <v>#REF!</v>
      </c>
      <c r="D41" s="2" t="e">
        <f>IF(ISTEXT(([0]!P_1_2.1.5 [0]!MT)),0,([0]!P_1_2.1.5 [0]!MT))</f>
        <v>#REF!</v>
      </c>
    </row>
    <row r="42" spans="1:4" x14ac:dyDescent="0.25">
      <c r="A42" s="1" t="s">
        <v>21</v>
      </c>
      <c r="B42" s="3" t="e">
        <f>IF(ISTEXT(([0]!P_1_2.2.1 [0]!Qté)),0,([0]!P_1_2.2.1 [0]!Qté))</f>
        <v>#REF!</v>
      </c>
      <c r="C42" s="2" t="e">
        <f>([0]!P_1_2.2.1 [0]!PU)</f>
        <v>#REF!</v>
      </c>
      <c r="D42" s="2" t="e">
        <f>IF(ISTEXT(([0]!P_1_2.2.1 [0]!MT)),0,([0]!P_1_2.2.1 [0]!MT))</f>
        <v>#REF!</v>
      </c>
    </row>
    <row r="43" spans="1:4" x14ac:dyDescent="0.25">
      <c r="A43" s="1" t="s">
        <v>22</v>
      </c>
      <c r="B43" s="3" t="e">
        <f>IF(ISTEXT(([0]!P_1_2.2.2 [0]!Qté)),0,([0]!P_1_2.2.2 [0]!Qté))</f>
        <v>#REF!</v>
      </c>
      <c r="C43" s="2" t="e">
        <f>([0]!P_1_2.2.2 [0]!PU)</f>
        <v>#REF!</v>
      </c>
      <c r="D43" s="2" t="e">
        <f>IF(ISTEXT(([0]!P_1_2.2.2 [0]!MT)),0,([0]!P_1_2.2.2 [0]!MT))</f>
        <v>#REF!</v>
      </c>
    </row>
    <row r="44" spans="1:4" x14ac:dyDescent="0.25">
      <c r="A44" s="1" t="s">
        <v>23</v>
      </c>
      <c r="B44" s="3" t="e">
        <f>IF(ISTEXT(([0]!P_1_2.2.3 [0]!Qté)),0,([0]!P_1_2.2.3 [0]!Qté))</f>
        <v>#REF!</v>
      </c>
      <c r="C44" s="2" t="e">
        <f>([0]!P_1_2.2.3 [0]!PU)</f>
        <v>#REF!</v>
      </c>
      <c r="D44" s="2" t="e">
        <f>IF(ISTEXT(([0]!P_1_2.2.3 [0]!MT)),0,([0]!P_1_2.2.3 [0]!MT))</f>
        <v>#REF!</v>
      </c>
    </row>
    <row r="45" spans="1:4" x14ac:dyDescent="0.25">
      <c r="A45" s="1" t="s">
        <v>24</v>
      </c>
      <c r="B45" s="3" t="e">
        <f>IF(ISTEXT(([0]!P_1_2.2.4 [0]!Qté)),0,([0]!P_1_2.2.4 [0]!Qté))</f>
        <v>#REF!</v>
      </c>
      <c r="C45" s="2" t="e">
        <f>([0]!P_1_2.2.4 [0]!PU)</f>
        <v>#REF!</v>
      </c>
      <c r="D45" s="2" t="e">
        <f>IF(ISTEXT(([0]!P_1_2.2.4 [0]!MT)),0,([0]!P_1_2.2.4 [0]!MT))</f>
        <v>#REF!</v>
      </c>
    </row>
    <row r="46" spans="1:4" x14ac:dyDescent="0.25">
      <c r="A46" s="1" t="s">
        <v>25</v>
      </c>
      <c r="B46" s="3" t="e">
        <f>IF(ISTEXT(([0]!P_1_2.2.5 [0]!Qté)),0,([0]!P_1_2.2.5 [0]!Qté))</f>
        <v>#REF!</v>
      </c>
      <c r="C46" s="2" t="e">
        <f>([0]!P_1_2.2.5 [0]!PU)</f>
        <v>#REF!</v>
      </c>
      <c r="D46" s="2" t="e">
        <f>IF(ISTEXT(([0]!P_1_2.2.5 [0]!MT)),0,([0]!P_1_2.2.5 [0]!MT))</f>
        <v>#REF!</v>
      </c>
    </row>
    <row r="47" spans="1:4" x14ac:dyDescent="0.25">
      <c r="A47" s="1" t="s">
        <v>26</v>
      </c>
      <c r="B47" s="3" t="e">
        <f>IF(ISTEXT(([0]!P_1_2.2.6 [0]!Qté)),0,([0]!P_1_2.2.6 [0]!Qté))</f>
        <v>#REF!</v>
      </c>
      <c r="C47" s="2" t="e">
        <f>([0]!P_1_2.2.6 [0]!PU)</f>
        <v>#REF!</v>
      </c>
      <c r="D47" s="2" t="e">
        <f>IF(ISTEXT(([0]!P_1_2.2.6 [0]!MT)),0,([0]!P_1_2.2.6 [0]!MT))</f>
        <v>#REF!</v>
      </c>
    </row>
    <row r="48" spans="1:4" x14ac:dyDescent="0.25">
      <c r="A48" s="1" t="s">
        <v>27</v>
      </c>
      <c r="B48" s="3" t="e">
        <f>IF(ISTEXT(([0]!P_1_2.2.7 [0]!Qté)),0,([0]!P_1_2.2.7 [0]!Qté))</f>
        <v>#REF!</v>
      </c>
      <c r="C48" s="2" t="e">
        <f>([0]!P_1_2.2.7 [0]!PU)</f>
        <v>#REF!</v>
      </c>
      <c r="D48" s="2" t="e">
        <f>IF(ISTEXT(([0]!P_1_2.2.7 [0]!MT)),0,([0]!P_1_2.2.7 [0]!MT))</f>
        <v>#REF!</v>
      </c>
    </row>
    <row r="49" spans="1:4" x14ac:dyDescent="0.25">
      <c r="A49" s="1" t="s">
        <v>28</v>
      </c>
      <c r="B49" s="3" t="e">
        <f>IF(ISTEXT(([0]!P_1_2.2.8 [0]!Qté)),0,([0]!P_1_2.2.8 [0]!Qté))</f>
        <v>#REF!</v>
      </c>
      <c r="C49" s="2" t="e">
        <f>([0]!P_1_2.2.8 [0]!PU)</f>
        <v>#REF!</v>
      </c>
      <c r="D49" s="2" t="e">
        <f>IF(ISTEXT(([0]!P_1_2.2.8 [0]!MT)),0,([0]!P_1_2.2.8 [0]!MT))</f>
        <v>#REF!</v>
      </c>
    </row>
    <row r="50" spans="1:4" x14ac:dyDescent="0.25">
      <c r="A50" s="1" t="s">
        <v>29</v>
      </c>
      <c r="B50" s="3" t="e">
        <f>IF(ISTEXT(([0]!P_1_2.3.1 [0]!Qté)),0,([0]!P_1_2.3.1 [0]!Qté))</f>
        <v>#REF!</v>
      </c>
      <c r="C50" s="2" t="e">
        <f>([0]!P_1_2.3.1 [0]!PU)</f>
        <v>#REF!</v>
      </c>
      <c r="D50" s="2" t="e">
        <f>IF(ISTEXT(([0]!P_1_2.3.1 [0]!MT)),0,([0]!P_1_2.3.1 [0]!MT))</f>
        <v>#REF!</v>
      </c>
    </row>
    <row r="51" spans="1:4" x14ac:dyDescent="0.25">
      <c r="A51" s="1" t="s">
        <v>30</v>
      </c>
      <c r="B51" s="3" t="e">
        <f>IF(ISTEXT(([0]!P_1_2.3.2 [0]!Qté)),0,([0]!P_1_2.3.2 [0]!Qté))</f>
        <v>#REF!</v>
      </c>
      <c r="C51" s="2" t="e">
        <f>([0]!P_1_2.3.2 [0]!PU)</f>
        <v>#REF!</v>
      </c>
      <c r="D51" s="2" t="e">
        <f>IF(ISTEXT(([0]!P_1_2.3.2 [0]!MT)),0,([0]!P_1_2.3.2 [0]!MT))</f>
        <v>#REF!</v>
      </c>
    </row>
    <row r="52" spans="1:4" x14ac:dyDescent="0.25">
      <c r="A52" s="1" t="s">
        <v>31</v>
      </c>
      <c r="B52" s="3" t="e">
        <f>IF(ISTEXT(([0]!P_1_2.3.3 [0]!Qté)),0,([0]!P_1_2.3.3 [0]!Qté))</f>
        <v>#REF!</v>
      </c>
      <c r="C52" s="2" t="e">
        <f>([0]!P_1_2.3.3 [0]!PU)</f>
        <v>#REF!</v>
      </c>
      <c r="D52" s="2" t="e">
        <f>IF(ISTEXT(([0]!P_1_2.3.3 [0]!MT)),0,([0]!P_1_2.3.3 [0]!MT))</f>
        <v>#REF!</v>
      </c>
    </row>
    <row r="53" spans="1:4" x14ac:dyDescent="0.25">
      <c r="A53" s="1" t="s">
        <v>32</v>
      </c>
      <c r="B53" s="3" t="e">
        <f>IF(ISTEXT(([0]!P_1_2.3.4 [0]!Qté)),0,([0]!P_1_2.3.4 [0]!Qté))</f>
        <v>#REF!</v>
      </c>
      <c r="C53" s="2" t="e">
        <f>([0]!P_1_2.3.4 [0]!PU)</f>
        <v>#REF!</v>
      </c>
      <c r="D53" s="2" t="e">
        <f>IF(ISTEXT(([0]!P_1_2.3.4 [0]!MT)),0,([0]!P_1_2.3.4 [0]!MT))</f>
        <v>#REF!</v>
      </c>
    </row>
    <row r="54" spans="1:4" x14ac:dyDescent="0.25">
      <c r="A54" s="1" t="s">
        <v>33</v>
      </c>
      <c r="B54" s="3" t="e">
        <f>IF(ISTEXT(([0]!P_1_2.3.5 [0]!Qté)),0,([0]!P_1_2.3.5 [0]!Qté))</f>
        <v>#REF!</v>
      </c>
      <c r="C54" s="2" t="e">
        <f>([0]!P_1_2.3.5 [0]!PU)</f>
        <v>#REF!</v>
      </c>
      <c r="D54" s="2" t="e">
        <f>IF(ISTEXT(([0]!P_1_2.3.5 [0]!MT)),0,([0]!P_1_2.3.5 [0]!MT))</f>
        <v>#REF!</v>
      </c>
    </row>
    <row r="55" spans="1:4" x14ac:dyDescent="0.25">
      <c r="A55" s="1" t="s">
        <v>34</v>
      </c>
      <c r="B55" s="3" t="e">
        <f>IF(ISTEXT(([0]!P_1_2.4.1 [0]!Qté)),0,([0]!P_1_2.4.1 [0]!Qté))</f>
        <v>#REF!</v>
      </c>
      <c r="C55" s="2" t="e">
        <f>([0]!P_1_2.4.1 [0]!PU)</f>
        <v>#REF!</v>
      </c>
      <c r="D55" s="2" t="e">
        <f>IF(ISTEXT(([0]!P_1_2.4.1 [0]!MT)),0,([0]!P_1_2.4.1 [0]!MT))</f>
        <v>#REF!</v>
      </c>
    </row>
    <row r="56" spans="1:4" x14ac:dyDescent="0.25">
      <c r="A56" s="1" t="s">
        <v>35</v>
      </c>
      <c r="B56" s="3" t="e">
        <f>IF(ISTEXT(([0]!P_1_2.4.2 [0]!Qté)),0,([0]!P_1_2.4.2 [0]!Qté))</f>
        <v>#REF!</v>
      </c>
      <c r="C56" s="2" t="e">
        <f>([0]!P_1_2.4.2 [0]!PU)</f>
        <v>#REF!</v>
      </c>
      <c r="D56" s="2" t="e">
        <f>IF(ISTEXT(([0]!P_1_2.4.2 [0]!MT)),0,([0]!P_1_2.4.2 [0]!MT))</f>
        <v>#REF!</v>
      </c>
    </row>
    <row r="57" spans="1:4" x14ac:dyDescent="0.25">
      <c r="A57" s="1" t="s">
        <v>36</v>
      </c>
      <c r="B57" s="3" t="e">
        <f>IF(ISTEXT(([0]!P_1_2.4.3 [0]!Qté)),0,([0]!P_1_2.4.3 [0]!Qté))</f>
        <v>#REF!</v>
      </c>
      <c r="C57" s="2" t="e">
        <f>([0]!P_1_2.4.3 [0]!PU)</f>
        <v>#REF!</v>
      </c>
      <c r="D57" s="2" t="e">
        <f>IF(ISTEXT(([0]!P_1_2.4.3 [0]!MT)),0,([0]!P_1_2.4.3 [0]!MT))</f>
        <v>#REF!</v>
      </c>
    </row>
    <row r="58" spans="1:4" x14ac:dyDescent="0.25">
      <c r="A58" s="1" t="s">
        <v>37</v>
      </c>
      <c r="B58" s="3" t="e">
        <f>IF(ISTEXT(([0]!P_1_2.4.4 [0]!Qté)),0,([0]!P_1_2.4.4 [0]!Qté))</f>
        <v>#REF!</v>
      </c>
      <c r="C58" s="2" t="e">
        <f>([0]!P_1_2.4.4 [0]!PU)</f>
        <v>#REF!</v>
      </c>
      <c r="D58" s="2" t="e">
        <f>IF(ISTEXT(([0]!P_1_2.4.4 [0]!MT)),0,([0]!P_1_2.4.4 [0]!MT))</f>
        <v>#REF!</v>
      </c>
    </row>
    <row r="59" spans="1:4" x14ac:dyDescent="0.25">
      <c r="A59" s="1" t="s">
        <v>38</v>
      </c>
      <c r="B59" s="3" t="e">
        <f>IF(ISTEXT(([0]!P_1_2.4.5 [0]!Qté)),0,([0]!P_1_2.4.5 [0]!Qté))</f>
        <v>#REF!</v>
      </c>
      <c r="C59" s="2" t="e">
        <f>([0]!P_1_2.4.5 [0]!PU)</f>
        <v>#REF!</v>
      </c>
      <c r="D59" s="2" t="e">
        <f>IF(ISTEXT(([0]!P_1_2.4.5 [0]!MT)),0,([0]!P_1_2.4.5 [0]!MT))</f>
        <v>#REF!</v>
      </c>
    </row>
    <row r="60" spans="1:4" x14ac:dyDescent="0.25">
      <c r="A60" s="1" t="s">
        <v>39</v>
      </c>
      <c r="B60" s="3" t="e">
        <f>IF(ISTEXT(([0]!P_1_2.4.6 [0]!Qté)),0,([0]!P_1_2.4.6 [0]!Qté))</f>
        <v>#REF!</v>
      </c>
      <c r="C60" s="2" t="e">
        <f>([0]!P_1_2.4.6 [0]!PU)</f>
        <v>#REF!</v>
      </c>
      <c r="D60" s="2" t="e">
        <f>IF(ISTEXT(([0]!P_1_2.4.6 [0]!MT)),0,([0]!P_1_2.4.6 [0]!MT))</f>
        <v>#REF!</v>
      </c>
    </row>
    <row r="61" spans="1:4" x14ac:dyDescent="0.25">
      <c r="A61" s="1" t="s">
        <v>40</v>
      </c>
      <c r="B61" s="3" t="e">
        <f>IF(ISTEXT(([0]!P_1_2.4.7 [0]!Qté)),0,([0]!P_1_2.4.7 [0]!Qté))</f>
        <v>#REF!</v>
      </c>
      <c r="C61" s="2" t="e">
        <f>([0]!P_1_2.4.7 [0]!PU)</f>
        <v>#REF!</v>
      </c>
      <c r="D61" s="2" t="e">
        <f>IF(ISTEXT(([0]!P_1_2.4.7 [0]!MT)),0,([0]!P_1_2.4.7 [0]!MT))</f>
        <v>#REF!</v>
      </c>
    </row>
    <row r="62" spans="1:4" x14ac:dyDescent="0.25">
      <c r="A62" s="1" t="s">
        <v>41</v>
      </c>
      <c r="B62" s="3" t="e">
        <f>IF(ISTEXT(([0]!P_1_2.5.1 [0]!Qté)),0,([0]!P_1_2.5.1 [0]!Qté))</f>
        <v>#REF!</v>
      </c>
      <c r="C62" s="2" t="e">
        <f>([0]!P_1_2.5.1 [0]!PU)</f>
        <v>#REF!</v>
      </c>
      <c r="D62" s="2" t="e">
        <f>IF(ISTEXT(([0]!P_1_2.5.1 [0]!MT)),0,([0]!P_1_2.5.1 [0]!MT))</f>
        <v>#REF!</v>
      </c>
    </row>
    <row r="63" spans="1:4" x14ac:dyDescent="0.25">
      <c r="A63" s="1" t="s">
        <v>42</v>
      </c>
      <c r="B63" s="3" t="e">
        <f>IF(ISTEXT(([0]!P_1_2.5.2 [0]!Qté)),0,([0]!P_1_2.5.2 [0]!Qté))</f>
        <v>#REF!</v>
      </c>
      <c r="C63" s="2" t="e">
        <f>([0]!P_1_2.5.2 [0]!PU)</f>
        <v>#REF!</v>
      </c>
      <c r="D63" s="2" t="e">
        <f>IF(ISTEXT(([0]!P_1_2.5.2 [0]!MT)),0,([0]!P_1_2.5.2 [0]!MT))</f>
        <v>#REF!</v>
      </c>
    </row>
    <row r="64" spans="1:4" x14ac:dyDescent="0.25">
      <c r="A64" s="1" t="s">
        <v>43</v>
      </c>
      <c r="B64" s="3" t="e">
        <f>IF(ISTEXT(([0]!P_1_2.5.3 [0]!Qté)),0,([0]!P_1_2.5.3 [0]!Qté))</f>
        <v>#REF!</v>
      </c>
      <c r="C64" s="2" t="e">
        <f>([0]!P_1_2.5.3 [0]!PU)</f>
        <v>#REF!</v>
      </c>
      <c r="D64" s="2" t="e">
        <f>IF(ISTEXT(([0]!P_1_2.5.3 [0]!MT)),0,([0]!P_1_2.5.3 [0]!MT))</f>
        <v>#REF!</v>
      </c>
    </row>
    <row r="65" spans="1:4" x14ac:dyDescent="0.25">
      <c r="A65" s="1" t="s">
        <v>44</v>
      </c>
      <c r="B65" s="3" t="e">
        <f>IF(ISTEXT(([0]!P_1_2.5.4 [0]!Qté)),0,([0]!P_1_2.5.4 [0]!Qté))</f>
        <v>#REF!</v>
      </c>
      <c r="C65" s="2" t="e">
        <f>([0]!P_1_2.5.4 [0]!PU)</f>
        <v>#REF!</v>
      </c>
      <c r="D65" s="2" t="e">
        <f>IF(ISTEXT(([0]!P_1_2.5.4 [0]!MT)),0,([0]!P_1_2.5.4 [0]!MT))</f>
        <v>#REF!</v>
      </c>
    </row>
    <row r="66" spans="1:4" x14ac:dyDescent="0.25">
      <c r="A66" s="1" t="s">
        <v>45</v>
      </c>
      <c r="B66" s="3" t="e">
        <f>IF(ISTEXT(([0]!P_1_2.5.5 [0]!Qté)),0,([0]!P_1_2.5.5 [0]!Qté))</f>
        <v>#REF!</v>
      </c>
      <c r="C66" s="2" t="e">
        <f>([0]!P_1_2.5.5 [0]!PU)</f>
        <v>#REF!</v>
      </c>
      <c r="D66" s="2" t="e">
        <f>IF(ISTEXT(([0]!P_1_2.5.5 [0]!MT)),0,([0]!P_1_2.5.5 [0]!MT))</f>
        <v>#REF!</v>
      </c>
    </row>
    <row r="67" spans="1:4" x14ac:dyDescent="0.25">
      <c r="A67" s="1" t="s">
        <v>46</v>
      </c>
      <c r="B67" s="3" t="e">
        <f>IF(ISTEXT(([0]!P_1_2.6.1 [0]!Qté)),0,([0]!P_1_2.6.1 [0]!Qté))</f>
        <v>#REF!</v>
      </c>
      <c r="C67" s="2" t="e">
        <f>([0]!P_1_2.6.1 [0]!PU)</f>
        <v>#REF!</v>
      </c>
      <c r="D67" s="2" t="e">
        <f>IF(ISTEXT(([0]!P_1_2.6.1 [0]!MT)),0,([0]!P_1_2.6.1 [0]!MT))</f>
        <v>#REF!</v>
      </c>
    </row>
    <row r="68" spans="1:4" x14ac:dyDescent="0.25">
      <c r="A68" s="1" t="s">
        <v>47</v>
      </c>
      <c r="B68" s="3" t="e">
        <f>IF(ISTEXT(([0]!P_1_2.6.2 [0]!Qté)),0,([0]!P_1_2.6.2 [0]!Qté))</f>
        <v>#REF!</v>
      </c>
      <c r="C68" s="2" t="e">
        <f>([0]!P_1_2.6.2 [0]!PU)</f>
        <v>#REF!</v>
      </c>
      <c r="D68" s="2" t="e">
        <f>IF(ISTEXT(([0]!P_1_2.6.2 [0]!MT)),0,([0]!P_1_2.6.2 [0]!MT))</f>
        <v>#REF!</v>
      </c>
    </row>
    <row r="69" spans="1:4" x14ac:dyDescent="0.25">
      <c r="A69" s="1" t="s">
        <v>48</v>
      </c>
      <c r="B69" s="3" t="e">
        <f>IF(ISTEXT(([0]!P_1_2.6.3 [0]!Qté)),0,([0]!P_1_2.6.3 [0]!Qté))</f>
        <v>#REF!</v>
      </c>
      <c r="C69" s="2" t="e">
        <f>([0]!P_1_2.6.3 [0]!PU)</f>
        <v>#REF!</v>
      </c>
      <c r="D69" s="2" t="e">
        <f>IF(ISTEXT(([0]!P_1_2.6.3 [0]!MT)),0,([0]!P_1_2.6.3 [0]!MT))</f>
        <v>#REF!</v>
      </c>
    </row>
    <row r="70" spans="1:4" x14ac:dyDescent="0.25">
      <c r="A70" s="1" t="s">
        <v>49</v>
      </c>
      <c r="B70" s="3" t="e">
        <f>IF(ISTEXT(([0]!P_1_2.6.4 [0]!Qté)),0,([0]!P_1_2.6.4 [0]!Qté))</f>
        <v>#REF!</v>
      </c>
      <c r="C70" s="2" t="e">
        <f>([0]!P_1_2.6.4 [0]!PU)</f>
        <v>#REF!</v>
      </c>
      <c r="D70" s="2" t="e">
        <f>IF(ISTEXT(([0]!P_1_2.6.4 [0]!MT)),0,([0]!P_1_2.6.4 [0]!MT))</f>
        <v>#REF!</v>
      </c>
    </row>
    <row r="71" spans="1:4" x14ac:dyDescent="0.25">
      <c r="A71" s="1" t="s">
        <v>50</v>
      </c>
      <c r="B71" s="3" t="e">
        <f>IF(ISTEXT(([0]!P_1_3.1.1 [0]!Qté)),0,([0]!P_1_3.1.1 [0]!Qté))</f>
        <v>#REF!</v>
      </c>
      <c r="C71" s="2" t="e">
        <f>([0]!P_1_3.1.1 [0]!PU)</f>
        <v>#REF!</v>
      </c>
      <c r="D71" s="2" t="e">
        <f>IF(ISTEXT(([0]!P_1_3.1.1 [0]!MT)),0,([0]!P_1_3.1.1 [0]!MT))</f>
        <v>#REF!</v>
      </c>
    </row>
    <row r="72" spans="1:4" x14ac:dyDescent="0.25">
      <c r="A72" s="1" t="s">
        <v>51</v>
      </c>
      <c r="B72" s="3" t="e">
        <f>IF(ISTEXT(([0]!P_1_3.1.2 [0]!Qté)),0,([0]!P_1_3.1.2 [0]!Qté))</f>
        <v>#REF!</v>
      </c>
      <c r="C72" s="2" t="e">
        <f>([0]!P_1_3.1.2 [0]!PU)</f>
        <v>#REF!</v>
      </c>
      <c r="D72" s="2" t="e">
        <f>IF(ISTEXT(([0]!P_1_3.1.2 [0]!MT)),0,([0]!P_1_3.1.2 [0]!MT))</f>
        <v>#REF!</v>
      </c>
    </row>
    <row r="73" spans="1:4" x14ac:dyDescent="0.25">
      <c r="A73" s="1" t="s">
        <v>52</v>
      </c>
      <c r="B73" s="3" t="e">
        <f>IF(ISTEXT(([0]!P_1_3.1.3 [0]!Qté)),0,([0]!P_1_3.1.3 [0]!Qté))</f>
        <v>#REF!</v>
      </c>
      <c r="C73" s="2" t="e">
        <f>([0]!P_1_3.1.3 [0]!PU)</f>
        <v>#REF!</v>
      </c>
      <c r="D73" s="2" t="e">
        <f>IF(ISTEXT(([0]!P_1_3.1.3 [0]!MT)),0,([0]!P_1_3.1.3 [0]!MT))</f>
        <v>#REF!</v>
      </c>
    </row>
    <row r="74" spans="1:4" x14ac:dyDescent="0.25">
      <c r="A74" s="1" t="s">
        <v>68</v>
      </c>
      <c r="B74" s="3" t="e">
        <f>IF(ISTEXT(([0]!P_1_3.4 [0]!Qté)),0,([0]!P_1_3.4 [0]!Qté))</f>
        <v>#REF!</v>
      </c>
      <c r="C74" s="2" t="e">
        <f>([0]!P_1_3.4 [0]!PU)</f>
        <v>#REF!</v>
      </c>
      <c r="D74" s="2" t="e">
        <f>IF(ISTEXT(([0]!P_1_3.4 [0]!MT)),0,([0]!P_1_3.4 [0]!MT))</f>
        <v>#REF!</v>
      </c>
    </row>
    <row r="75" spans="1:4" x14ac:dyDescent="0.25">
      <c r="A75" s="1" t="s">
        <v>53</v>
      </c>
      <c r="B75" s="3" t="e">
        <f>IF(ISTEXT(([0]!P_1_3.1.5 [0]!Qté)),0,([0]!P_1_3.1.5 [0]!Qté))</f>
        <v>#REF!</v>
      </c>
      <c r="C75" s="2" t="e">
        <f>([0]!P_1_3.1.5 [0]!PU)</f>
        <v>#REF!</v>
      </c>
      <c r="D75" s="2" t="e">
        <f>IF(ISTEXT(([0]!P_1_3.1.5 [0]!MT)),0,([0]!P_1_3.1.5 [0]!MT))</f>
        <v>#REF!</v>
      </c>
    </row>
    <row r="76" spans="1:4" x14ac:dyDescent="0.25">
      <c r="A76" s="1" t="s">
        <v>54</v>
      </c>
      <c r="B76" s="3" t="e">
        <f>IF(ISTEXT(([0]!P_1_3.1.6 [0]!Qté)),0,([0]!P_1_3.1.6 [0]!Qté))</f>
        <v>#REF!</v>
      </c>
      <c r="C76" s="2" t="e">
        <f>([0]!P_1_3.1.6 [0]!PU)</f>
        <v>#REF!</v>
      </c>
      <c r="D76" s="2" t="e">
        <f>IF(ISTEXT(([0]!P_1_3.1.6 [0]!MT)),0,([0]!P_1_3.1.6 [0]!MT))</f>
        <v>#REF!</v>
      </c>
    </row>
    <row r="77" spans="1:4" x14ac:dyDescent="0.25">
      <c r="A77" s="1" t="s">
        <v>1068</v>
      </c>
      <c r="B77" s="3" t="e">
        <f>IF(ISTEXT(([0]!P_1_3.7 [0]!Qté)),0,([0]!P_1_3.7 [0]!Qté))</f>
        <v>#REF!</v>
      </c>
      <c r="C77" s="2" t="e">
        <f>([0]!P_1_3.7 [0]!PU)</f>
        <v>#REF!</v>
      </c>
      <c r="D77" s="2" t="e">
        <f>IF(ISTEXT(([0]!P_1_3.7 [0]!MT)),0,([0]!P_1_3.7 [0]!MT))</f>
        <v>#REF!</v>
      </c>
    </row>
    <row r="78" spans="1:4" x14ac:dyDescent="0.25">
      <c r="A78" s="1" t="s">
        <v>1069</v>
      </c>
      <c r="B78" s="3" t="e">
        <f>IF(ISTEXT(([0]!P_1_3.8 [0]!Qté)),0,([0]!P_1_3.8 [0]!Qté))</f>
        <v>#REF!</v>
      </c>
      <c r="C78" s="2" t="e">
        <f>([0]!P_1_3.8 [0]!PU)</f>
        <v>#REF!</v>
      </c>
      <c r="D78" s="2" t="e">
        <f>IF(ISTEXT(([0]!P_1_3.8 [0]!MT)),0,([0]!P_1_3.8 [0]!MT))</f>
        <v>#REF!</v>
      </c>
    </row>
    <row r="79" spans="1:4" x14ac:dyDescent="0.25">
      <c r="A79" s="1" t="s">
        <v>55</v>
      </c>
      <c r="B79" s="3" t="e">
        <f>IF(ISTEXT(([0]!P_1_3.2.1 [0]!Qté)),0,([0]!P_1_3.2.1 [0]!Qté))</f>
        <v>#REF!</v>
      </c>
      <c r="C79" s="2" t="e">
        <f>([0]!P_1_3.2.1 [0]!PU)</f>
        <v>#REF!</v>
      </c>
      <c r="D79" s="2" t="e">
        <f>IF(ISTEXT(([0]!P_1_3.2.1 [0]!MT)),0,([0]!P_1_3.2.1 [0]!MT))</f>
        <v>#REF!</v>
      </c>
    </row>
    <row r="80" spans="1:4" x14ac:dyDescent="0.25">
      <c r="A80" s="1" t="s">
        <v>56</v>
      </c>
      <c r="B80" s="3" t="e">
        <f>IF(ISTEXT(([0]!P_1_3.2.2 [0]!Qté)),0,([0]!P_1_3.2.2 [0]!Qté))</f>
        <v>#REF!</v>
      </c>
      <c r="C80" s="2" t="e">
        <f>([0]!P_1_3.2.2 [0]!PU)</f>
        <v>#REF!</v>
      </c>
      <c r="D80" s="2" t="e">
        <f>IF(ISTEXT(([0]!P_1_3.2.2 [0]!MT)),0,([0]!P_1_3.2.2 [0]!MT))</f>
        <v>#REF!</v>
      </c>
    </row>
    <row r="81" spans="1:4" x14ac:dyDescent="0.25">
      <c r="A81" s="1" t="s">
        <v>57</v>
      </c>
      <c r="B81" s="3" t="e">
        <f>IF(ISTEXT(([0]!P_1_3.2.3 [0]!Qté)),0,([0]!P_1_3.2.3 [0]!Qté))</f>
        <v>#REF!</v>
      </c>
      <c r="C81" s="2" t="e">
        <f>([0]!P_1_3.2.3 [0]!PU)</f>
        <v>#REF!</v>
      </c>
      <c r="D81" s="2" t="e">
        <f>IF(ISTEXT(([0]!P_1_3.2.3 [0]!MT)),0,([0]!P_1_3.2.3 [0]!MT))</f>
        <v>#REF!</v>
      </c>
    </row>
    <row r="82" spans="1:4" x14ac:dyDescent="0.25">
      <c r="A82" s="1" t="s">
        <v>59</v>
      </c>
      <c r="B82" s="3" t="e">
        <f>IF(ISTEXT(([0]!P_1_3.3.1 [0]!Qté)),0,([0]!P_1_3.3.1 [0]!Qté))</f>
        <v>#REF!</v>
      </c>
      <c r="C82" s="2" t="e">
        <f>([0]!P_1_3.3.1 [0]!PU)</f>
        <v>#REF!</v>
      </c>
      <c r="D82" s="2" t="e">
        <f>IF(ISTEXT(([0]!P_1_3.3.1 [0]!MT)),0,([0]!P_1_3.3.1 [0]!MT))</f>
        <v>#REF!</v>
      </c>
    </row>
    <row r="83" spans="1:4" x14ac:dyDescent="0.25">
      <c r="A83" s="1" t="s">
        <v>60</v>
      </c>
      <c r="B83" s="3" t="e">
        <f>IF(ISTEXT(([0]!P_1_3.3.2 [0]!Qté)),0,([0]!P_1_3.3.2 [0]!Qté))</f>
        <v>#REF!</v>
      </c>
      <c r="C83" s="2" t="e">
        <f>([0]!P_1_3.3.2 [0]!PU)</f>
        <v>#REF!</v>
      </c>
      <c r="D83" s="2" t="e">
        <f>IF(ISTEXT(([0]!P_1_3.3.2 [0]!MT)),0,([0]!P_1_3.3.2 [0]!MT))</f>
        <v>#REF!</v>
      </c>
    </row>
    <row r="84" spans="1:4" x14ac:dyDescent="0.25">
      <c r="A84" s="1" t="s">
        <v>61</v>
      </c>
      <c r="B84" s="3" t="e">
        <f>IF(ISTEXT(([0]!P_1_3.3.3 [0]!Qté)),0,([0]!P_1_3.3.3 [0]!Qté))</f>
        <v>#REF!</v>
      </c>
      <c r="C84" s="2" t="e">
        <f>([0]!P_1_3.3.3 [0]!PU)</f>
        <v>#REF!</v>
      </c>
      <c r="D84" s="2" t="e">
        <f>IF(ISTEXT(([0]!P_1_3.3.3 [0]!MT)),0,([0]!P_1_3.3.3 [0]!MT))</f>
        <v>#REF!</v>
      </c>
    </row>
    <row r="85" spans="1:4" x14ac:dyDescent="0.25">
      <c r="A85" s="1" t="s">
        <v>62</v>
      </c>
      <c r="B85" s="3" t="e">
        <f>IF(ISTEXT(([0]!P_1_3.4.1 [0]!Qté)),0,([0]!P_1_3.4.1 [0]!Qté))</f>
        <v>#REF!</v>
      </c>
      <c r="C85" s="2" t="e">
        <f>([0]!P_1_3.4.1 [0]!PU)</f>
        <v>#REF!</v>
      </c>
      <c r="D85" s="2" t="e">
        <f>IF(ISTEXT(([0]!P_1_3.4.1 [0]!MT)),0,([0]!P_1_3.4.1 [0]!MT))</f>
        <v>#REF!</v>
      </c>
    </row>
    <row r="86" spans="1:4" x14ac:dyDescent="0.25">
      <c r="A86" s="1" t="s">
        <v>63</v>
      </c>
      <c r="B86" s="3" t="e">
        <f>IF(ISTEXT(([0]!P_1_3.4.2 [0]!Qté)),0,([0]!P_1_3.4.2 [0]!Qté))</f>
        <v>#REF!</v>
      </c>
      <c r="C86" s="2" t="e">
        <f>([0]!P_1_3.4.2 [0]!PU)</f>
        <v>#REF!</v>
      </c>
      <c r="D86" s="2" t="e">
        <f>IF(ISTEXT(([0]!P_1_3.4.2 [0]!MT)),0,([0]!P_1_3.4.2 [0]!MT))</f>
        <v>#REF!</v>
      </c>
    </row>
    <row r="87" spans="1:4" x14ac:dyDescent="0.25">
      <c r="A87" s="1" t="s">
        <v>64</v>
      </c>
      <c r="B87" s="3" t="e">
        <f>IF(ISTEXT(([0]!P_1_3.4.3 [0]!Qté)),0,([0]!P_1_3.4.3 [0]!Qté))</f>
        <v>#REF!</v>
      </c>
      <c r="C87" s="2" t="e">
        <f>([0]!P_1_3.4.3 [0]!PU)</f>
        <v>#REF!</v>
      </c>
      <c r="D87" s="2" t="e">
        <f>IF(ISTEXT(([0]!P_1_3.4.3 [0]!MT)),0,([0]!P_1_3.4.3 [0]!MT))</f>
        <v>#REF!</v>
      </c>
    </row>
    <row r="88" spans="1:4" x14ac:dyDescent="0.25">
      <c r="A88" s="1" t="s">
        <v>65</v>
      </c>
      <c r="B88" s="3" t="e">
        <f>IF(ISTEXT(([0]!P_1_3.5.1 [0]!Qté)),0,([0]!P_1_3.5.1 [0]!Qté))</f>
        <v>#REF!</v>
      </c>
      <c r="C88" s="2" t="e">
        <f>([0]!P_1_3.5.1 [0]!PU)</f>
        <v>#REF!</v>
      </c>
      <c r="D88" s="2" t="e">
        <f>IF(ISTEXT(([0]!P_1_3.5.1 [0]!MT)),0,([0]!P_1_3.5.1 [0]!MT))</f>
        <v>#REF!</v>
      </c>
    </row>
    <row r="89" spans="1:4" x14ac:dyDescent="0.25">
      <c r="A89" s="1" t="s">
        <v>66</v>
      </c>
      <c r="B89" s="3" t="e">
        <f>IF(ISTEXT(([0]!P_1_3.5.2 [0]!Qté)),0,([0]!P_1_3.5.2 [0]!Qté))</f>
        <v>#REF!</v>
      </c>
      <c r="C89" s="2" t="e">
        <f>([0]!P_1_3.5.2 [0]!PU)</f>
        <v>#REF!</v>
      </c>
      <c r="D89" s="2" t="e">
        <f>IF(ISTEXT(([0]!P_1_3.5.2 [0]!MT)),0,([0]!P_1_3.5.2 [0]!MT))</f>
        <v>#REF!</v>
      </c>
    </row>
    <row r="90" spans="1:4" x14ac:dyDescent="0.25">
      <c r="A90" s="1" t="s">
        <v>70</v>
      </c>
      <c r="B90" s="3" t="e">
        <f>IF(ISTEXT(([0]!P_1_4.1.1 [0]!Qté)),0,([0]!P_1_4.1.1 [0]!Qté))</f>
        <v>#REF!</v>
      </c>
      <c r="C90" s="2" t="e">
        <f>([0]!P_1_4.1.1 [0]!PU)</f>
        <v>#REF!</v>
      </c>
      <c r="D90" s="2" t="e">
        <f>IF(ISTEXT(([0]!P_1_4.1.1 [0]!MT)),0,([0]!P_1_4.1.1 [0]!MT))</f>
        <v>#REF!</v>
      </c>
    </row>
    <row r="91" spans="1:4" x14ac:dyDescent="0.25">
      <c r="A91" s="1" t="s">
        <v>418</v>
      </c>
      <c r="B91" s="3" t="e">
        <f>IF(ISTEXT(([0]!P_1_4.1.2 [0]!Qté)),0,([0]!P_1_4.1.2 [0]!Qté))</f>
        <v>#REF!</v>
      </c>
      <c r="C91" s="2" t="e">
        <f>([0]!P_1_4.1.2 [0]!PU)</f>
        <v>#REF!</v>
      </c>
      <c r="D91" s="2" t="e">
        <f>IF(ISTEXT(([0]!P_1_4.1.2 [0]!MT)),0,([0]!P_1_4.1.2 [0]!MT))</f>
        <v>#REF!</v>
      </c>
    </row>
    <row r="92" spans="1:4" x14ac:dyDescent="0.25">
      <c r="A92" s="1" t="s">
        <v>419</v>
      </c>
      <c r="B92" s="3" t="e">
        <f>IF(ISTEXT(([0]!P_1_4.1.3 [0]!Qté)),0,([0]!P_1_4.1.3 [0]!Qté))</f>
        <v>#REF!</v>
      </c>
      <c r="C92" s="2" t="e">
        <f>([0]!P_1_4.1.3 [0]!PU)</f>
        <v>#REF!</v>
      </c>
      <c r="D92" s="2" t="e">
        <f>IF(ISTEXT(([0]!P_1_4.1.3 [0]!MT)),0,([0]!P_1_4.1.3 [0]!MT))</f>
        <v>#REF!</v>
      </c>
    </row>
    <row r="93" spans="1:4" x14ac:dyDescent="0.25">
      <c r="A93" s="1" t="s">
        <v>420</v>
      </c>
      <c r="B93" s="3" t="e">
        <f>IF(ISTEXT(([0]!P_1_4.1.4 [0]!Qté)),0,([0]!P_1_4.1.4 [0]!Qté))</f>
        <v>#REF!</v>
      </c>
      <c r="C93" s="2" t="e">
        <f>([0]!P_1_4.1.4 [0]!PU)</f>
        <v>#REF!</v>
      </c>
      <c r="D93" s="2" t="e">
        <f>IF(ISTEXT(([0]!P_1_4.1.4 [0]!MT)),0,([0]!P_1_4.1.4 [0]!MT))</f>
        <v>#REF!</v>
      </c>
    </row>
    <row r="94" spans="1:4" x14ac:dyDescent="0.25">
      <c r="A94" s="1" t="s">
        <v>421</v>
      </c>
      <c r="B94" s="3" t="e">
        <f>IF(ISTEXT(([0]!P_1_4.1.5 [0]!Qté)),0,([0]!P_1_4.1.5 [0]!Qté))</f>
        <v>#REF!</v>
      </c>
      <c r="C94" s="2" t="e">
        <f>([0]!P_1_4.1.5 [0]!PU)</f>
        <v>#REF!</v>
      </c>
      <c r="D94" s="2" t="e">
        <f>IF(ISTEXT(([0]!P_1_4.1.5 [0]!MT)),0,([0]!P_1_4.1.5 [0]!MT))</f>
        <v>#REF!</v>
      </c>
    </row>
    <row r="95" spans="1:4" x14ac:dyDescent="0.25">
      <c r="A95" s="1" t="s">
        <v>71</v>
      </c>
      <c r="B95" s="3" t="e">
        <f>IF(ISTEXT(([0]!P_1_4.1.6 [0]!Qté)),0,([0]!P_1_4.1.6 [0]!Qté))</f>
        <v>#REF!</v>
      </c>
      <c r="C95" s="2" t="e">
        <f>([0]!P_1_4.1.6 [0]!PU)</f>
        <v>#REF!</v>
      </c>
      <c r="D95" s="2" t="e">
        <f>IF(ISTEXT(([0]!P_1_4.1.6 [0]!MT)),0,([0]!P_1_4.1.6 [0]!MT))</f>
        <v>#REF!</v>
      </c>
    </row>
    <row r="96" spans="1:4" x14ac:dyDescent="0.25">
      <c r="A96" s="1" t="s">
        <v>422</v>
      </c>
      <c r="B96" s="3" t="e">
        <f>IF(ISTEXT(([0]!P_1_4.1.7 [0]!Qté)),0,([0]!P_1_4.1.7 [0]!Qté))</f>
        <v>#REF!</v>
      </c>
      <c r="C96" s="2" t="e">
        <f>([0]!P_1_4.1.7 [0]!PU)</f>
        <v>#REF!</v>
      </c>
      <c r="D96" s="2" t="e">
        <f>IF(ISTEXT(([0]!P_1_4.1.7 [0]!MT)),0,([0]!P_1_4.1.7 [0]!MT))</f>
        <v>#REF!</v>
      </c>
    </row>
    <row r="97" spans="1:4" x14ac:dyDescent="0.25">
      <c r="A97" s="1" t="s">
        <v>423</v>
      </c>
      <c r="B97" s="3" t="e">
        <f>IF(ISTEXT(([0]!P_1_4.1.8 [0]!Qté)),0,([0]!P_1_4.1.8 [0]!Qté))</f>
        <v>#REF!</v>
      </c>
      <c r="C97" s="2" t="e">
        <f>([0]!P_1_4.1.8 [0]!PU)</f>
        <v>#REF!</v>
      </c>
      <c r="D97" s="2" t="e">
        <f>IF(ISTEXT(([0]!P_1_4.1.8 [0]!MT)),0,([0]!P_1_4.1.8 [0]!MT))</f>
        <v>#REF!</v>
      </c>
    </row>
    <row r="98" spans="1:4" x14ac:dyDescent="0.25">
      <c r="A98" s="1" t="s">
        <v>424</v>
      </c>
      <c r="B98" s="3" t="e">
        <f>IF(ISTEXT(([0]!P_1_4.1.9 [0]!Qté)),0,([0]!P_1_4.1.9 [0]!Qté))</f>
        <v>#REF!</v>
      </c>
      <c r="C98" s="2" t="e">
        <f>([0]!P_1_4.1.9 [0]!PU)</f>
        <v>#REF!</v>
      </c>
      <c r="D98" s="2" t="e">
        <f>IF(ISTEXT(([0]!P_1_4.1.9 [0]!MT)),0,([0]!P_1_4.1.9 [0]!MT))</f>
        <v>#REF!</v>
      </c>
    </row>
    <row r="99" spans="1:4" x14ac:dyDescent="0.25">
      <c r="A99" s="1" t="s">
        <v>425</v>
      </c>
      <c r="B99" s="3" t="e">
        <f>IF(ISTEXT(([0]!P_1_4.1.10 [0]!Qté)),0,([0]!P_1_4.1.10 [0]!Qté))</f>
        <v>#REF!</v>
      </c>
      <c r="C99" s="2" t="e">
        <f>([0]!P_1_4.1.10 [0]!PU)</f>
        <v>#REF!</v>
      </c>
      <c r="D99" s="2" t="e">
        <f>IF(ISTEXT(([0]!P_1_4.1.10 [0]!MT)),0,([0]!P_1_4.1.10 [0]!MT))</f>
        <v>#REF!</v>
      </c>
    </row>
    <row r="100" spans="1:4" x14ac:dyDescent="0.25">
      <c r="A100" s="1" t="s">
        <v>426</v>
      </c>
      <c r="B100" s="3" t="e">
        <f>IF(ISTEXT(([0]!P_1_4.1.11 [0]!Qté)),0,([0]!P_1_4.1.11 [0]!Qté))</f>
        <v>#REF!</v>
      </c>
      <c r="C100" s="2" t="e">
        <f>([0]!P_1_4.1.11 [0]!PU)</f>
        <v>#REF!</v>
      </c>
      <c r="D100" s="2" t="e">
        <f>IF(ISTEXT(([0]!P_1_4.1.11 [0]!MT)),0,([0]!P_1_4.1.11 [0]!MT))</f>
        <v>#REF!</v>
      </c>
    </row>
    <row r="101" spans="1:4" x14ac:dyDescent="0.25">
      <c r="A101" s="1" t="s">
        <v>427</v>
      </c>
      <c r="B101" s="3" t="e">
        <f>IF(ISTEXT(([0]!P_1_4.1.12 [0]!Qté)),0,([0]!P_1_4.1.12 [0]!Qté))</f>
        <v>#REF!</v>
      </c>
      <c r="C101" s="2" t="e">
        <f>([0]!P_1_4.1.12 [0]!PU)</f>
        <v>#REF!</v>
      </c>
      <c r="D101" s="2" t="e">
        <f>IF(ISTEXT(([0]!P_1_4.1.12 [0]!MT)),0,([0]!P_1_4.1.12 [0]!MT))</f>
        <v>#REF!</v>
      </c>
    </row>
    <row r="102" spans="1:4" x14ac:dyDescent="0.25">
      <c r="A102" s="1" t="s">
        <v>72</v>
      </c>
      <c r="B102" s="3" t="e">
        <f>IF(ISTEXT(([0]!P_1_4.1.13 [0]!Qté)),0,([0]!P_1_4.1.13 [0]!Qté))</f>
        <v>#REF!</v>
      </c>
      <c r="C102" s="2" t="e">
        <f>([0]!P_1_4.1.13 [0]!PU)</f>
        <v>#REF!</v>
      </c>
      <c r="D102" s="2" t="e">
        <f>IF(ISTEXT(([0]!P_1_4.1.13 [0]!MT)),0,([0]!P_1_4.1.13 [0]!MT))</f>
        <v>#REF!</v>
      </c>
    </row>
    <row r="103" spans="1:4" x14ac:dyDescent="0.25">
      <c r="A103" s="1" t="s">
        <v>73</v>
      </c>
      <c r="B103" s="3" t="e">
        <f>IF(ISTEXT(([0]!P_1_4.1.14 [0]!Qté)),0,([0]!P_1_4.1.14 [0]!Qté))</f>
        <v>#REF!</v>
      </c>
      <c r="C103" s="2" t="e">
        <f>([0]!P_1_4.1.14 [0]!PU)</f>
        <v>#REF!</v>
      </c>
      <c r="D103" s="2" t="e">
        <f>IF(ISTEXT(([0]!P_1_4.1.14 [0]!MT)),0,([0]!P_1_4.1.14 [0]!MT))</f>
        <v>#REF!</v>
      </c>
    </row>
    <row r="104" spans="1:4" x14ac:dyDescent="0.25">
      <c r="A104" s="1" t="s">
        <v>74</v>
      </c>
      <c r="B104" s="3" t="e">
        <f>IF(ISTEXT(([0]!P_1_4.2.1 [0]!Qté)),0,([0]!P_1_4.2.1 [0]!Qté))</f>
        <v>#REF!</v>
      </c>
      <c r="C104" s="2" t="e">
        <f>([0]!P_1_4.2.1 [0]!PU)</f>
        <v>#REF!</v>
      </c>
      <c r="D104" s="2" t="e">
        <f>IF(ISTEXT(([0]!P_1_4.2.1 [0]!MT)),0,([0]!P_1_4.2.1 [0]!MT))</f>
        <v>#REF!</v>
      </c>
    </row>
    <row r="105" spans="1:4" x14ac:dyDescent="0.25">
      <c r="A105" s="1" t="s">
        <v>75</v>
      </c>
      <c r="B105" s="3" t="e">
        <f>IF(ISTEXT(([0]!P_1_4.2.2 [0]!Qté)),0,([0]!P_1_4.2.2 [0]!Qté))</f>
        <v>#REF!</v>
      </c>
      <c r="C105" s="2" t="e">
        <f>([0]!P_1_4.2.2 [0]!PU)</f>
        <v>#REF!</v>
      </c>
      <c r="D105" s="2" t="e">
        <f>IF(ISTEXT(([0]!P_1_4.2.2 [0]!MT)),0,([0]!P_1_4.2.2 [0]!MT))</f>
        <v>#REF!</v>
      </c>
    </row>
    <row r="106" spans="1:4" x14ac:dyDescent="0.25">
      <c r="A106" s="1" t="s">
        <v>76</v>
      </c>
      <c r="B106" s="3" t="e">
        <f>IF(ISTEXT(([0]!P_1_4.2.3 [0]!Qté)),0,([0]!P_1_4.2.3 [0]!Qté))</f>
        <v>#REF!</v>
      </c>
      <c r="C106" s="2" t="e">
        <f>([0]!P_1_4.2.3 [0]!PU)</f>
        <v>#REF!</v>
      </c>
      <c r="D106" s="2" t="e">
        <f>IF(ISTEXT(([0]!P_1_4.2.3 [0]!MT)),0,([0]!P_1_4.2.3 [0]!MT))</f>
        <v>#REF!</v>
      </c>
    </row>
    <row r="107" spans="1:4" x14ac:dyDescent="0.25">
      <c r="A107" s="1" t="s">
        <v>77</v>
      </c>
      <c r="B107" s="3" t="e">
        <f>IF(ISTEXT(([0]!P_1_4.2.4 [0]!Qté)),0,([0]!P_1_4.2.4 [0]!Qté))</f>
        <v>#REF!</v>
      </c>
      <c r="C107" s="2" t="e">
        <f>([0]!P_1_4.2.4 [0]!PU)</f>
        <v>#REF!</v>
      </c>
      <c r="D107" s="2" t="e">
        <f>IF(ISTEXT(([0]!P_1_4.2.4 [0]!MT)),0,([0]!P_1_4.2.4 [0]!MT))</f>
        <v>#REF!</v>
      </c>
    </row>
    <row r="108" spans="1:4" x14ac:dyDescent="0.25">
      <c r="A108" s="1" t="s">
        <v>78</v>
      </c>
      <c r="B108" s="3" t="e">
        <f>IF(ISTEXT(([0]!P_1_4.2.5 [0]!Qté)),0,([0]!P_1_4.2.5 [0]!Qté))</f>
        <v>#REF!</v>
      </c>
      <c r="C108" s="2" t="e">
        <f>([0]!P_1_4.2.5 [0]!PU)</f>
        <v>#REF!</v>
      </c>
      <c r="D108" s="2" t="e">
        <f>IF(ISTEXT(([0]!P_1_4.2.5 [0]!MT)),0,([0]!P_1_4.2.5 [0]!MT))</f>
        <v>#REF!</v>
      </c>
    </row>
    <row r="109" spans="1:4" x14ac:dyDescent="0.25">
      <c r="A109" s="1" t="s">
        <v>428</v>
      </c>
      <c r="B109" s="3" t="e">
        <f>IF(ISTEXT(([0]!P_1_4.2.6.1 [0]!Qté)),0,([0]!P_1_4.2.6.1 [0]!Qté))</f>
        <v>#REF!</v>
      </c>
      <c r="C109" s="2" t="e">
        <f>([0]!P_1_4.2.6.1 [0]!PU)</f>
        <v>#REF!</v>
      </c>
      <c r="D109" s="2" t="e">
        <f>IF(ISTEXT(([0]!P_1_4.2.6.1 [0]!MT)),0,([0]!P_1_4.2.6.1 [0]!MT))</f>
        <v>#REF!</v>
      </c>
    </row>
    <row r="110" spans="1:4" x14ac:dyDescent="0.25">
      <c r="A110" s="1" t="s">
        <v>79</v>
      </c>
      <c r="B110" s="3" t="e">
        <f>IF(ISTEXT(([0]!P_1_4.2.6.2 [0]!Qté)),0,([0]!P_1_4.2.6.2 [0]!Qté))</f>
        <v>#REF!</v>
      </c>
      <c r="C110" s="2" t="e">
        <f>([0]!P_1_4.2.6.2 [0]!PU)</f>
        <v>#REF!</v>
      </c>
      <c r="D110" s="2" t="e">
        <f>IF(ISTEXT(([0]!P_1_4.2.6.2 [0]!MT)),0,([0]!P_1_4.2.6.2 [0]!MT))</f>
        <v>#REF!</v>
      </c>
    </row>
    <row r="111" spans="1:4" x14ac:dyDescent="0.25">
      <c r="A111" s="1" t="s">
        <v>80</v>
      </c>
      <c r="B111" s="3" t="e">
        <f>IF(ISTEXT(([0]!P_1_4.2.6.3 [0]!Qté)),0,([0]!P_1_4.2.6.3 [0]!Qté))</f>
        <v>#REF!</v>
      </c>
      <c r="C111" s="2" t="e">
        <f>([0]!P_1_4.2.6.3 [0]!PU)</f>
        <v>#REF!</v>
      </c>
      <c r="D111" s="2" t="e">
        <f>IF(ISTEXT(([0]!P_1_4.2.6.3 [0]!MT)),0,([0]!P_1_4.2.6.3 [0]!MT))</f>
        <v>#REF!</v>
      </c>
    </row>
    <row r="112" spans="1:4" x14ac:dyDescent="0.25">
      <c r="A112" s="1" t="s">
        <v>429</v>
      </c>
      <c r="B112" s="3" t="e">
        <f>IF(ISTEXT(([0]!P_1_4.2.7.1 [0]!Qté)),0,([0]!P_1_4.2.7.1 [0]!Qté))</f>
        <v>#REF!</v>
      </c>
      <c r="C112" s="2" t="e">
        <f>([0]!P_1_4.2.7.1 [0]!PU)</f>
        <v>#REF!</v>
      </c>
      <c r="D112" s="2" t="e">
        <f>IF(ISTEXT(([0]!P_1_4.2.7.1 [0]!MT)),0,([0]!P_1_4.2.7.1 [0]!MT))</f>
        <v>#REF!</v>
      </c>
    </row>
    <row r="113" spans="1:4" x14ac:dyDescent="0.25">
      <c r="A113" s="1" t="s">
        <v>81</v>
      </c>
      <c r="B113" s="3" t="e">
        <f>IF(ISTEXT(([0]!P_1_4.2.7.2 [0]!Qté)),0,([0]!P_1_4.2.7.2 [0]!Qté))</f>
        <v>#REF!</v>
      </c>
      <c r="C113" s="2" t="e">
        <f>([0]!P_1_4.2.7.2 [0]!PU)</f>
        <v>#REF!</v>
      </c>
      <c r="D113" s="2" t="e">
        <f>IF(ISTEXT(([0]!P_1_4.2.7.2 [0]!MT)),0,([0]!P_1_4.2.7.2 [0]!MT))</f>
        <v>#REF!</v>
      </c>
    </row>
    <row r="114" spans="1:4" x14ac:dyDescent="0.25">
      <c r="A114" s="1" t="s">
        <v>430</v>
      </c>
      <c r="B114" s="3" t="e">
        <f>IF(ISTEXT(([0]!P_1_4.2.7.3 [0]!Qté)),0,([0]!P_1_4.2.7.3 [0]!Qté))</f>
        <v>#REF!</v>
      </c>
      <c r="C114" s="2" t="e">
        <f>([0]!P_1_4.2.7.3 [0]!PU)</f>
        <v>#REF!</v>
      </c>
      <c r="D114" s="2" t="e">
        <f>IF(ISTEXT(([0]!P_1_4.2.7.3 [0]!MT)),0,([0]!P_1_4.2.7.3 [0]!MT))</f>
        <v>#REF!</v>
      </c>
    </row>
    <row r="115" spans="1:4" x14ac:dyDescent="0.25">
      <c r="A115" s="1" t="s">
        <v>82</v>
      </c>
      <c r="B115" s="3" t="e">
        <f>IF(ISTEXT(([0]!P_1_5.1.1 [0]!Qté)),0,([0]!P_1_5.1.1 [0]!Qté))</f>
        <v>#REF!</v>
      </c>
      <c r="C115" s="2" t="e">
        <f>([0]!P_1_5.1.1 [0]!PU)</f>
        <v>#REF!</v>
      </c>
      <c r="D115" s="2" t="e">
        <f>IF(ISTEXT(([0]!P_1_5.1.1 [0]!MT)),0,([0]!P_1_5.1.1 [0]!MT))</f>
        <v>#REF!</v>
      </c>
    </row>
    <row r="116" spans="1:4" x14ac:dyDescent="0.25">
      <c r="A116" s="1" t="s">
        <v>83</v>
      </c>
      <c r="B116" s="3" t="e">
        <f>IF(ISTEXT(([0]!P_1_5.1.2 [0]!Qté)),0,([0]!P_1_5.1.2 [0]!Qté))</f>
        <v>#REF!</v>
      </c>
      <c r="C116" s="2" t="e">
        <f>([0]!P_1_5.1.2 [0]!PU)</f>
        <v>#REF!</v>
      </c>
      <c r="D116" s="2" t="e">
        <f>IF(ISTEXT(([0]!P_1_5.1.2 [0]!MT)),0,([0]!P_1_5.1.2 [0]!MT))</f>
        <v>#REF!</v>
      </c>
    </row>
    <row r="117" spans="1:4" x14ac:dyDescent="0.25">
      <c r="A117" s="1" t="s">
        <v>84</v>
      </c>
      <c r="B117" s="3" t="e">
        <f>IF(ISTEXT(([0]!P_1_5.1.3 [0]!Qté)),0,([0]!P_1_5.1.3 [0]!Qté))</f>
        <v>#REF!</v>
      </c>
      <c r="C117" s="2" t="e">
        <f>([0]!P_1_5.1.3 [0]!PU)</f>
        <v>#REF!</v>
      </c>
      <c r="D117" s="2" t="e">
        <f>IF(ISTEXT(([0]!P_1_5.1.3 [0]!MT)),0,([0]!P_1_5.1.3 [0]!MT))</f>
        <v>#REF!</v>
      </c>
    </row>
    <row r="118" spans="1:4" x14ac:dyDescent="0.25">
      <c r="A118" s="1" t="s">
        <v>85</v>
      </c>
      <c r="B118" s="3" t="e">
        <f>IF(ISTEXT(([0]!P_1_5.1.4 [0]!Qté)),0,([0]!P_1_5.1.4 [0]!Qté))</f>
        <v>#REF!</v>
      </c>
      <c r="C118" s="2" t="e">
        <f>([0]!P_1_5.1.4 [0]!PU)</f>
        <v>#REF!</v>
      </c>
      <c r="D118" s="2" t="e">
        <f>IF(ISTEXT(([0]!P_1_5.1.4 [0]!MT)),0,([0]!P_1_5.1.4 [0]!MT))</f>
        <v>#REF!</v>
      </c>
    </row>
    <row r="119" spans="1:4" x14ac:dyDescent="0.25">
      <c r="A119" s="1" t="s">
        <v>86</v>
      </c>
      <c r="B119" s="3" t="e">
        <f>IF(ISTEXT(([0]!P_1_5.1.5 [0]!Qté)),0,([0]!P_1_5.1.5 [0]!Qté))</f>
        <v>#REF!</v>
      </c>
      <c r="C119" s="2" t="e">
        <f>([0]!P_1_5.1.5 [0]!PU)</f>
        <v>#REF!</v>
      </c>
      <c r="D119" s="2" t="e">
        <f>IF(ISTEXT(([0]!P_1_5.1.5 [0]!MT)),0,([0]!P_1_5.1.5 [0]!MT))</f>
        <v>#REF!</v>
      </c>
    </row>
    <row r="120" spans="1:4" x14ac:dyDescent="0.25">
      <c r="A120" s="1" t="s">
        <v>87</v>
      </c>
      <c r="B120" s="3" t="e">
        <f>IF(ISTEXT(([0]!P_1_5.1.6 [0]!Qté)),0,([0]!P_1_5.1.6 [0]!Qté))</f>
        <v>#REF!</v>
      </c>
      <c r="C120" s="2" t="e">
        <f>([0]!P_1_5.1.6 [0]!PU)</f>
        <v>#REF!</v>
      </c>
      <c r="D120" s="2" t="e">
        <f>IF(ISTEXT(([0]!P_1_5.1.6 [0]!MT)),0,([0]!P_1_5.1.6 [0]!MT))</f>
        <v>#REF!</v>
      </c>
    </row>
    <row r="121" spans="1:4" x14ac:dyDescent="0.25">
      <c r="A121" s="1" t="s">
        <v>88</v>
      </c>
      <c r="B121" s="3" t="e">
        <f>IF(ISTEXT(([0]!P_1_5.1.7 [0]!Qté)),0,([0]!P_1_5.1.7 [0]!Qté))</f>
        <v>#REF!</v>
      </c>
      <c r="C121" s="2" t="e">
        <f>([0]!P_1_5.1.7 [0]!PU)</f>
        <v>#REF!</v>
      </c>
      <c r="D121" s="2" t="e">
        <f>IF(ISTEXT(([0]!P_1_5.1.7 [0]!MT)),0,([0]!P_1_5.1.7 [0]!MT))</f>
        <v>#REF!</v>
      </c>
    </row>
    <row r="122" spans="1:4" x14ac:dyDescent="0.25">
      <c r="A122" s="1" t="s">
        <v>89</v>
      </c>
      <c r="B122" s="3" t="e">
        <f>IF(ISTEXT(([0]!P_1_5.1.8 [0]!Qté)),0,([0]!P_1_5.1.8 [0]!Qté))</f>
        <v>#REF!</v>
      </c>
      <c r="C122" s="2" t="e">
        <f>([0]!P_1_5.1.8 [0]!PU)</f>
        <v>#REF!</v>
      </c>
      <c r="D122" s="2" t="e">
        <f>IF(ISTEXT(([0]!P_1_5.1.8 [0]!MT)),0,([0]!P_1_5.1.8 [0]!MT))</f>
        <v>#REF!</v>
      </c>
    </row>
    <row r="123" spans="1:4" x14ac:dyDescent="0.25">
      <c r="A123" s="1" t="s">
        <v>90</v>
      </c>
      <c r="B123" s="3" t="e">
        <f>IF(ISTEXT(([0]!P_1_5.1.9.1 [0]!Qté)),0,([0]!P_1_5.1.9.1 [0]!Qté))</f>
        <v>#REF!</v>
      </c>
      <c r="C123" s="2" t="e">
        <f>([0]!P_1_5.1.9.1 [0]!PU)</f>
        <v>#REF!</v>
      </c>
      <c r="D123" s="2" t="e">
        <f>IF(ISTEXT(([0]!P_1_5.1.9.1 [0]!MT)),0,([0]!P_1_5.1.9.1 [0]!MT))</f>
        <v>#REF!</v>
      </c>
    </row>
    <row r="124" spans="1:4" x14ac:dyDescent="0.25">
      <c r="A124" s="1" t="s">
        <v>91</v>
      </c>
      <c r="B124" s="3" t="e">
        <f>IF(ISTEXT(([0]!P_1_5.1.9.2 [0]!Qté)),0,([0]!P_1_5.1.9.2 [0]!Qté))</f>
        <v>#REF!</v>
      </c>
      <c r="C124" s="2" t="e">
        <f>([0]!P_1_5.1.9.2 [0]!PU)</f>
        <v>#REF!</v>
      </c>
      <c r="D124" s="2" t="e">
        <f>IF(ISTEXT(([0]!P_1_5.1.9.2 [0]!MT)),0,([0]!P_1_5.1.9.2 [0]!MT))</f>
        <v>#REF!</v>
      </c>
    </row>
    <row r="125" spans="1:4" x14ac:dyDescent="0.25">
      <c r="A125" s="1" t="s">
        <v>92</v>
      </c>
      <c r="B125" s="3" t="e">
        <f>IF(ISTEXT(([0]!P_1_5.1.9.3 [0]!Qté)),0,([0]!P_1_5.1.9.3 [0]!Qté))</f>
        <v>#REF!</v>
      </c>
      <c r="C125" s="2" t="e">
        <f>([0]!P_1_5.1.9.3 [0]!PU)</f>
        <v>#REF!</v>
      </c>
      <c r="D125" s="2" t="e">
        <f>IF(ISTEXT(([0]!P_1_5.1.9.3 [0]!MT)),0,([0]!P_1_5.1.9.3 [0]!MT))</f>
        <v>#REF!</v>
      </c>
    </row>
    <row r="126" spans="1:4" x14ac:dyDescent="0.25">
      <c r="A126" s="1" t="s">
        <v>345</v>
      </c>
      <c r="B126" s="3" t="e">
        <f>IF(ISTEXT(([0]!P_1_5.1.9.4 [0]!Qté)),0,([0]!P_1_5.1.9.4 [0]!Qté))</f>
        <v>#REF!</v>
      </c>
      <c r="C126" s="2" t="e">
        <f>([0]!P_1_5.1.9.4 [0]!PU)</f>
        <v>#REF!</v>
      </c>
      <c r="D126" s="2" t="e">
        <f>IF(ISTEXT(([0]!P_1_5.1.9.4 [0]!MT)),0,([0]!P_1_5.1.9.4 [0]!MT))</f>
        <v>#REF!</v>
      </c>
    </row>
    <row r="127" spans="1:4" x14ac:dyDescent="0.25">
      <c r="A127" s="1" t="s">
        <v>346</v>
      </c>
      <c r="B127" s="3" t="e">
        <f>IF(ISTEXT(([0]!P_1_5.1.9.5 [0]!Qté)),0,([0]!P_1_5.1.9.5 [0]!Qté))</f>
        <v>#REF!</v>
      </c>
      <c r="C127" s="2" t="e">
        <f>([0]!P_1_5.1.9.5 [0]!PU)</f>
        <v>#REF!</v>
      </c>
      <c r="D127" s="2" t="e">
        <f>IF(ISTEXT(([0]!P_1_5.1.9.5 [0]!MT)),0,([0]!P_1_5.1.9.5 [0]!MT))</f>
        <v>#REF!</v>
      </c>
    </row>
    <row r="128" spans="1:4" x14ac:dyDescent="0.25">
      <c r="A128" s="1" t="s">
        <v>347</v>
      </c>
      <c r="B128" s="3" t="e">
        <f>IF(ISTEXT(([0]!P_1_5.1.9.6 [0]!Qté)),0,([0]!P_1_5.1.9.6 [0]!Qté))</f>
        <v>#REF!</v>
      </c>
      <c r="C128" s="2" t="e">
        <f>([0]!P_1_5.1.9.6 [0]!PU)</f>
        <v>#REF!</v>
      </c>
      <c r="D128" s="2" t="e">
        <f>IF(ISTEXT(([0]!P_1_5.1.9.6 [0]!MT)),0,([0]!P_1_5.1.9.6 [0]!MT))</f>
        <v>#REF!</v>
      </c>
    </row>
    <row r="129" spans="1:4" x14ac:dyDescent="0.25">
      <c r="A129" s="1" t="s">
        <v>348</v>
      </c>
      <c r="B129" s="3" t="e">
        <f>IF(ISTEXT(([0]!P_1_5.1.9.7 [0]!Qté)),0,([0]!P_1_5.1.9.7 [0]!Qté))</f>
        <v>#REF!</v>
      </c>
      <c r="C129" s="2" t="e">
        <f>([0]!P_1_5.1.9.7 [0]!PU)</f>
        <v>#REF!</v>
      </c>
      <c r="D129" s="2" t="e">
        <f>IF(ISTEXT(([0]!P_1_5.1.9.7 [0]!MT)),0,([0]!P_1_5.1.9.7 [0]!MT))</f>
        <v>#REF!</v>
      </c>
    </row>
    <row r="130" spans="1:4" x14ac:dyDescent="0.25">
      <c r="A130" s="1" t="s">
        <v>349</v>
      </c>
      <c r="B130" s="3" t="e">
        <f>IF(ISTEXT(([0]!P_1_5.1.9.8 [0]!Qté)),0,([0]!P_1_5.1.9.8 [0]!Qté))</f>
        <v>#REF!</v>
      </c>
      <c r="C130" s="2" t="e">
        <f>([0]!P_1_5.1.9.8 [0]!PU)</f>
        <v>#REF!</v>
      </c>
      <c r="D130" s="2" t="e">
        <f>IF(ISTEXT(([0]!P_1_5.1.9.8 [0]!MT)),0,([0]!P_1_5.1.9.8 [0]!MT))</f>
        <v>#REF!</v>
      </c>
    </row>
    <row r="131" spans="1:4" x14ac:dyDescent="0.25">
      <c r="A131" s="1" t="s">
        <v>350</v>
      </c>
      <c r="B131" s="3" t="e">
        <f>IF(ISTEXT(([0]!P_1_5.1.9.9 [0]!Qté)),0,([0]!P_1_5.1.9.9 [0]!Qté))</f>
        <v>#REF!</v>
      </c>
      <c r="C131" s="2" t="e">
        <f>([0]!P_1_5.1.9.9 [0]!PU)</f>
        <v>#REF!</v>
      </c>
      <c r="D131" s="2" t="e">
        <f>IF(ISTEXT(([0]!P_1_5.1.9.9 [0]!MT)),0,([0]!P_1_5.1.9.9 [0]!MT))</f>
        <v>#REF!</v>
      </c>
    </row>
    <row r="132" spans="1:4" x14ac:dyDescent="0.25">
      <c r="A132" s="1" t="s">
        <v>351</v>
      </c>
      <c r="B132" s="3" t="e">
        <f>IF(ISTEXT(([0]!P_1_5.1.9.10 [0]!Qté)),0,([0]!P_1_5.1.9.10 [0]!Qté))</f>
        <v>#REF!</v>
      </c>
      <c r="C132" s="2" t="e">
        <f>([0]!P_1_5.1.9.10 [0]!PU)</f>
        <v>#REF!</v>
      </c>
      <c r="D132" s="2" t="e">
        <f>IF(ISTEXT(([0]!P_1_5.1.9.10 [0]!MT)),0,([0]!P_1_5.1.9.10 [0]!MT))</f>
        <v>#REF!</v>
      </c>
    </row>
    <row r="133" spans="1:4" x14ac:dyDescent="0.25">
      <c r="A133" s="1" t="s">
        <v>352</v>
      </c>
      <c r="B133" s="3" t="e">
        <f>IF(ISTEXT(([0]!P_1_5.1.10.1 [0]!Qté)),0,([0]!P_1_5.1.10.1 [0]!Qté))</f>
        <v>#REF!</v>
      </c>
      <c r="C133" s="2" t="e">
        <f>([0]!P_1_5.1.10.1 [0]!PU)</f>
        <v>#REF!</v>
      </c>
      <c r="D133" s="2" t="e">
        <f>IF(ISTEXT(([0]!P_1_5.1.10.1 [0]!MT)),0,([0]!P_1_5.1.10.1 [0]!MT))</f>
        <v>#REF!</v>
      </c>
    </row>
    <row r="134" spans="1:4" x14ac:dyDescent="0.25">
      <c r="A134" s="1" t="s">
        <v>353</v>
      </c>
      <c r="B134" s="3" t="e">
        <f>IF(ISTEXT(([0]!P_1_5.1.10.2 [0]!Qté)),0,([0]!P_1_5.1.10.2 [0]!Qté))</f>
        <v>#REF!</v>
      </c>
      <c r="C134" s="2" t="e">
        <f>([0]!P_1_5.1.10.2 [0]!PU)</f>
        <v>#REF!</v>
      </c>
      <c r="D134" s="2" t="e">
        <f>IF(ISTEXT(([0]!P_1_5.1.10.2 [0]!MT)),0,([0]!P_1_5.1.10.2 [0]!MT))</f>
        <v>#REF!</v>
      </c>
    </row>
    <row r="135" spans="1:4" x14ac:dyDescent="0.25">
      <c r="A135" s="1" t="s">
        <v>354</v>
      </c>
      <c r="B135" s="3" t="e">
        <f>IF(ISTEXT(([0]!P_1_5.1.10.3 [0]!Qté)),0,([0]!P_1_5.1.10.3 [0]!Qté))</f>
        <v>#REF!</v>
      </c>
      <c r="C135" s="2" t="e">
        <f>([0]!P_1_5.1.10.3 [0]!PU)</f>
        <v>#REF!</v>
      </c>
      <c r="D135" s="2" t="e">
        <f>IF(ISTEXT(([0]!P_1_5.1.10.3 [0]!MT)),0,([0]!P_1_5.1.10.3 [0]!MT))</f>
        <v>#REF!</v>
      </c>
    </row>
    <row r="136" spans="1:4" x14ac:dyDescent="0.25">
      <c r="A136" s="1" t="s">
        <v>355</v>
      </c>
      <c r="B136" s="3" t="e">
        <f>IF(ISTEXT(([0]!P_1_5.1.11.1 [0]!Qté)),0,([0]!P_1_5.1.11.1 [0]!Qté))</f>
        <v>#REF!</v>
      </c>
      <c r="C136" s="2" t="e">
        <f>([0]!P_1_5.1.11.1 [0]!PU)</f>
        <v>#REF!</v>
      </c>
      <c r="D136" s="2" t="e">
        <f>IF(ISTEXT(([0]!P_1_5.1.11.1 [0]!MT)),0,([0]!P_1_5.1.11.1 [0]!MT))</f>
        <v>#REF!</v>
      </c>
    </row>
    <row r="137" spans="1:4" x14ac:dyDescent="0.25">
      <c r="A137" s="1" t="s">
        <v>431</v>
      </c>
      <c r="B137" s="3" t="e">
        <f>IF(ISTEXT(([0]!P_1_5.1.11.2 [0]!Qté)),0,([0]!P_1_5.1.11.2 [0]!Qté))</f>
        <v>#REF!</v>
      </c>
      <c r="C137" s="2" t="e">
        <f>([0]!P_1_5.1.11.2 [0]!PU)</f>
        <v>#REF!</v>
      </c>
      <c r="D137" s="2" t="e">
        <f>IF(ISTEXT(([0]!P_1_5.1.11.2 [0]!MT)),0,([0]!P_1_5.1.11.2 [0]!MT))</f>
        <v>#REF!</v>
      </c>
    </row>
    <row r="138" spans="1:4" x14ac:dyDescent="0.25">
      <c r="A138" s="1" t="s">
        <v>432</v>
      </c>
      <c r="B138" s="3" t="e">
        <f>IF(ISTEXT(([0]!P_1_5.1.11.3 [0]!Qté)),0,([0]!P_1_5.1.11.3 [0]!Qté))</f>
        <v>#REF!</v>
      </c>
      <c r="C138" s="2" t="e">
        <f>([0]!P_1_5.1.11.3 [0]!PU)</f>
        <v>#REF!</v>
      </c>
      <c r="D138" s="2" t="e">
        <f>IF(ISTEXT(([0]!P_1_5.1.11.3 [0]!MT)),0,([0]!P_1_5.1.11.3 [0]!MT))</f>
        <v>#REF!</v>
      </c>
    </row>
    <row r="139" spans="1:4" x14ac:dyDescent="0.25">
      <c r="A139" s="1" t="s">
        <v>356</v>
      </c>
      <c r="B139" s="3" t="e">
        <f>IF(ISTEXT(([0]!P_1_5.1.12 [0]!Qté)),0,([0]!P_1_5.1.12 [0]!Qté))</f>
        <v>#REF!</v>
      </c>
      <c r="C139" s="2" t="e">
        <f>([0]!P_1_5.1.12 [0]!PU)</f>
        <v>#REF!</v>
      </c>
      <c r="D139" s="2" t="e">
        <f>IF(ISTEXT(([0]!P_1_5.1.12 [0]!MT)),0,([0]!P_1_5.1.12 [0]!MT))</f>
        <v>#REF!</v>
      </c>
    </row>
    <row r="140" spans="1:4" x14ac:dyDescent="0.25">
      <c r="A140" s="1" t="s">
        <v>357</v>
      </c>
      <c r="B140" s="3" t="e">
        <f>IF(ISTEXT(([0]!P_1_5.1.13.1 [0]!Qté)),0,([0]!P_1_5.1.13.1 [0]!Qté))</f>
        <v>#REF!</v>
      </c>
      <c r="C140" s="2" t="e">
        <f>([0]!P_1_5.1.13.1 [0]!PU)</f>
        <v>#REF!</v>
      </c>
      <c r="D140" s="2" t="e">
        <f>IF(ISTEXT(([0]!P_1_5.1.13.1 [0]!MT)),0,([0]!P_1_5.1.13.1 [0]!MT))</f>
        <v>#REF!</v>
      </c>
    </row>
    <row r="141" spans="1:4" x14ac:dyDescent="0.25">
      <c r="A141" s="1" t="s">
        <v>358</v>
      </c>
      <c r="B141" s="3" t="e">
        <f>IF(ISTEXT(([0]!P_1_5.1.13.2 [0]!Qté)),0,([0]!P_1_5.1.13.2 [0]!Qté))</f>
        <v>#REF!</v>
      </c>
      <c r="C141" s="2" t="e">
        <f>([0]!P_1_5.1.13.2 [0]!PU)</f>
        <v>#REF!</v>
      </c>
      <c r="D141" s="2" t="e">
        <f>IF(ISTEXT(([0]!P_1_5.1.13.2 [0]!MT)),0,([0]!P_1_5.1.13.2 [0]!MT))</f>
        <v>#REF!</v>
      </c>
    </row>
    <row r="142" spans="1:4" x14ac:dyDescent="0.25">
      <c r="A142" s="1" t="s">
        <v>359</v>
      </c>
      <c r="B142" s="3" t="e">
        <f>IF(ISTEXT(([0]!P_1_5.2.1.1 [0]!Qté)),0,([0]!P_1_5.2.1.1 [0]!Qté))</f>
        <v>#REF!</v>
      </c>
      <c r="C142" s="2" t="e">
        <f>([0]!P_1_5.2.1.1 [0]!PU)</f>
        <v>#REF!</v>
      </c>
      <c r="D142" s="2" t="e">
        <f>IF(ISTEXT(([0]!P_1_5.2.1.1 [0]!MT)),0,([0]!P_1_5.2.1.1 [0]!MT))</f>
        <v>#REF!</v>
      </c>
    </row>
    <row r="143" spans="1:4" x14ac:dyDescent="0.25">
      <c r="A143" s="1" t="s">
        <v>433</v>
      </c>
      <c r="B143" s="3" t="e">
        <f>IF(ISTEXT(([0]!P_1_5.2.1.2 [0]!Qté)),0,([0]!P_1_5.2.1.2 [0]!Qté))</f>
        <v>#REF!</v>
      </c>
      <c r="C143" s="2" t="e">
        <f>([0]!P_1_5.2.1.2 [0]!PU)</f>
        <v>#REF!</v>
      </c>
      <c r="D143" s="2" t="e">
        <f>IF(ISTEXT(([0]!P_1_5.2.1.2 [0]!MT)),0,([0]!P_1_5.2.1.2 [0]!MT))</f>
        <v>#REF!</v>
      </c>
    </row>
    <row r="144" spans="1:4" x14ac:dyDescent="0.25">
      <c r="A144" s="1" t="s">
        <v>360</v>
      </c>
      <c r="B144" s="3" t="e">
        <f>IF(ISTEXT(([0]!P_1_5.2.1.3 [0]!Qté)),0,([0]!P_1_5.2.1.3 [0]!Qté))</f>
        <v>#REF!</v>
      </c>
      <c r="C144" s="2" t="e">
        <f>([0]!P_1_5.2.1.3 [0]!PU)</f>
        <v>#REF!</v>
      </c>
      <c r="D144" s="2" t="e">
        <f>IF(ISTEXT(([0]!P_1_5.2.1.3 [0]!MT)),0,([0]!P_1_5.2.1.3 [0]!MT))</f>
        <v>#REF!</v>
      </c>
    </row>
    <row r="145" spans="1:4" x14ac:dyDescent="0.25">
      <c r="A145" s="1" t="s">
        <v>361</v>
      </c>
      <c r="B145" s="3" t="e">
        <f>IF(ISTEXT(([0]!P_1_5.2.1.4 [0]!Qté)),0,([0]!P_1_5.2.1.4 [0]!Qté))</f>
        <v>#REF!</v>
      </c>
      <c r="C145" s="2" t="e">
        <f>([0]!P_1_5.2.1.4 [0]!PU)</f>
        <v>#REF!</v>
      </c>
      <c r="D145" s="2" t="e">
        <f>IF(ISTEXT(([0]!P_1_5.2.1.4 [0]!MT)),0,([0]!P_1_5.2.1.4 [0]!MT))</f>
        <v>#REF!</v>
      </c>
    </row>
    <row r="146" spans="1:4" x14ac:dyDescent="0.25">
      <c r="A146" s="1" t="s">
        <v>362</v>
      </c>
      <c r="B146" s="3" t="e">
        <f>IF(ISTEXT(([0]!P_1_5.2.1.5 [0]!Qté)),0,([0]!P_1_5.2.1.5 [0]!Qté))</f>
        <v>#REF!</v>
      </c>
      <c r="C146" s="2" t="e">
        <f>([0]!P_1_5.2.1.5 [0]!PU)</f>
        <v>#REF!</v>
      </c>
      <c r="D146" s="2" t="e">
        <f>IF(ISTEXT(([0]!P_1_5.2.1.5 [0]!MT)),0,([0]!P_1_5.2.1.5 [0]!MT))</f>
        <v>#REF!</v>
      </c>
    </row>
    <row r="147" spans="1:4" x14ac:dyDescent="0.25">
      <c r="A147" s="1" t="s">
        <v>363</v>
      </c>
      <c r="B147" s="3" t="e">
        <f>IF(ISTEXT(([0]!P_1_5.2.1.6 [0]!Qté)),0,([0]!P_1_5.2.1.6 [0]!Qté))</f>
        <v>#REF!</v>
      </c>
      <c r="C147" s="2" t="e">
        <f>([0]!P_1_5.2.1.6 [0]!PU)</f>
        <v>#REF!</v>
      </c>
      <c r="D147" s="2" t="e">
        <f>IF(ISTEXT(([0]!P_1_5.2.1.6 [0]!MT)),0,([0]!P_1_5.2.1.6 [0]!MT))</f>
        <v>#REF!</v>
      </c>
    </row>
    <row r="148" spans="1:4" x14ac:dyDescent="0.25">
      <c r="A148" s="1" t="s">
        <v>364</v>
      </c>
      <c r="B148" s="3" t="e">
        <f>IF(ISTEXT(([0]!P_1_5.2.1.7 [0]!Qté)),0,([0]!P_1_5.2.1.7 [0]!Qté))</f>
        <v>#REF!</v>
      </c>
      <c r="C148" s="2" t="e">
        <f>([0]!P_1_5.2.1.7 [0]!PU)</f>
        <v>#REF!</v>
      </c>
      <c r="D148" s="2" t="e">
        <f>IF(ISTEXT(([0]!P_1_5.2.1.7 [0]!MT)),0,([0]!P_1_5.2.1.7 [0]!MT))</f>
        <v>#REF!</v>
      </c>
    </row>
    <row r="149" spans="1:4" x14ac:dyDescent="0.25">
      <c r="A149" s="1" t="s">
        <v>365</v>
      </c>
      <c r="B149" s="3" t="e">
        <f>IF(ISTEXT(([0]!P_1_5.2.1.8 [0]!Qté)),0,([0]!P_1_5.2.1.8 [0]!Qté))</f>
        <v>#REF!</v>
      </c>
      <c r="C149" s="2" t="e">
        <f>([0]!P_1_5.2.1.8 [0]!PU)</f>
        <v>#REF!</v>
      </c>
      <c r="D149" s="2" t="e">
        <f>IF(ISTEXT(([0]!P_1_5.2.1.8 [0]!MT)),0,([0]!P_1_5.2.1.8 [0]!MT))</f>
        <v>#REF!</v>
      </c>
    </row>
    <row r="150" spans="1:4" x14ac:dyDescent="0.25">
      <c r="A150" s="1" t="s">
        <v>366</v>
      </c>
      <c r="B150" s="3" t="e">
        <f>IF(ISTEXT(([0]!P_1_5.2.1.9 [0]!Qté)),0,([0]!P_1_5.2.1.9 [0]!Qté))</f>
        <v>#REF!</v>
      </c>
      <c r="C150" s="2" t="e">
        <f>([0]!P_1_5.2.1.9 [0]!PU)</f>
        <v>#REF!</v>
      </c>
      <c r="D150" s="2" t="e">
        <f>IF(ISTEXT(([0]!P_1_5.2.1.9 [0]!MT)),0,([0]!P_1_5.2.1.9 [0]!MT))</f>
        <v>#REF!</v>
      </c>
    </row>
    <row r="151" spans="1:4" x14ac:dyDescent="0.25">
      <c r="A151" s="1" t="s">
        <v>367</v>
      </c>
      <c r="B151" s="3" t="e">
        <f>IF(ISTEXT(([0]!P_1_5.2.1.10 [0]!Qté)),0,([0]!P_1_5.2.1.10 [0]!Qté))</f>
        <v>#REF!</v>
      </c>
      <c r="C151" s="2" t="e">
        <f>([0]!P_1_5.2.1.10 [0]!PU)</f>
        <v>#REF!</v>
      </c>
      <c r="D151" s="2" t="e">
        <f>IF(ISTEXT(([0]!P_1_5.2.1.10 [0]!MT)),0,([0]!P_1_5.2.1.10 [0]!MT))</f>
        <v>#REF!</v>
      </c>
    </row>
    <row r="152" spans="1:4" x14ac:dyDescent="0.25">
      <c r="A152" s="1" t="s">
        <v>368</v>
      </c>
      <c r="B152" s="3" t="e">
        <f>IF(ISTEXT(([0]!P_1_5.2.1.11 [0]!Qté)),0,([0]!P_1_5.2.1.11 [0]!Qté))</f>
        <v>#REF!</v>
      </c>
      <c r="C152" s="2" t="e">
        <f>([0]!P_1_5.2.1.11 [0]!PU)</f>
        <v>#REF!</v>
      </c>
      <c r="D152" s="2" t="e">
        <f>IF(ISTEXT(([0]!P_1_5.2.1.11 [0]!MT)),0,([0]!P_1_5.2.1.11 [0]!MT))</f>
        <v>#REF!</v>
      </c>
    </row>
    <row r="153" spans="1:4" x14ac:dyDescent="0.25">
      <c r="A153" s="1" t="s">
        <v>369</v>
      </c>
      <c r="B153" s="3" t="e">
        <f>IF(ISTEXT(([0]!P_1_5.2.1.12 [0]!Qté)),0,([0]!P_1_5.2.1.12 [0]!Qté))</f>
        <v>#REF!</v>
      </c>
      <c r="C153" s="2" t="e">
        <f>([0]!P_1_5.2.1.12 [0]!PU)</f>
        <v>#REF!</v>
      </c>
      <c r="D153" s="2" t="e">
        <f>IF(ISTEXT(([0]!P_1_5.2.1.12 [0]!MT)),0,([0]!P_1_5.2.1.12 [0]!MT))</f>
        <v>#REF!</v>
      </c>
    </row>
    <row r="154" spans="1:4" x14ac:dyDescent="0.25">
      <c r="A154" s="1" t="s">
        <v>370</v>
      </c>
      <c r="B154" s="3" t="e">
        <f>IF(ISTEXT(([0]!P_1_5.2.1.13 [0]!Qté)),0,([0]!P_1_5.2.1.13 [0]!Qté))</f>
        <v>#REF!</v>
      </c>
      <c r="C154" s="2" t="e">
        <f>([0]!P_1_5.2.1.13 [0]!PU)</f>
        <v>#REF!</v>
      </c>
      <c r="D154" s="2" t="e">
        <f>IF(ISTEXT(([0]!P_1_5.2.1.13 [0]!MT)),0,([0]!P_1_5.2.1.13 [0]!MT))</f>
        <v>#REF!</v>
      </c>
    </row>
    <row r="155" spans="1:4" x14ac:dyDescent="0.25">
      <c r="A155" s="1" t="s">
        <v>434</v>
      </c>
      <c r="B155" s="3" t="e">
        <f>IF(ISTEXT(([0]!P_1_5.2.2.1 [0]!Qté)),0,([0]!P_1_5.2.2.1 [0]!Qté))</f>
        <v>#REF!</v>
      </c>
      <c r="C155" s="2" t="e">
        <f>([0]!P_1_5.2.2.1 [0]!PU)</f>
        <v>#REF!</v>
      </c>
      <c r="D155" s="2" t="e">
        <f>IF(ISTEXT(([0]!P_1_5.2.2.1 [0]!MT)),0,([0]!P_1_5.2.2.1 [0]!MT))</f>
        <v>#REF!</v>
      </c>
    </row>
    <row r="156" spans="1:4" x14ac:dyDescent="0.25">
      <c r="A156" s="1" t="s">
        <v>435</v>
      </c>
      <c r="B156" s="3" t="e">
        <f>IF(ISTEXT(([0]!P_1_5.2.2.2 [0]!Qté)),0,([0]!P_1_5.2.2.2 [0]!Qté))</f>
        <v>#REF!</v>
      </c>
      <c r="C156" s="2" t="e">
        <f>([0]!P_1_5.2.2.2 [0]!PU)</f>
        <v>#REF!</v>
      </c>
      <c r="D156" s="2" t="e">
        <f>IF(ISTEXT(([0]!P_1_5.2.2.2 [0]!MT)),0,([0]!P_1_5.2.2.2 [0]!MT))</f>
        <v>#REF!</v>
      </c>
    </row>
    <row r="157" spans="1:4" x14ac:dyDescent="0.25">
      <c r="A157" s="1" t="s">
        <v>371</v>
      </c>
      <c r="B157" s="3" t="e">
        <f>IF(ISTEXT(([0]!P_1_5.2.2.3 [0]!Qté)),0,([0]!P_1_5.2.2.3 [0]!Qté))</f>
        <v>#REF!</v>
      </c>
      <c r="C157" s="2" t="e">
        <f>([0]!P_1_5.2.2.3 [0]!PU)</f>
        <v>#REF!</v>
      </c>
      <c r="D157" s="2" t="e">
        <f>IF(ISTEXT(([0]!P_1_5.2.2.3 [0]!MT)),0,([0]!P_1_5.2.2.3 [0]!MT))</f>
        <v>#REF!</v>
      </c>
    </row>
    <row r="158" spans="1:4" x14ac:dyDescent="0.25">
      <c r="A158" s="1" t="s">
        <v>436</v>
      </c>
      <c r="B158" s="3" t="e">
        <f>IF(ISTEXT(([0]!P_1_5.2.2.4 [0]!Qté)),0,([0]!P_1_5.2.2.4 [0]!Qté))</f>
        <v>#REF!</v>
      </c>
      <c r="C158" s="2" t="e">
        <f>([0]!P_1_5.2.2.4 [0]!PU)</f>
        <v>#REF!</v>
      </c>
      <c r="D158" s="2" t="e">
        <f>IF(ISTEXT(([0]!P_1_5.2.2.4 [0]!MT)),0,([0]!P_1_5.2.2.4 [0]!MT))</f>
        <v>#REF!</v>
      </c>
    </row>
    <row r="159" spans="1:4" x14ac:dyDescent="0.25">
      <c r="A159" s="1" t="s">
        <v>437</v>
      </c>
      <c r="B159" s="3" t="e">
        <f>IF(ISTEXT(([0]!P_1_5.2.2.5 [0]!Qté)),0,([0]!P_1_5.2.2.5 [0]!Qté))</f>
        <v>#REF!</v>
      </c>
      <c r="C159" s="2" t="e">
        <f>([0]!P_1_5.2.2.5 [0]!PU)</f>
        <v>#REF!</v>
      </c>
      <c r="D159" s="2" t="e">
        <f>IF(ISTEXT(([0]!P_1_5.2.2.5 [0]!MT)),0,([0]!P_1_5.2.2.5 [0]!MT))</f>
        <v>#REF!</v>
      </c>
    </row>
    <row r="160" spans="1:4" x14ac:dyDescent="0.25">
      <c r="A160" s="1" t="s">
        <v>372</v>
      </c>
      <c r="B160" s="3" t="e">
        <f>IF(ISTEXT(([0]!P_1_5.2.2.6 [0]!Qté)),0,([0]!P_1_5.2.2.6 [0]!Qté))</f>
        <v>#REF!</v>
      </c>
      <c r="C160" s="2" t="e">
        <f>([0]!P_1_5.2.2.6 [0]!PU)</f>
        <v>#REF!</v>
      </c>
      <c r="D160" s="2" t="e">
        <f>IF(ISTEXT(([0]!P_1_5.2.2.6 [0]!MT)),0,([0]!P_1_5.2.2.6 [0]!MT))</f>
        <v>#REF!</v>
      </c>
    </row>
    <row r="161" spans="1:4" x14ac:dyDescent="0.25">
      <c r="A161" s="1" t="s">
        <v>373</v>
      </c>
      <c r="B161" s="3" t="e">
        <f>IF(ISTEXT(([0]!P_1_5.2.2.7 [0]!Qté)),0,([0]!P_1_5.2.2.7 [0]!Qté))</f>
        <v>#REF!</v>
      </c>
      <c r="C161" s="2" t="e">
        <f>([0]!P_1_5.2.2.7 [0]!PU)</f>
        <v>#REF!</v>
      </c>
      <c r="D161" s="2" t="e">
        <f>IF(ISTEXT(([0]!P_1_5.2.2.7 [0]!MT)),0,([0]!P_1_5.2.2.7 [0]!MT))</f>
        <v>#REF!</v>
      </c>
    </row>
    <row r="162" spans="1:4" x14ac:dyDescent="0.25">
      <c r="A162" s="1" t="s">
        <v>374</v>
      </c>
      <c r="B162" s="3" t="e">
        <f>IF(ISTEXT(([0]!P_1_5.2.2.8 [0]!Qté)),0,([0]!P_1_5.2.2.8 [0]!Qté))</f>
        <v>#REF!</v>
      </c>
      <c r="C162" s="2" t="e">
        <f>([0]!P_1_5.2.2.8 [0]!PU)</f>
        <v>#REF!</v>
      </c>
      <c r="D162" s="2" t="e">
        <f>IF(ISTEXT(([0]!P_1_5.2.2.8 [0]!MT)),0,([0]!P_1_5.2.2.8 [0]!MT))</f>
        <v>#REF!</v>
      </c>
    </row>
    <row r="163" spans="1:4" x14ac:dyDescent="0.25">
      <c r="A163" s="1" t="s">
        <v>438</v>
      </c>
      <c r="B163" s="3" t="e">
        <f>IF(ISTEXT(([0]!P_1_5.2.2.9 [0]!Qté)),0,([0]!P_1_5.2.2.9 [0]!Qté))</f>
        <v>#REF!</v>
      </c>
      <c r="C163" s="2" t="e">
        <f>([0]!P_1_5.2.2.9 [0]!PU)</f>
        <v>#REF!</v>
      </c>
      <c r="D163" s="2" t="e">
        <f>IF(ISTEXT(([0]!P_1_5.2.2.9 [0]!MT)),0,([0]!P_1_5.2.2.9 [0]!MT))</f>
        <v>#REF!</v>
      </c>
    </row>
    <row r="164" spans="1:4" x14ac:dyDescent="0.25">
      <c r="A164" s="1" t="s">
        <v>375</v>
      </c>
      <c r="B164" s="3" t="e">
        <f>IF(ISTEXT(([0]!P_1_5.2.2.10 [0]!Qté)),0,([0]!P_1_5.2.2.10 [0]!Qté))</f>
        <v>#REF!</v>
      </c>
      <c r="C164" s="2" t="e">
        <f>([0]!P_1_5.2.2.10 [0]!PU)</f>
        <v>#REF!</v>
      </c>
      <c r="D164" s="2" t="e">
        <f>IF(ISTEXT(([0]!P_1_5.2.2.10 [0]!MT)),0,([0]!P_1_5.2.2.10 [0]!MT))</f>
        <v>#REF!</v>
      </c>
    </row>
    <row r="165" spans="1:4" x14ac:dyDescent="0.25">
      <c r="A165" s="1" t="s">
        <v>439</v>
      </c>
      <c r="B165" s="3" t="e">
        <f>IF(ISTEXT(([0]!P_1_5.2.3.1 [0]!Qté)),0,([0]!P_1_5.2.3.1 [0]!Qté))</f>
        <v>#REF!</v>
      </c>
      <c r="C165" s="2" t="e">
        <f>([0]!P_1_5.2.3.1 [0]!PU)</f>
        <v>#REF!</v>
      </c>
      <c r="D165" s="2" t="e">
        <f>IF(ISTEXT(([0]!P_1_5.2.3.1 [0]!MT)),0,([0]!P_1_5.2.3.1 [0]!MT))</f>
        <v>#REF!</v>
      </c>
    </row>
    <row r="166" spans="1:4" x14ac:dyDescent="0.25">
      <c r="A166" s="1" t="s">
        <v>376</v>
      </c>
      <c r="B166" s="3" t="e">
        <f>IF(ISTEXT(([0]!P_1_5.2.3.2 [0]!Qté)),0,([0]!P_1_5.2.3.2 [0]!Qté))</f>
        <v>#REF!</v>
      </c>
      <c r="C166" s="2" t="e">
        <f>([0]!P_1_5.2.3.2 [0]!PU)</f>
        <v>#REF!</v>
      </c>
      <c r="D166" s="2" t="e">
        <f>IF(ISTEXT(([0]!P_1_5.2.3.2 [0]!MT)),0,([0]!P_1_5.2.3.2 [0]!MT))</f>
        <v>#REF!</v>
      </c>
    </row>
    <row r="167" spans="1:4" x14ac:dyDescent="0.25">
      <c r="A167" s="1" t="s">
        <v>119</v>
      </c>
      <c r="B167" s="3" t="e">
        <f>IF(ISTEXT(([0]!P_1_5.2.4.1 [0]!Qté)),0,([0]!P_1_5.2.4.1 [0]!Qté))</f>
        <v>#REF!</v>
      </c>
      <c r="C167" s="2" t="e">
        <f>([0]!P_1_5.2.4.1 [0]!PU)</f>
        <v>#REF!</v>
      </c>
      <c r="D167" s="2" t="e">
        <f>IF(ISTEXT(([0]!P_1_5.2.4.1 [0]!MT)),0,([0]!P_1_5.2.4.1 [0]!MT))</f>
        <v>#REF!</v>
      </c>
    </row>
    <row r="168" spans="1:4" x14ac:dyDescent="0.25">
      <c r="A168" s="1" t="s">
        <v>377</v>
      </c>
      <c r="B168" s="3" t="e">
        <f>IF(ISTEXT(([0]!P_1_5.2.4.2 [0]!Qté)),0,([0]!P_1_5.2.4.2 [0]!Qté))</f>
        <v>#REF!</v>
      </c>
      <c r="C168" s="2" t="e">
        <f>([0]!P_1_5.2.4.2 [0]!PU)</f>
        <v>#REF!</v>
      </c>
      <c r="D168" s="2" t="e">
        <f>IF(ISTEXT(([0]!P_1_5.2.4.2 [0]!MT)),0,([0]!P_1_5.2.4.2 [0]!MT))</f>
        <v>#REF!</v>
      </c>
    </row>
    <row r="169" spans="1:4" x14ac:dyDescent="0.25">
      <c r="A169" s="1" t="s">
        <v>378</v>
      </c>
      <c r="B169" s="3" t="e">
        <f>IF(ISTEXT(([0]!P_1_5.2.4.3 [0]!Qté)),0,([0]!P_1_5.2.4.3 [0]!Qté))</f>
        <v>#REF!</v>
      </c>
      <c r="C169" s="2" t="e">
        <f>([0]!P_1_5.2.4.3 [0]!PU)</f>
        <v>#REF!</v>
      </c>
      <c r="D169" s="2" t="e">
        <f>IF(ISTEXT(([0]!P_1_5.2.4.3 [0]!MT)),0,([0]!P_1_5.2.4.3 [0]!MT))</f>
        <v>#REF!</v>
      </c>
    </row>
    <row r="170" spans="1:4" x14ac:dyDescent="0.25">
      <c r="A170" s="1" t="s">
        <v>379</v>
      </c>
      <c r="B170" s="3" t="e">
        <f>IF(ISTEXT(([0]!P_1_5.2.4.4 [0]!Qté)),0,([0]!P_1_5.2.4.4 [0]!Qté))</f>
        <v>#REF!</v>
      </c>
      <c r="C170" s="2" t="e">
        <f>([0]!P_1_5.2.4.4 [0]!PU)</f>
        <v>#REF!</v>
      </c>
      <c r="D170" s="2" t="e">
        <f>IF(ISTEXT(([0]!P_1_5.2.4.4 [0]!MT)),0,([0]!P_1_5.2.4.4 [0]!MT))</f>
        <v>#REF!</v>
      </c>
    </row>
    <row r="171" spans="1:4" x14ac:dyDescent="0.25">
      <c r="A171" s="1" t="s">
        <v>120</v>
      </c>
      <c r="B171" s="3" t="e">
        <f>IF(ISTEXT(([0]!P_1_5.2.4.5 [0]!Qté)),0,([0]!P_1_5.2.4.5 [0]!Qté))</f>
        <v>#REF!</v>
      </c>
      <c r="C171" s="2" t="e">
        <f>([0]!P_1_5.2.4.5 [0]!PU)</f>
        <v>#REF!</v>
      </c>
      <c r="D171" s="2" t="e">
        <f>IF(ISTEXT(([0]!P_1_5.2.4.5 [0]!MT)),0,([0]!P_1_5.2.4.5 [0]!MT))</f>
        <v>#REF!</v>
      </c>
    </row>
    <row r="172" spans="1:4" x14ac:dyDescent="0.25">
      <c r="A172" s="1" t="s">
        <v>380</v>
      </c>
      <c r="B172" s="3" t="e">
        <f>IF(ISTEXT(([0]!P_1_5.2.4.6 [0]!Qté)),0,([0]!P_1_5.2.4.6 [0]!Qté))</f>
        <v>#REF!</v>
      </c>
      <c r="C172" s="2" t="e">
        <f>([0]!P_1_5.2.4.6 [0]!PU)</f>
        <v>#REF!</v>
      </c>
      <c r="D172" s="2" t="e">
        <f>IF(ISTEXT(([0]!P_1_5.2.4.6 [0]!MT)),0,([0]!P_1_5.2.4.6 [0]!MT))</f>
        <v>#REF!</v>
      </c>
    </row>
    <row r="173" spans="1:4" x14ac:dyDescent="0.25">
      <c r="A173" s="1" t="s">
        <v>381</v>
      </c>
      <c r="B173" s="3" t="e">
        <f>IF(ISTEXT(([0]!P_1_5.2.4.7 [0]!Qté)),0,([0]!P_1_5.2.4.7 [0]!Qté))</f>
        <v>#REF!</v>
      </c>
      <c r="C173" s="2" t="e">
        <f>([0]!P_1_5.2.4.7 [0]!PU)</f>
        <v>#REF!</v>
      </c>
      <c r="D173" s="2" t="e">
        <f>IF(ISTEXT(([0]!P_1_5.2.4.7 [0]!MT)),0,([0]!P_1_5.2.4.7 [0]!MT))</f>
        <v>#REF!</v>
      </c>
    </row>
    <row r="174" spans="1:4" x14ac:dyDescent="0.25">
      <c r="A174" s="1" t="s">
        <v>121</v>
      </c>
      <c r="B174" s="3" t="e">
        <f>IF(ISTEXT(([0]!P_1_5.2.4.8 [0]!Qté)),0,([0]!P_1_5.2.4.8 [0]!Qté))</f>
        <v>#REF!</v>
      </c>
      <c r="C174" s="2" t="e">
        <f>([0]!P_1_5.2.4.8 [0]!PU)</f>
        <v>#REF!</v>
      </c>
      <c r="D174" s="2" t="e">
        <f>IF(ISTEXT(([0]!P_1_5.2.4.8 [0]!MT)),0,([0]!P_1_5.2.4.8 [0]!MT))</f>
        <v>#REF!</v>
      </c>
    </row>
    <row r="175" spans="1:4" x14ac:dyDescent="0.25">
      <c r="A175" s="1" t="s">
        <v>122</v>
      </c>
      <c r="B175" s="3" t="e">
        <f>IF(ISTEXT(([0]!P_1_5.2.4.9 [0]!Qté)),0,([0]!P_1_5.2.4.9 [0]!Qté))</f>
        <v>#REF!</v>
      </c>
      <c r="C175" s="2" t="e">
        <f>([0]!P_1_5.2.4.9 [0]!PU)</f>
        <v>#REF!</v>
      </c>
      <c r="D175" s="2" t="e">
        <f>IF(ISTEXT(([0]!P_1_5.2.4.9 [0]!MT)),0,([0]!P_1_5.2.4.9 [0]!MT))</f>
        <v>#REF!</v>
      </c>
    </row>
    <row r="176" spans="1:4" x14ac:dyDescent="0.25">
      <c r="A176" s="1" t="s">
        <v>382</v>
      </c>
      <c r="B176" s="3" t="e">
        <f>IF(ISTEXT(([0]!P_1_5.2.4.10 [0]!Qté)),0,([0]!P_1_5.2.4.10 [0]!Qté))</f>
        <v>#REF!</v>
      </c>
      <c r="C176" s="2" t="e">
        <f>([0]!P_1_5.2.4.10 [0]!PU)</f>
        <v>#REF!</v>
      </c>
      <c r="D176" s="2" t="e">
        <f>IF(ISTEXT(([0]!P_1_5.2.4.10 [0]!MT)),0,([0]!P_1_5.2.4.10 [0]!MT))</f>
        <v>#REF!</v>
      </c>
    </row>
    <row r="177" spans="1:4" x14ac:dyDescent="0.25">
      <c r="A177" s="1" t="s">
        <v>383</v>
      </c>
      <c r="B177" s="3" t="e">
        <f>IF(ISTEXT(([0]!P_1_5.2.4.11 [0]!Qté)),0,([0]!P_1_5.2.4.11 [0]!Qté))</f>
        <v>#REF!</v>
      </c>
      <c r="C177" s="2" t="e">
        <f>([0]!P_1_5.2.4.11 [0]!PU)</f>
        <v>#REF!</v>
      </c>
      <c r="D177" s="2" t="e">
        <f>IF(ISTEXT(([0]!P_1_5.2.4.11 [0]!MT)),0,([0]!P_1_5.2.4.11 [0]!MT))</f>
        <v>#REF!</v>
      </c>
    </row>
    <row r="178" spans="1:4" x14ac:dyDescent="0.25">
      <c r="A178" s="1" t="s">
        <v>384</v>
      </c>
      <c r="B178" s="3" t="e">
        <f>IF(ISTEXT(([0]!P_1_5.2.4.12 [0]!Qté)),0,([0]!P_1_5.2.4.12 [0]!Qté))</f>
        <v>#REF!</v>
      </c>
      <c r="C178" s="2" t="e">
        <f>([0]!P_1_5.2.4.12 [0]!PU)</f>
        <v>#REF!</v>
      </c>
      <c r="D178" s="2" t="e">
        <f>IF(ISTEXT(([0]!P_1_5.2.4.12 [0]!MT)),0,([0]!P_1_5.2.4.12 [0]!MT))</f>
        <v>#REF!</v>
      </c>
    </row>
    <row r="179" spans="1:4" x14ac:dyDescent="0.25">
      <c r="A179" s="1" t="s">
        <v>385</v>
      </c>
      <c r="B179" s="3" t="e">
        <f>IF(ISTEXT(([0]!P_1_5.2.4.13 [0]!Qté)),0,([0]!P_1_5.2.4.13 [0]!Qté))</f>
        <v>#REF!</v>
      </c>
      <c r="C179" s="2" t="e">
        <f>([0]!P_1_5.2.4.13 [0]!PU)</f>
        <v>#REF!</v>
      </c>
      <c r="D179" s="2" t="e">
        <f>IF(ISTEXT(([0]!P_1_5.2.4.13 [0]!MT)),0,([0]!P_1_5.2.4.13 [0]!MT))</f>
        <v>#REF!</v>
      </c>
    </row>
    <row r="180" spans="1:4" x14ac:dyDescent="0.25">
      <c r="A180" s="1" t="s">
        <v>386</v>
      </c>
      <c r="B180" s="3" t="e">
        <f>IF(ISTEXT(([0]!P_1_5.2.4.14 [0]!Qté)),0,([0]!P_1_5.2.4.14 [0]!Qté))</f>
        <v>#REF!</v>
      </c>
      <c r="C180" s="2" t="e">
        <f>([0]!P_1_5.2.4.14 [0]!PU)</f>
        <v>#REF!</v>
      </c>
      <c r="D180" s="2" t="e">
        <f>IF(ISTEXT(([0]!P_1_5.2.4.14 [0]!MT)),0,([0]!P_1_5.2.4.14 [0]!MT))</f>
        <v>#REF!</v>
      </c>
    </row>
    <row r="181" spans="1:4" x14ac:dyDescent="0.25">
      <c r="A181" s="1" t="s">
        <v>387</v>
      </c>
      <c r="B181" s="3" t="e">
        <f>IF(ISTEXT(([0]!P_1_5.2.4.15 [0]!Qté)),0,([0]!P_1_5.2.4.15 [0]!Qté))</f>
        <v>#REF!</v>
      </c>
      <c r="C181" s="2" t="e">
        <f>([0]!P_1_5.2.4.15 [0]!PU)</f>
        <v>#REF!</v>
      </c>
      <c r="D181" s="2" t="e">
        <f>IF(ISTEXT(([0]!P_1_5.2.4.15 [0]!MT)),0,([0]!P_1_5.2.4.15 [0]!MT))</f>
        <v>#REF!</v>
      </c>
    </row>
    <row r="182" spans="1:4" x14ac:dyDescent="0.25">
      <c r="A182" s="1" t="s">
        <v>388</v>
      </c>
      <c r="B182" s="3" t="e">
        <f>IF(ISTEXT(([0]!P_1_5.2.4.16 [0]!Qté)),0,([0]!P_1_5.2.4.16 [0]!Qté))</f>
        <v>#REF!</v>
      </c>
      <c r="C182" s="2" t="e">
        <f>([0]!P_1_5.2.4.16 [0]!PU)</f>
        <v>#REF!</v>
      </c>
      <c r="D182" s="2" t="e">
        <f>IF(ISTEXT(([0]!P_1_5.2.4.16 [0]!MT)),0,([0]!P_1_5.2.4.16 [0]!MT))</f>
        <v>#REF!</v>
      </c>
    </row>
    <row r="183" spans="1:4" x14ac:dyDescent="0.25">
      <c r="A183" s="1" t="s">
        <v>389</v>
      </c>
      <c r="B183" s="3" t="e">
        <f>IF(ISTEXT(([0]!P_1_5.2.4.17 [0]!Qté)),0,([0]!P_1_5.2.4.17 [0]!Qté))</f>
        <v>#REF!</v>
      </c>
      <c r="C183" s="2" t="e">
        <f>([0]!P_1_5.2.4.17 [0]!PU)</f>
        <v>#REF!</v>
      </c>
      <c r="D183" s="2" t="e">
        <f>IF(ISTEXT(([0]!P_1_5.2.4.17 [0]!MT)),0,([0]!P_1_5.2.4.17 [0]!MT))</f>
        <v>#REF!</v>
      </c>
    </row>
    <row r="184" spans="1:4" x14ac:dyDescent="0.25">
      <c r="A184" s="1" t="s">
        <v>390</v>
      </c>
      <c r="B184" s="3" t="e">
        <f>IF(ISTEXT(([0]!P_1_5.3.1 [0]!Qté)),0,([0]!P_1_5.3.1 [0]!Qté))</f>
        <v>#REF!</v>
      </c>
      <c r="C184" s="2" t="e">
        <f>([0]!P_1_5.3.1 [0]!PU)</f>
        <v>#REF!</v>
      </c>
      <c r="D184" s="2" t="e">
        <f>IF(ISTEXT(([0]!P_1_5.3.1 [0]!MT)),0,([0]!P_1_5.3.1 [0]!MT))</f>
        <v>#REF!</v>
      </c>
    </row>
    <row r="185" spans="1:4" x14ac:dyDescent="0.25">
      <c r="A185" s="1" t="s">
        <v>391</v>
      </c>
      <c r="B185" s="3" t="e">
        <f>IF(ISTEXT(([0]!P_1_5.3.2 [0]!Qté)),0,([0]!P_1_5.3.2 [0]!Qté))</f>
        <v>#REF!</v>
      </c>
      <c r="C185" s="2" t="e">
        <f>([0]!P_1_5.3.2 [0]!PU)</f>
        <v>#REF!</v>
      </c>
      <c r="D185" s="2" t="e">
        <f>IF(ISTEXT(([0]!P_1_5.3.2 [0]!MT)),0,([0]!P_1_5.3.2 [0]!MT))</f>
        <v>#REF!</v>
      </c>
    </row>
    <row r="186" spans="1:4" x14ac:dyDescent="0.25">
      <c r="A186" s="1" t="s">
        <v>392</v>
      </c>
      <c r="B186" s="3" t="e">
        <f>IF(ISTEXT(([0]!P_1_5.3.3 [0]!Qté)),0,([0]!P_1_5.3.3 [0]!Qté))</f>
        <v>#REF!</v>
      </c>
      <c r="C186" s="2" t="e">
        <f>([0]!P_1_5.3.3 [0]!PU)</f>
        <v>#REF!</v>
      </c>
      <c r="D186" s="2" t="e">
        <f>IF(ISTEXT(([0]!P_1_5.3.3 [0]!MT)),0,([0]!P_1_5.3.3 [0]!MT))</f>
        <v>#REF!</v>
      </c>
    </row>
    <row r="187" spans="1:4" x14ac:dyDescent="0.25">
      <c r="A187" s="1" t="s">
        <v>393</v>
      </c>
      <c r="B187" s="3" t="e">
        <f>IF(ISTEXT(([0]!P_1_5.3.4 [0]!Qté)),0,([0]!P_1_5.3.4 [0]!Qté))</f>
        <v>#REF!</v>
      </c>
      <c r="C187" s="2" t="e">
        <f>([0]!P_1_5.3.4 [0]!PU)</f>
        <v>#REF!</v>
      </c>
      <c r="D187" s="2" t="e">
        <f>IF(ISTEXT(([0]!P_1_5.3.4 [0]!MT)),0,([0]!P_1_5.3.4 [0]!MT))</f>
        <v>#REF!</v>
      </c>
    </row>
    <row r="188" spans="1:4" x14ac:dyDescent="0.25">
      <c r="A188" s="1" t="s">
        <v>394</v>
      </c>
      <c r="B188" s="3" t="e">
        <f>IF(ISTEXT(([0]!P_1_5.3.5 [0]!Qté)),0,([0]!P_1_5.3.5 [0]!Qté))</f>
        <v>#REF!</v>
      </c>
      <c r="C188" s="2" t="e">
        <f>([0]!P_1_5.3.5 [0]!PU)</f>
        <v>#REF!</v>
      </c>
      <c r="D188" s="2" t="e">
        <f>IF(ISTEXT(([0]!P_1_5.3.5 [0]!MT)),0,([0]!P_1_5.3.5 [0]!MT))</f>
        <v>#REF!</v>
      </c>
    </row>
    <row r="189" spans="1:4" x14ac:dyDescent="0.25">
      <c r="A189" s="1" t="s">
        <v>395</v>
      </c>
      <c r="B189" s="3" t="e">
        <f>IF(ISTEXT(([0]!P_1_5.3.6 [0]!Qté)),0,([0]!P_1_5.3.6 [0]!Qté))</f>
        <v>#REF!</v>
      </c>
      <c r="C189" s="2" t="e">
        <f>([0]!P_1_5.3.6 [0]!PU)</f>
        <v>#REF!</v>
      </c>
      <c r="D189" s="2" t="e">
        <f>IF(ISTEXT(([0]!P_1_5.3.6 [0]!MT)),0,([0]!P_1_5.3.6 [0]!MT))</f>
        <v>#REF!</v>
      </c>
    </row>
    <row r="190" spans="1:4" x14ac:dyDescent="0.25">
      <c r="A190" s="1" t="s">
        <v>396</v>
      </c>
      <c r="B190" s="3" t="e">
        <f>IF(ISTEXT(([0]!P_1_5.3.7 [0]!Qté)),0,([0]!P_1_5.3.7 [0]!Qté))</f>
        <v>#REF!</v>
      </c>
      <c r="C190" s="2" t="e">
        <f>([0]!P_1_5.3.7 [0]!PU)</f>
        <v>#REF!</v>
      </c>
      <c r="D190" s="2" t="e">
        <f>IF(ISTEXT(([0]!P_1_5.3.7 [0]!MT)),0,([0]!P_1_5.3.7 [0]!MT))</f>
        <v>#REF!</v>
      </c>
    </row>
    <row r="191" spans="1:4" x14ac:dyDescent="0.25">
      <c r="A191" s="1" t="s">
        <v>397</v>
      </c>
      <c r="B191" s="3" t="e">
        <f>IF(ISTEXT(([0]!P_1_5.3.8 [0]!Qté)),0,([0]!P_1_5.3.8 [0]!Qté))</f>
        <v>#REF!</v>
      </c>
      <c r="C191" s="2" t="e">
        <f>([0]!P_1_5.3.8 [0]!PU)</f>
        <v>#REF!</v>
      </c>
      <c r="D191" s="2" t="e">
        <f>IF(ISTEXT(([0]!P_1_5.3.8 [0]!MT)),0,([0]!P_1_5.3.8 [0]!MT))</f>
        <v>#REF!</v>
      </c>
    </row>
    <row r="192" spans="1:4" x14ac:dyDescent="0.25">
      <c r="A192" s="1" t="s">
        <v>398</v>
      </c>
      <c r="B192" s="3" t="e">
        <f>IF(ISTEXT(([0]!P_1_5.3.9 [0]!Qté)),0,([0]!P_1_5.3.9 [0]!Qté))</f>
        <v>#REF!</v>
      </c>
      <c r="C192" s="2" t="e">
        <f>([0]!P_1_5.3.9 [0]!PU)</f>
        <v>#REF!</v>
      </c>
      <c r="D192" s="2" t="e">
        <f>IF(ISTEXT(([0]!P_1_5.3.9 [0]!MT)),0,([0]!P_1_5.3.9 [0]!MT))</f>
        <v>#REF!</v>
      </c>
    </row>
    <row r="193" spans="1:4" x14ac:dyDescent="0.25">
      <c r="A193" s="1" t="s">
        <v>399</v>
      </c>
      <c r="B193" s="3" t="e">
        <f>IF(ISTEXT(([0]!P_1_5.3.10 [0]!Qté)),0,([0]!P_1_5.3.10 [0]!Qté))</f>
        <v>#REF!</v>
      </c>
      <c r="C193" s="2" t="e">
        <f>([0]!P_1_5.3.10 [0]!PU)</f>
        <v>#REF!</v>
      </c>
      <c r="D193" s="2" t="e">
        <f>IF(ISTEXT(([0]!P_1_5.3.10 [0]!MT)),0,([0]!P_1_5.3.10 [0]!MT))</f>
        <v>#REF!</v>
      </c>
    </row>
    <row r="194" spans="1:4" x14ac:dyDescent="0.25">
      <c r="A194" s="1" t="s">
        <v>400</v>
      </c>
      <c r="B194" s="3" t="e">
        <f>IF(ISTEXT(([0]!P_1_5.3.11 [0]!Qté)),0,([0]!P_1_5.3.11 [0]!Qté))</f>
        <v>#REF!</v>
      </c>
      <c r="C194" s="2" t="e">
        <f>([0]!P_1_5.3.11 [0]!PU)</f>
        <v>#REF!</v>
      </c>
      <c r="D194" s="2" t="e">
        <f>IF(ISTEXT(([0]!P_1_5.3.11 [0]!MT)),0,([0]!P_1_5.3.11 [0]!MT))</f>
        <v>#REF!</v>
      </c>
    </row>
    <row r="195" spans="1:4" x14ac:dyDescent="0.25">
      <c r="A195" s="1" t="s">
        <v>401</v>
      </c>
      <c r="B195" s="3" t="e">
        <f>IF(ISTEXT(([0]!P_1_5.3.12 [0]!Qté)),0,([0]!P_1_5.3.12 [0]!Qté))</f>
        <v>#REF!</v>
      </c>
      <c r="C195" s="2" t="e">
        <f>([0]!P_1_5.3.12 [0]!PU)</f>
        <v>#REF!</v>
      </c>
      <c r="D195" s="2" t="e">
        <f>IF(ISTEXT(([0]!P_1_5.3.12 [0]!MT)),0,([0]!P_1_5.3.12 [0]!MT))</f>
        <v>#REF!</v>
      </c>
    </row>
    <row r="196" spans="1:4" x14ac:dyDescent="0.25">
      <c r="A196" s="1" t="s">
        <v>402</v>
      </c>
      <c r="B196" s="3" t="e">
        <f>IF(ISTEXT(([0]!P_1_5.3.13 [0]!Qté)),0,([0]!P_1_5.3.13 [0]!Qté))</f>
        <v>#REF!</v>
      </c>
      <c r="C196" s="2" t="e">
        <f>([0]!P_1_5.3.13 [0]!PU)</f>
        <v>#REF!</v>
      </c>
      <c r="D196" s="2" t="e">
        <f>IF(ISTEXT(([0]!P_1_5.3.13 [0]!MT)),0,([0]!P_1_5.3.13 [0]!MT))</f>
        <v>#REF!</v>
      </c>
    </row>
    <row r="197" spans="1:4" x14ac:dyDescent="0.25">
      <c r="A197" s="1" t="s">
        <v>403</v>
      </c>
      <c r="B197" s="3" t="e">
        <f>IF(ISTEXT(([0]!P_1_5.3.14 [0]!Qté)),0,([0]!P_1_5.3.14 [0]!Qté))</f>
        <v>#REF!</v>
      </c>
      <c r="C197" s="2" t="e">
        <f>([0]!P_1_5.3.14 [0]!PU)</f>
        <v>#REF!</v>
      </c>
      <c r="D197" s="2" t="e">
        <f>IF(ISTEXT(([0]!P_1_5.3.14 [0]!MT)),0,([0]!P_1_5.3.14 [0]!MT))</f>
        <v>#REF!</v>
      </c>
    </row>
    <row r="198" spans="1:4" x14ac:dyDescent="0.25">
      <c r="A198" s="1" t="s">
        <v>404</v>
      </c>
      <c r="B198" s="3" t="e">
        <f>IF(ISTEXT(([0]!P_1_5.3.15 [0]!Qté)),0,([0]!P_1_5.3.15 [0]!Qté))</f>
        <v>#REF!</v>
      </c>
      <c r="C198" s="2" t="e">
        <f>([0]!P_1_5.3.15 [0]!PU)</f>
        <v>#REF!</v>
      </c>
      <c r="D198" s="2" t="e">
        <f>IF(ISTEXT(([0]!P_1_5.3.15 [0]!MT)),0,([0]!P_1_5.3.15 [0]!MT))</f>
        <v>#REF!</v>
      </c>
    </row>
    <row r="199" spans="1:4" x14ac:dyDescent="0.25">
      <c r="A199" s="1" t="s">
        <v>405</v>
      </c>
      <c r="B199" s="3" t="e">
        <f>IF(ISTEXT(([0]!P_1_5.3.16 [0]!Qté)),0,([0]!P_1_5.3.16 [0]!Qté))</f>
        <v>#REF!</v>
      </c>
      <c r="C199" s="2" t="e">
        <f>([0]!P_1_5.3.16 [0]!PU)</f>
        <v>#REF!</v>
      </c>
      <c r="D199" s="2" t="e">
        <f>IF(ISTEXT(([0]!P_1_5.3.16 [0]!MT)),0,([0]!P_1_5.3.16 [0]!MT))</f>
        <v>#REF!</v>
      </c>
    </row>
    <row r="200" spans="1:4" x14ac:dyDescent="0.25">
      <c r="A200" s="1" t="s">
        <v>406</v>
      </c>
      <c r="B200" s="3" t="e">
        <f>IF(ISTEXT(([0]!P_1_5.3.17 [0]!Qté)),0,([0]!P_1_5.3.17 [0]!Qté))</f>
        <v>#REF!</v>
      </c>
      <c r="C200" s="2" t="e">
        <f>([0]!P_1_5.3.17 [0]!PU)</f>
        <v>#REF!</v>
      </c>
      <c r="D200" s="2" t="e">
        <f>IF(ISTEXT(([0]!P_1_5.3.17 [0]!MT)),0,([0]!P_1_5.3.17 [0]!MT))</f>
        <v>#REF!</v>
      </c>
    </row>
    <row r="201" spans="1:4" x14ac:dyDescent="0.25">
      <c r="A201" s="1" t="s">
        <v>407</v>
      </c>
      <c r="B201" s="3" t="e">
        <f>IF(ISTEXT(([0]!P_1_6.1 [0]!Qté)),0,([0]!P_1_6.1 [0]!Qté))</f>
        <v>#REF!</v>
      </c>
      <c r="C201" s="2" t="e">
        <f>([0]!P_1_6.1 [0]!PU)</f>
        <v>#REF!</v>
      </c>
      <c r="D201" s="2" t="e">
        <f>IF(ISTEXT(([0]!P_1_6.1 [0]!MT)),0,([0]!P_1_6.1 [0]!MT))</f>
        <v>#REF!</v>
      </c>
    </row>
    <row r="202" spans="1:4" x14ac:dyDescent="0.25">
      <c r="A202" s="1" t="s">
        <v>408</v>
      </c>
      <c r="B202" s="3" t="e">
        <f>IF(ISTEXT(([0]!P_1_6.2 [0]!Qté)),0,([0]!P_1_6.2 [0]!Qté))</f>
        <v>#REF!</v>
      </c>
      <c r="C202" s="2" t="e">
        <f>([0]!P_1_6.2 [0]!PU)</f>
        <v>#REF!</v>
      </c>
      <c r="D202" s="2" t="e">
        <f>IF(ISTEXT(([0]!P_1_6.2 [0]!MT)),0,([0]!P_1_6.2 [0]!MT))</f>
        <v>#REF!</v>
      </c>
    </row>
    <row r="203" spans="1:4" x14ac:dyDescent="0.25">
      <c r="A203" s="1" t="s">
        <v>409</v>
      </c>
      <c r="B203" s="3" t="e">
        <f>IF(ISTEXT(([0]!P_1_6.3 [0]!Qté)),0,([0]!P_1_6.3 [0]!Qté))</f>
        <v>#REF!</v>
      </c>
      <c r="C203" s="2" t="e">
        <f>([0]!P_1_6.3 [0]!PU)</f>
        <v>#REF!</v>
      </c>
      <c r="D203" s="2" t="e">
        <f>IF(ISTEXT(([0]!P_1_6.3 [0]!MT)),0,([0]!P_1_6.3 [0]!MT))</f>
        <v>#REF!</v>
      </c>
    </row>
    <row r="204" spans="1:4" x14ac:dyDescent="0.25">
      <c r="A204" s="1" t="s">
        <v>410</v>
      </c>
      <c r="B204" s="3" t="e">
        <f>IF(ISTEXT(([0]!P_1_6.4 [0]!Qté)),0,([0]!P_1_6.4 [0]!Qté))</f>
        <v>#REF!</v>
      </c>
      <c r="C204" s="2" t="e">
        <f>([0]!P_1_6.4 [0]!PU)</f>
        <v>#REF!</v>
      </c>
      <c r="D204" s="2" t="e">
        <f>IF(ISTEXT(([0]!P_1_6.4 [0]!MT)),0,([0]!P_1_6.4 [0]!MT))</f>
        <v>#REF!</v>
      </c>
    </row>
    <row r="205" spans="1:4" x14ac:dyDescent="0.25">
      <c r="A205" s="1" t="s">
        <v>511</v>
      </c>
      <c r="B205" s="3" t="e">
        <f>IF(ISTEXT(([0]!P_1_6.5.1 [0]!Qté)),0,([0]!P_1_6.5.1 [0]!Qté))</f>
        <v>#REF!</v>
      </c>
      <c r="C205" s="2" t="e">
        <f>([0]!P_1_6.5.1 [0]!PU)</f>
        <v>#REF!</v>
      </c>
      <c r="D205" s="2" t="e">
        <f>IF(ISTEXT(([0]!P_1_6.5.1 [0]!MT)),0,([0]!P_1_6.5.1 [0]!MT))</f>
        <v>#REF!</v>
      </c>
    </row>
    <row r="206" spans="1:4" x14ac:dyDescent="0.25">
      <c r="A206" s="1" t="s">
        <v>512</v>
      </c>
      <c r="B206" s="3" t="e">
        <f>IF(ISTEXT(([0]!P_1_6.5.2 [0]!Qté)),0,([0]!P_1_6.5.2 [0]!Qté))</f>
        <v>#REF!</v>
      </c>
      <c r="C206" s="2" t="e">
        <f>([0]!P_1_6.5.2 [0]!PU)</f>
        <v>#REF!</v>
      </c>
      <c r="D206" s="2" t="e">
        <f>IF(ISTEXT(([0]!P_1_6.5.2 [0]!MT)),0,([0]!P_1_6.5.2 [0]!MT))</f>
        <v>#REF!</v>
      </c>
    </row>
    <row r="207" spans="1:4" x14ac:dyDescent="0.25">
      <c r="A207" s="1" t="s">
        <v>746</v>
      </c>
      <c r="B207" s="3" t="e">
        <f>IF(ISTEXT(([0]!P_1_6.5.3 [0]!Qté)),0,([0]!P_1_6.5.3 [0]!Qté))</f>
        <v>#REF!</v>
      </c>
      <c r="C207" s="2" t="e">
        <f>([0]!P_1_6.5.3 [0]!PU)</f>
        <v>#REF!</v>
      </c>
      <c r="D207" s="2" t="e">
        <f>IF(ISTEXT(([0]!P_1_6.5.3 [0]!MT)),0,([0]!P_1_6.5.3 [0]!MT))</f>
        <v>#REF!</v>
      </c>
    </row>
    <row r="208" spans="1:4" x14ac:dyDescent="0.25">
      <c r="A208" s="1" t="s">
        <v>513</v>
      </c>
      <c r="B208" s="3" t="e">
        <f>IF(ISTEXT(([0]!P_1_6.6.1 [0]!Qté)),0,([0]!P_1_6.6.1 [0]!Qté))</f>
        <v>#REF!</v>
      </c>
      <c r="C208" s="2" t="e">
        <f>([0]!P_1_6.6.1 [0]!PU)</f>
        <v>#REF!</v>
      </c>
      <c r="D208" s="2" t="e">
        <f>IF(ISTEXT(([0]!P_1_6.6.1 [0]!MT)),0,([0]!P_1_6.6.1 [0]!MT))</f>
        <v>#REF!</v>
      </c>
    </row>
    <row r="209" spans="1:4" x14ac:dyDescent="0.25">
      <c r="A209" s="1" t="s">
        <v>514</v>
      </c>
      <c r="B209" s="3" t="e">
        <f>IF(ISTEXT(([0]!P_1_6.6.2 [0]!Qté)),0,([0]!P_1_6.6.2 [0]!Qté))</f>
        <v>#REF!</v>
      </c>
      <c r="C209" s="2" t="e">
        <f>([0]!P_1_6.6.2 [0]!PU)</f>
        <v>#REF!</v>
      </c>
      <c r="D209" s="2" t="e">
        <f>IF(ISTEXT(([0]!P_1_6.6.2 [0]!MT)),0,([0]!P_1_6.6.2 [0]!MT))</f>
        <v>#REF!</v>
      </c>
    </row>
    <row r="210" spans="1:4" x14ac:dyDescent="0.25">
      <c r="A210" s="1" t="s">
        <v>515</v>
      </c>
      <c r="B210" s="3" t="e">
        <f>IF(ISTEXT(([0]!P_1_6.6.3 [0]!Qté)),0,([0]!P_1_6.6.3 [0]!Qté))</f>
        <v>#REF!</v>
      </c>
      <c r="C210" s="2" t="e">
        <f>([0]!P_1_6.6.3 [0]!PU)</f>
        <v>#REF!</v>
      </c>
      <c r="D210" s="2" t="e">
        <f>IF(ISTEXT(([0]!P_1_6.6.3 [0]!MT)),0,([0]!P_1_6.6.3 [0]!MT))</f>
        <v>#REF!</v>
      </c>
    </row>
    <row r="211" spans="1:4" x14ac:dyDescent="0.25">
      <c r="A211" s="1" t="s">
        <v>123</v>
      </c>
      <c r="B211" s="3" t="e">
        <f>IF(ISTEXT(([0]!P_1_6.7.1 [0]!Qté)),0,([0]!P_1_6.7.1 [0]!Qté))</f>
        <v>#REF!</v>
      </c>
      <c r="C211" s="2" t="e">
        <f>([0]!P_1_6.7.1 [0]!PU)</f>
        <v>#REF!</v>
      </c>
      <c r="D211" s="2" t="e">
        <f>IF(ISTEXT(([0]!P_1_6.7.1 [0]!MT)),0,([0]!P_1_6.7.1 [0]!MT))</f>
        <v>#REF!</v>
      </c>
    </row>
    <row r="212" spans="1:4" x14ac:dyDescent="0.25">
      <c r="A212" s="1" t="s">
        <v>516</v>
      </c>
      <c r="B212" s="3" t="e">
        <f>IF(ISTEXT(([0]!P_1_6.7.2 [0]!Qté)),0,([0]!P_1_6.7.2 [0]!Qté))</f>
        <v>#REF!</v>
      </c>
      <c r="C212" s="2" t="e">
        <f>([0]!P_1_6.7.2 [0]!PU)</f>
        <v>#REF!</v>
      </c>
      <c r="D212" s="2" t="e">
        <f>IF(ISTEXT(([0]!P_1_6.7.2 [0]!MT)),0,([0]!P_1_6.7.2 [0]!MT))</f>
        <v>#REF!</v>
      </c>
    </row>
    <row r="213" spans="1:4" x14ac:dyDescent="0.25">
      <c r="A213" s="1" t="s">
        <v>517</v>
      </c>
      <c r="B213" s="3" t="e">
        <f>IF(ISTEXT(([0]!P_1_6.7.3 [0]!Qté)),0,([0]!P_1_6.7.3 [0]!Qté))</f>
        <v>#REF!</v>
      </c>
      <c r="C213" s="2" t="e">
        <f>([0]!P_1_6.7.3 [0]!PU)</f>
        <v>#REF!</v>
      </c>
      <c r="D213" s="2" t="e">
        <f>IF(ISTEXT(([0]!P_1_6.7.3 [0]!MT)),0,([0]!P_1_6.7.3 [0]!MT))</f>
        <v>#REF!</v>
      </c>
    </row>
    <row r="214" spans="1:4" x14ac:dyDescent="0.25">
      <c r="A214" s="1" t="s">
        <v>729</v>
      </c>
      <c r="B214" s="3" t="e">
        <f>IF(ISTEXT(([0]!P_1_6.8.1 [0]!Qté)),0,([0]!P_1_6.8.1 [0]!Qté))</f>
        <v>#REF!</v>
      </c>
      <c r="C214" s="2" t="e">
        <f>([0]!P_1_6.8.1 [0]!PU)</f>
        <v>#REF!</v>
      </c>
      <c r="D214" s="2" t="e">
        <f>IF(ISTEXT(([0]!P_1_6.8.1 [0]!MT)),0,([0]!P_1_6.8.1 [0]!MT))</f>
        <v>#REF!</v>
      </c>
    </row>
    <row r="215" spans="1:4" x14ac:dyDescent="0.25">
      <c r="A215" s="1" t="s">
        <v>730</v>
      </c>
      <c r="B215" s="3" t="e">
        <f>IF(ISTEXT(([0]!P_1_6.8.2 [0]!Qté)),0,([0]!P_1_6.8.2 [0]!Qté))</f>
        <v>#REF!</v>
      </c>
      <c r="C215" s="2" t="e">
        <f>([0]!P_1_6.8.2 [0]!PU)</f>
        <v>#REF!</v>
      </c>
      <c r="D215" s="2" t="e">
        <f>IF(ISTEXT(([0]!P_1_6.8.2 [0]!MT)),0,([0]!P_1_6.8.2 [0]!MT))</f>
        <v>#REF!</v>
      </c>
    </row>
    <row r="216" spans="1:4" x14ac:dyDescent="0.25">
      <c r="A216" s="1" t="s">
        <v>731</v>
      </c>
      <c r="B216" s="3" t="e">
        <f>IF(ISTEXT(([0]!P_1_6.8.3 [0]!Qté)),0,([0]!P_1_6.8.3 [0]!Qté))</f>
        <v>#REF!</v>
      </c>
      <c r="C216" s="2" t="e">
        <f>([0]!P_1_6.8.3 [0]!PU)</f>
        <v>#REF!</v>
      </c>
      <c r="D216" s="2" t="e">
        <f>IF(ISTEXT(([0]!P_1_6.8.3 [0]!MT)),0,([0]!P_1_6.8.3 [0]!MT))</f>
        <v>#REF!</v>
      </c>
    </row>
    <row r="217" spans="1:4" x14ac:dyDescent="0.25">
      <c r="A217" s="1" t="s">
        <v>732</v>
      </c>
      <c r="B217" s="3" t="e">
        <f>IF(ISTEXT(([0]!P_1_6.9.1 [0]!Qté)),0,([0]!P_1_6.9.1 [0]!Qté))</f>
        <v>#REF!</v>
      </c>
      <c r="C217" s="2" t="e">
        <f>([0]!P_1_6.9.1 [0]!PU)</f>
        <v>#REF!</v>
      </c>
      <c r="D217" s="2" t="e">
        <f>IF(ISTEXT(([0]!P_1_6.9.1 [0]!MT)),0,([0]!P_1_6.9.1 [0]!MT))</f>
        <v>#REF!</v>
      </c>
    </row>
    <row r="218" spans="1:4" x14ac:dyDescent="0.25">
      <c r="A218" s="1" t="s">
        <v>733</v>
      </c>
      <c r="B218" s="3" t="e">
        <f>IF(ISTEXT(([0]!P_1_6.9.2 [0]!Qté)),0,([0]!P_1_6.9.2 [0]!Qté))</f>
        <v>#REF!</v>
      </c>
      <c r="C218" s="2" t="e">
        <f>([0]!P_1_6.9.2 [0]!PU)</f>
        <v>#REF!</v>
      </c>
      <c r="D218" s="2" t="e">
        <f>IF(ISTEXT(([0]!P_1_6.9.2 [0]!MT)),0,([0]!P_1_6.9.2 [0]!MT))</f>
        <v>#REF!</v>
      </c>
    </row>
    <row r="219" spans="1:4" x14ac:dyDescent="0.25">
      <c r="A219" s="1" t="s">
        <v>734</v>
      </c>
      <c r="B219" s="3" t="e">
        <f>IF(ISTEXT(([0]!P_1_6.9.3 [0]!Qté)),0,([0]!P_1_6.9.3 [0]!Qté))</f>
        <v>#REF!</v>
      </c>
      <c r="C219" s="2" t="e">
        <f>([0]!P_1_6.9.3 [0]!PU)</f>
        <v>#REF!</v>
      </c>
      <c r="D219" s="2" t="e">
        <f>IF(ISTEXT(([0]!P_1_6.9.3 [0]!MT)),0,([0]!P_1_6.9.3 [0]!MT))</f>
        <v>#REF!</v>
      </c>
    </row>
    <row r="220" spans="1:4" x14ac:dyDescent="0.25">
      <c r="A220" s="1" t="s">
        <v>735</v>
      </c>
      <c r="B220" s="3" t="e">
        <f>IF(ISTEXT(([0]!P_1_6.10.1 [0]!Qté)),0,([0]!P_1_6.10.1 [0]!Qté))</f>
        <v>#REF!</v>
      </c>
      <c r="C220" s="2" t="e">
        <f>([0]!P_1_6.10.1 [0]!PU)</f>
        <v>#REF!</v>
      </c>
      <c r="D220" s="2" t="e">
        <f>IF(ISTEXT(([0]!P_1_6.10.1 [0]!MT)),0,([0]!P_1_6.10.1 [0]!MT))</f>
        <v>#REF!</v>
      </c>
    </row>
    <row r="221" spans="1:4" x14ac:dyDescent="0.25">
      <c r="A221" s="1" t="s">
        <v>736</v>
      </c>
      <c r="B221" s="3" t="e">
        <f>IF(ISTEXT(([0]!P_1_6.10.2 [0]!Qté)),0,([0]!P_1_6.10.2 [0]!Qté))</f>
        <v>#REF!</v>
      </c>
      <c r="C221" s="2" t="e">
        <f>([0]!P_1_6.10.2 [0]!PU)</f>
        <v>#REF!</v>
      </c>
      <c r="D221" s="2" t="e">
        <f>IF(ISTEXT(([0]!P_1_6.10.2 [0]!MT)),0,([0]!P_1_6.10.2 [0]!MT))</f>
        <v>#REF!</v>
      </c>
    </row>
    <row r="222" spans="1:4" x14ac:dyDescent="0.25">
      <c r="A222" s="1" t="s">
        <v>737</v>
      </c>
      <c r="B222" s="3" t="e">
        <f>IF(ISTEXT(([0]!P_1_6.10.3 [0]!Qté)),0,([0]!P_1_6.10.3 [0]!Qté))</f>
        <v>#REF!</v>
      </c>
      <c r="C222" s="2" t="e">
        <f>([0]!P_1_6.10.3 [0]!PU)</f>
        <v>#REF!</v>
      </c>
      <c r="D222" s="2" t="e">
        <f>IF(ISTEXT(([0]!P_1_6.10.3 [0]!MT)),0,([0]!P_1_6.10.3 [0]!MT))</f>
        <v>#REF!</v>
      </c>
    </row>
    <row r="223" spans="1:4" x14ac:dyDescent="0.25">
      <c r="A223" s="1" t="s">
        <v>738</v>
      </c>
      <c r="B223" s="3" t="e">
        <f>IF(ISTEXT(([0]!P_1_6.11 [0]!Qté)),0,([0]!P_1_6.11 [0]!Qté))</f>
        <v>#REF!</v>
      </c>
      <c r="C223" s="2" t="e">
        <f>([0]!P_1_6.11 [0]!PU)</f>
        <v>#REF!</v>
      </c>
      <c r="D223" s="2" t="e">
        <f>IF(ISTEXT(([0]!P_1_6.11 [0]!MT)),0,([0]!P_1_6.11 [0]!MT))</f>
        <v>#REF!</v>
      </c>
    </row>
    <row r="224" spans="1:4" x14ac:dyDescent="0.25">
      <c r="A224" s="1" t="s">
        <v>739</v>
      </c>
      <c r="B224" s="3" t="e">
        <f>IF(ISTEXT(([0]!P_1_6.12.1 [0]!Qté)),0,([0]!P_1_6.12.1 [0]!Qté))</f>
        <v>#REF!</v>
      </c>
      <c r="C224" s="2" t="e">
        <f>([0]!P_1_6.12.1 [0]!PU)</f>
        <v>#REF!</v>
      </c>
      <c r="D224" s="2" t="e">
        <f>IF(ISTEXT(([0]!P_1_6.12.1 [0]!MT)),0,([0]!P_1_6.12.1 [0]!MT))</f>
        <v>#REF!</v>
      </c>
    </row>
    <row r="225" spans="1:4" x14ac:dyDescent="0.25">
      <c r="A225" s="1" t="s">
        <v>740</v>
      </c>
      <c r="B225" s="3" t="e">
        <f>IF(ISTEXT(([0]!P_1_6.12.2 [0]!Qté)),0,([0]!P_1_6.12.2 [0]!Qté))</f>
        <v>#REF!</v>
      </c>
      <c r="C225" s="2" t="e">
        <f>([0]!P_1_6.12.2 [0]!PU)</f>
        <v>#REF!</v>
      </c>
      <c r="D225" s="2" t="e">
        <f>IF(ISTEXT(([0]!P_1_6.12.2 [0]!MT)),0,([0]!P_1_6.12.2 [0]!MT))</f>
        <v>#REF!</v>
      </c>
    </row>
    <row r="226" spans="1:4" x14ac:dyDescent="0.25">
      <c r="A226" s="1" t="s">
        <v>414</v>
      </c>
      <c r="B226" s="3" t="e">
        <f>IF(ISTEXT(([0]!P_1_6.13 [0]!Qté)),0,([0]!P_1_6.13 [0]!Qté))</f>
        <v>#REF!</v>
      </c>
      <c r="C226" s="2" t="e">
        <f>([0]!P_1_6.13 [0]!PU)</f>
        <v>#REF!</v>
      </c>
      <c r="D226" s="2" t="e">
        <f>IF(ISTEXT(([0]!P_1_6.13 [0]!MT)),0,([0]!P_1_6.13 [0]!MT))</f>
        <v>#REF!</v>
      </c>
    </row>
    <row r="227" spans="1:4" x14ac:dyDescent="0.25">
      <c r="A227" s="1" t="s">
        <v>508</v>
      </c>
      <c r="B227" s="3" t="e">
        <f>IF(ISTEXT(([0]!P_1_6.14 [0]!Qté)),0,([0]!P_1_6.14 [0]!Qté))</f>
        <v>#REF!</v>
      </c>
      <c r="C227" s="2" t="e">
        <f>([0]!P_1_6.14 [0]!PU)</f>
        <v>#REF!</v>
      </c>
      <c r="D227" s="2" t="e">
        <f>IF(ISTEXT(([0]!P_1_6.14 [0]!MT)),0,([0]!P_1_6.14 [0]!MT))</f>
        <v>#REF!</v>
      </c>
    </row>
    <row r="228" spans="1:4" x14ac:dyDescent="0.25">
      <c r="A228" s="1" t="s">
        <v>509</v>
      </c>
      <c r="B228" s="3" t="e">
        <f>IF(ISTEXT(([0]!P_1_6.15 [0]!Qté)),0,([0]!P_1_6.15 [0]!Qté))</f>
        <v>#REF!</v>
      </c>
      <c r="C228" s="2" t="e">
        <f>([0]!P_1_6.15 [0]!PU)</f>
        <v>#REF!</v>
      </c>
      <c r="D228" s="2" t="e">
        <f>IF(ISTEXT(([0]!P_1_6.15 [0]!MT)),0,([0]!P_1_6.15 [0]!MT))</f>
        <v>#REF!</v>
      </c>
    </row>
    <row r="229" spans="1:4" x14ac:dyDescent="0.25">
      <c r="A229" s="1" t="s">
        <v>510</v>
      </c>
      <c r="B229" s="3" t="e">
        <f>IF(ISTEXT(([0]!P_1_6.16 [0]!Qté)),0,([0]!P_1_6.16 [0]!Qté))</f>
        <v>#REF!</v>
      </c>
      <c r="C229" s="2" t="e">
        <f>([0]!P_1_6.16 [0]!PU)</f>
        <v>#REF!</v>
      </c>
      <c r="D229" s="2" t="e">
        <f>IF(ISTEXT(([0]!P_1_6.16 [0]!MT)),0,([0]!P_1_6.16 [0]!MT))</f>
        <v>#REF!</v>
      </c>
    </row>
    <row r="230" spans="1:4" x14ac:dyDescent="0.25">
      <c r="A230" s="1" t="s">
        <v>741</v>
      </c>
      <c r="B230" s="3" t="e">
        <f>IF(ISTEXT(([0]!P_1_6.17.1 [0]!Qté)),0,([0]!P_1_6.17.1 [0]!Qté))</f>
        <v>#REF!</v>
      </c>
      <c r="C230" s="2" t="e">
        <f>([0]!P_1_6.17.1 [0]!PU)</f>
        <v>#REF!</v>
      </c>
      <c r="D230" s="2" t="e">
        <f>IF(ISTEXT(([0]!P_1_6.17.1 [0]!MT)),0,([0]!P_1_6.17.1 [0]!MT))</f>
        <v>#REF!</v>
      </c>
    </row>
    <row r="231" spans="1:4" x14ac:dyDescent="0.25">
      <c r="A231" s="1" t="s">
        <v>742</v>
      </c>
      <c r="B231" s="3" t="e">
        <f>IF(ISTEXT(([0]!P_1_6.17.2 [0]!Qté)),0,([0]!P_1_6.17.2 [0]!Qté))</f>
        <v>#REF!</v>
      </c>
      <c r="C231" s="2" t="e">
        <f>([0]!P_1_6.17.2 [0]!PU)</f>
        <v>#REF!</v>
      </c>
      <c r="D231" s="2" t="e">
        <f>IF(ISTEXT(([0]!P_1_6.17.2 [0]!MT)),0,([0]!P_1_6.17.2 [0]!MT))</f>
        <v>#REF!</v>
      </c>
    </row>
    <row r="232" spans="1:4" x14ac:dyDescent="0.25">
      <c r="A232" s="1" t="s">
        <v>743</v>
      </c>
      <c r="B232" s="3" t="e">
        <f>IF(ISTEXT(([0]!P_1_6.17.3 [0]!Qté)),0,([0]!P_1_6.17.3 [0]!Qté))</f>
        <v>#REF!</v>
      </c>
      <c r="C232" s="2" t="e">
        <f>([0]!P_1_6.17.3 [0]!PU)</f>
        <v>#REF!</v>
      </c>
      <c r="D232" s="2" t="e">
        <f>IF(ISTEXT(([0]!P_1_6.17.3 [0]!MT)),0,([0]!P_1_6.17.3 [0]!MT))</f>
        <v>#REF!</v>
      </c>
    </row>
    <row r="233" spans="1:4" x14ac:dyDescent="0.25">
      <c r="A233" s="1" t="s">
        <v>744</v>
      </c>
      <c r="B233" s="3" t="e">
        <f>IF(ISTEXT(([0]!P_1_6.17.4 [0]!Qté)),0,([0]!P_1_6.17.4 [0]!Qté))</f>
        <v>#REF!</v>
      </c>
      <c r="C233" s="2" t="e">
        <f>([0]!P_1_6.17.4 [0]!PU)</f>
        <v>#REF!</v>
      </c>
      <c r="D233" s="2" t="e">
        <f>IF(ISTEXT(([0]!P_1_6.17.4 [0]!MT)),0,([0]!P_1_6.17.4 [0]!MT))</f>
        <v>#REF!</v>
      </c>
    </row>
    <row r="234" spans="1:4" x14ac:dyDescent="0.25">
      <c r="A234" s="1" t="s">
        <v>745</v>
      </c>
      <c r="B234" s="3" t="e">
        <f>IF(ISTEXT(([0]!P_1_6.17.5 [0]!Qté)),0,([0]!P_1_6.17.5 [0]!Qté))</f>
        <v>#REF!</v>
      </c>
      <c r="C234" s="2" t="e">
        <f>([0]!P_1_6.17.5 [0]!PU)</f>
        <v>#REF!</v>
      </c>
      <c r="D234" s="2" t="e">
        <f>IF(ISTEXT(([0]!P_1_6.17.5 [0]!MT)),0,([0]!P_1_6.17.5 [0]!MT))</f>
        <v>#REF!</v>
      </c>
    </row>
    <row r="235" spans="1:4" x14ac:dyDescent="0.25">
      <c r="A235" s="1" t="s">
        <v>749</v>
      </c>
      <c r="B235" s="3" t="e">
        <f>IF(ISTEXT(([0]!P_1_7.1.1 [0]!Qté)),0,([0]!P_1_7.1.1 [0]!Qté))</f>
        <v>#REF!</v>
      </c>
      <c r="C235" s="2" t="e">
        <f>([0]!P_1_7.1.1 [0]!PU)</f>
        <v>#REF!</v>
      </c>
      <c r="D235" s="2" t="e">
        <f>IF(ISTEXT(([0]!P_1_7.1.1 [0]!MT)),0,([0]!P_1_7.1.1 [0]!MT))</f>
        <v>#REF!</v>
      </c>
    </row>
    <row r="236" spans="1:4" x14ac:dyDescent="0.25">
      <c r="A236" s="1" t="s">
        <v>750</v>
      </c>
      <c r="B236" s="3" t="e">
        <f>IF(ISTEXT(([0]!P_1_7.1.2 [0]!Qté)),0,([0]!P_1_7.1.2 [0]!Qté))</f>
        <v>#REF!</v>
      </c>
      <c r="C236" s="2" t="e">
        <f>([0]!P_1_7.1.2 [0]!PU)</f>
        <v>#REF!</v>
      </c>
      <c r="D236" s="2" t="e">
        <f>IF(ISTEXT(([0]!P_1_7.1.2 [0]!MT)),0,([0]!P_1_7.1.2 [0]!MT))</f>
        <v>#REF!</v>
      </c>
    </row>
    <row r="237" spans="1:4" x14ac:dyDescent="0.25">
      <c r="A237" s="1" t="s">
        <v>751</v>
      </c>
      <c r="B237" s="3" t="e">
        <f>IF(ISTEXT(([0]!P_1_7.1.3 [0]!Qté)),0,([0]!P_1_7.1.3 [0]!Qté))</f>
        <v>#REF!</v>
      </c>
      <c r="C237" s="2" t="e">
        <f>([0]!P_1_7.1.3 [0]!PU)</f>
        <v>#REF!</v>
      </c>
      <c r="D237" s="2" t="e">
        <f>IF(ISTEXT(([0]!P_1_7.1.3 [0]!MT)),0,([0]!P_1_7.1.3 [0]!MT))</f>
        <v>#REF!</v>
      </c>
    </row>
    <row r="238" spans="1:4" x14ac:dyDescent="0.25">
      <c r="A238" s="1" t="s">
        <v>752</v>
      </c>
      <c r="B238" s="3" t="e">
        <f>IF(ISTEXT(([0]!P_1_7.1.4 [0]!Qté)),0,([0]!P_1_7.1.4 [0]!Qté))</f>
        <v>#REF!</v>
      </c>
      <c r="C238" s="2" t="e">
        <f>([0]!P_1_7.1.4 [0]!PU)</f>
        <v>#REF!</v>
      </c>
      <c r="D238" s="2" t="e">
        <f>IF(ISTEXT(([0]!P_1_7.1.4 [0]!MT)),0,([0]!P_1_7.1.4 [0]!MT))</f>
        <v>#REF!</v>
      </c>
    </row>
    <row r="239" spans="1:4" x14ac:dyDescent="0.25">
      <c r="A239" s="1" t="s">
        <v>753</v>
      </c>
      <c r="B239" s="3" t="e">
        <f>IF(ISTEXT(([0]!P_1_7.1.5 [0]!Qté)),0,([0]!P_1_7.1.5 [0]!Qté))</f>
        <v>#REF!</v>
      </c>
      <c r="C239" s="2" t="e">
        <f>([0]!P_1_7.1.5 [0]!PU)</f>
        <v>#REF!</v>
      </c>
      <c r="D239" s="2" t="e">
        <f>IF(ISTEXT(([0]!P_1_7.1.5 [0]!MT)),0,([0]!P_1_7.1.5 [0]!MT))</f>
        <v>#REF!</v>
      </c>
    </row>
    <row r="240" spans="1:4" x14ac:dyDescent="0.25">
      <c r="A240" s="1" t="s">
        <v>754</v>
      </c>
      <c r="B240" s="3" t="e">
        <f>IF(ISTEXT(([0]!P_1_7.1.6 [0]!Qté)),0,([0]!P_1_7.1.6 [0]!Qté))</f>
        <v>#REF!</v>
      </c>
      <c r="C240" s="2" t="e">
        <f>([0]!P_1_7.1.6 [0]!PU)</f>
        <v>#REF!</v>
      </c>
      <c r="D240" s="2" t="e">
        <f>IF(ISTEXT(([0]!P_1_7.1.6 [0]!MT)),0,([0]!P_1_7.1.6 [0]!MT))</f>
        <v>#REF!</v>
      </c>
    </row>
    <row r="241" spans="1:4" x14ac:dyDescent="0.25">
      <c r="A241" s="1" t="s">
        <v>755</v>
      </c>
      <c r="B241" s="3" t="e">
        <f>IF(ISTEXT(([0]!P_1_7.1.7 [0]!Qté)),0,([0]!P_1_7.1.7 [0]!Qté))</f>
        <v>#REF!</v>
      </c>
      <c r="C241" s="2" t="e">
        <f>([0]!P_1_7.1.7 [0]!PU)</f>
        <v>#REF!</v>
      </c>
      <c r="D241" s="2" t="e">
        <f>IF(ISTEXT(([0]!P_1_7.1.7 [0]!MT)),0,([0]!P_1_7.1.7 [0]!MT))</f>
        <v>#REF!</v>
      </c>
    </row>
    <row r="242" spans="1:4" x14ac:dyDescent="0.25">
      <c r="A242" s="1" t="s">
        <v>756</v>
      </c>
      <c r="B242" s="3" t="e">
        <f>IF(ISTEXT(([0]!P_1_7.2.1 [0]!Qté)),0,([0]!P_1_7.2.1 [0]!Qté))</f>
        <v>#REF!</v>
      </c>
      <c r="C242" s="2" t="e">
        <f>([0]!P_1_7.2.1 [0]!PU)</f>
        <v>#REF!</v>
      </c>
      <c r="D242" s="2" t="e">
        <f>IF(ISTEXT(([0]!P_1_7.2.1 [0]!MT)),0,([0]!P_1_7.2.1 [0]!MT))</f>
        <v>#REF!</v>
      </c>
    </row>
    <row r="243" spans="1:4" x14ac:dyDescent="0.25">
      <c r="A243" s="1" t="s">
        <v>757</v>
      </c>
      <c r="B243" s="3" t="e">
        <f>IF(ISTEXT(([0]!P_1_7.2.2 [0]!Qté)),0,([0]!P_1_7.2.2 [0]!Qté))</f>
        <v>#REF!</v>
      </c>
      <c r="C243" s="2" t="e">
        <f>([0]!P_1_7.2.2 [0]!PU)</f>
        <v>#REF!</v>
      </c>
      <c r="D243" s="2" t="e">
        <f>IF(ISTEXT(([0]!P_1_7.2.2 [0]!MT)),0,([0]!P_1_7.2.2 [0]!MT))</f>
        <v>#REF!</v>
      </c>
    </row>
    <row r="244" spans="1:4" x14ac:dyDescent="0.25">
      <c r="A244" s="1" t="s">
        <v>758</v>
      </c>
      <c r="B244" s="3" t="e">
        <f>IF(ISTEXT(([0]!P_1_7.2.3 [0]!Qté)),0,([0]!P_1_7.2.3 [0]!Qté))</f>
        <v>#REF!</v>
      </c>
      <c r="C244" s="2" t="e">
        <f>([0]!P_1_7.2.3 [0]!PU)</f>
        <v>#REF!</v>
      </c>
      <c r="D244" s="2" t="e">
        <f>IF(ISTEXT(([0]!P_1_7.2.3 [0]!MT)),0,([0]!P_1_7.2.3 [0]!MT))</f>
        <v>#REF!</v>
      </c>
    </row>
    <row r="245" spans="1:4" x14ac:dyDescent="0.25">
      <c r="A245" s="1" t="s">
        <v>759</v>
      </c>
      <c r="B245" s="3" t="e">
        <f>IF(ISTEXT(([0]!P_1_8.1 [0]!Qté)),0,([0]!P_1_8.1 [0]!Qté))</f>
        <v>#REF!</v>
      </c>
      <c r="C245" s="2" t="e">
        <f>([0]!P_1_8.1 [0]!PU)</f>
        <v>#REF!</v>
      </c>
      <c r="D245" s="2" t="e">
        <f>IF(ISTEXT(([0]!P_1_8.1 [0]!MT)),0,([0]!P_1_8.1 [0]!MT))</f>
        <v>#REF!</v>
      </c>
    </row>
    <row r="246" spans="1:4" x14ac:dyDescent="0.25">
      <c r="A246" s="1" t="s">
        <v>763</v>
      </c>
      <c r="B246" s="3" t="e">
        <f>IF(ISTEXT(([0]!P_1_8.2.1 [0]!Qté)),0,([0]!P_1_8.2.1 [0]!Qté))</f>
        <v>#REF!</v>
      </c>
      <c r="C246" s="2" t="e">
        <f>([0]!P_1_8.2.1 [0]!PU)</f>
        <v>#REF!</v>
      </c>
      <c r="D246" s="2" t="e">
        <f>IF(ISTEXT(([0]!P_1_8.2.1 [0]!MT)),0,([0]!P_1_8.2.1 [0]!MT))</f>
        <v>#REF!</v>
      </c>
    </row>
    <row r="247" spans="1:4" x14ac:dyDescent="0.25">
      <c r="A247" s="1" t="s">
        <v>764</v>
      </c>
      <c r="B247" s="3" t="e">
        <f>IF(ISTEXT(([0]!P_1_8.2.2 [0]!Qté)),0,([0]!P_1_8.2.2 [0]!Qté))</f>
        <v>#REF!</v>
      </c>
      <c r="C247" s="2" t="e">
        <f>([0]!P_1_8.2.2 [0]!PU)</f>
        <v>#REF!</v>
      </c>
      <c r="D247" s="2" t="e">
        <f>IF(ISTEXT(([0]!P_1_8.2.2 [0]!MT)),0,([0]!P_1_8.2.2 [0]!MT))</f>
        <v>#REF!</v>
      </c>
    </row>
    <row r="248" spans="1:4" x14ac:dyDescent="0.25">
      <c r="A248" s="1" t="s">
        <v>765</v>
      </c>
      <c r="B248" s="3" t="e">
        <f>IF(ISTEXT(([0]!P_1_8.2.3 [0]!Qté)),0,([0]!P_1_8.2.3 [0]!Qté))</f>
        <v>#REF!</v>
      </c>
      <c r="C248" s="2" t="e">
        <f>([0]!P_1_8.2.3 [0]!PU)</f>
        <v>#REF!</v>
      </c>
      <c r="D248" s="2" t="e">
        <f>IF(ISTEXT(([0]!P_1_8.2.3 [0]!MT)),0,([0]!P_1_8.2.3 [0]!MT))</f>
        <v>#REF!</v>
      </c>
    </row>
    <row r="249" spans="1:4" x14ac:dyDescent="0.25">
      <c r="A249" s="1" t="s">
        <v>766</v>
      </c>
      <c r="B249" s="3" t="e">
        <f>IF(ISTEXT(([0]!P_1_8.2.4 [0]!Qté)),0,([0]!P_1_8.2.4 [0]!Qté))</f>
        <v>#REF!</v>
      </c>
      <c r="C249" s="2" t="e">
        <f>([0]!P_1_8.2.4 [0]!PU)</f>
        <v>#REF!</v>
      </c>
      <c r="D249" s="2" t="e">
        <f>IF(ISTEXT(([0]!P_1_8.2.4 [0]!MT)),0,([0]!P_1_8.2.4 [0]!MT))</f>
        <v>#REF!</v>
      </c>
    </row>
    <row r="250" spans="1:4" x14ac:dyDescent="0.25">
      <c r="A250" s="1" t="s">
        <v>767</v>
      </c>
      <c r="B250" s="3" t="e">
        <f>IF(ISTEXT(([0]!P_1_8.2.5 [0]!Qté)),0,([0]!P_1_8.2.5 [0]!Qté))</f>
        <v>#REF!</v>
      </c>
      <c r="C250" s="2" t="e">
        <f>([0]!P_1_8.2.5 [0]!PU)</f>
        <v>#REF!</v>
      </c>
      <c r="D250" s="2" t="e">
        <f>IF(ISTEXT(([0]!P_1_8.2.5 [0]!MT)),0,([0]!P_1_8.2.5 [0]!MT))</f>
        <v>#REF!</v>
      </c>
    </row>
    <row r="251" spans="1:4" x14ac:dyDescent="0.25">
      <c r="A251" s="1" t="s">
        <v>768</v>
      </c>
      <c r="B251" s="3" t="e">
        <f>IF(ISTEXT(([0]!P_1_8.2.6 [0]!Qté)),0,([0]!P_1_8.2.6 [0]!Qté))</f>
        <v>#REF!</v>
      </c>
      <c r="C251" s="2" t="e">
        <f>([0]!P_1_8.2.6 [0]!PU)</f>
        <v>#REF!</v>
      </c>
      <c r="D251" s="2" t="e">
        <f>IF(ISTEXT(([0]!P_1_8.2.6 [0]!MT)),0,([0]!P_1_8.2.6 [0]!MT))</f>
        <v>#REF!</v>
      </c>
    </row>
    <row r="252" spans="1:4" x14ac:dyDescent="0.25">
      <c r="A252" s="1" t="s">
        <v>769</v>
      </c>
      <c r="B252" s="3" t="e">
        <f>IF(ISTEXT(([0]!P_1_8.2.7 [0]!Qté)),0,([0]!P_1_8.2.7 [0]!Qté))</f>
        <v>#REF!</v>
      </c>
      <c r="C252" s="2" t="e">
        <f>([0]!P_1_8.2.7 [0]!PU)</f>
        <v>#REF!</v>
      </c>
      <c r="D252" s="2" t="e">
        <f>IF(ISTEXT(([0]!P_1_8.2.7 [0]!MT)),0,([0]!P_1_8.2.7 [0]!MT))</f>
        <v>#REF!</v>
      </c>
    </row>
    <row r="253" spans="1:4" x14ac:dyDescent="0.25">
      <c r="A253" s="1" t="s">
        <v>770</v>
      </c>
      <c r="B253" s="3" t="e">
        <f>IF(ISTEXT(([0]!P_1_8.3.1 [0]!Qté)),0,([0]!P_1_8.3.1 [0]!Qté))</f>
        <v>#REF!</v>
      </c>
      <c r="C253" s="2" t="e">
        <f>([0]!P_1_8.3.1 [0]!PU)</f>
        <v>#REF!</v>
      </c>
      <c r="D253" s="2" t="e">
        <f>IF(ISTEXT(([0]!P_1_8.3.1 [0]!MT)),0,([0]!P_1_8.3.1 [0]!MT))</f>
        <v>#REF!</v>
      </c>
    </row>
    <row r="254" spans="1:4" x14ac:dyDescent="0.25">
      <c r="A254" s="1" t="s">
        <v>771</v>
      </c>
      <c r="B254" s="3" t="e">
        <f>IF(ISTEXT(([0]!P_1_8.3.2 [0]!Qté)),0,([0]!P_1_8.3.2 [0]!Qté))</f>
        <v>#REF!</v>
      </c>
      <c r="C254" s="2" t="e">
        <f>([0]!P_1_8.3.2 [0]!PU)</f>
        <v>#REF!</v>
      </c>
      <c r="D254" s="2" t="e">
        <f>IF(ISTEXT(([0]!P_1_8.3.2 [0]!MT)),0,([0]!P_1_8.3.2 [0]!MT))</f>
        <v>#REF!</v>
      </c>
    </row>
    <row r="255" spans="1:4" x14ac:dyDescent="0.25">
      <c r="A255" s="1" t="s">
        <v>772</v>
      </c>
      <c r="B255" s="3" t="e">
        <f>IF(ISTEXT(([0]!P_1_8.3.3 [0]!Qté)),0,([0]!P_1_8.3.3 [0]!Qté))</f>
        <v>#REF!</v>
      </c>
      <c r="C255" s="2" t="e">
        <f>([0]!P_1_8.3.3 [0]!PU)</f>
        <v>#REF!</v>
      </c>
      <c r="D255" s="2" t="e">
        <f>IF(ISTEXT(([0]!P_1_8.3.3 [0]!MT)),0,([0]!P_1_8.3.3 [0]!MT))</f>
        <v>#REF!</v>
      </c>
    </row>
    <row r="256" spans="1:4" x14ac:dyDescent="0.25">
      <c r="A256" s="1" t="s">
        <v>773</v>
      </c>
      <c r="B256" s="3" t="e">
        <f>IF(ISTEXT(([0]!P_1_8.3.4 [0]!Qté)),0,([0]!P_1_8.3.4 [0]!Qté))</f>
        <v>#REF!</v>
      </c>
      <c r="C256" s="2" t="e">
        <f>([0]!P_1_8.3.4 [0]!PU)</f>
        <v>#REF!</v>
      </c>
      <c r="D256" s="2" t="e">
        <f>IF(ISTEXT(([0]!P_1_8.3.4 [0]!MT)),0,([0]!P_1_8.3.4 [0]!MT))</f>
        <v>#REF!</v>
      </c>
    </row>
    <row r="257" spans="1:4" x14ac:dyDescent="0.25">
      <c r="A257" s="1" t="s">
        <v>774</v>
      </c>
      <c r="B257" s="3" t="e">
        <f>IF(ISTEXT(([0]!P_1_8.3.5 [0]!Qté)),0,([0]!P_1_8.3.5 [0]!Qté))</f>
        <v>#REF!</v>
      </c>
      <c r="C257" s="2" t="e">
        <f>([0]!P_1_8.3.5 [0]!PU)</f>
        <v>#REF!</v>
      </c>
      <c r="D257" s="2" t="e">
        <f>IF(ISTEXT(([0]!P_1_8.3.5 [0]!MT)),0,([0]!P_1_8.3.5 [0]!MT))</f>
        <v>#REF!</v>
      </c>
    </row>
    <row r="258" spans="1:4" x14ac:dyDescent="0.25">
      <c r="A258" s="1" t="s">
        <v>775</v>
      </c>
      <c r="B258" s="3" t="e">
        <f>IF(ISTEXT(([0]!P_1_8.3.6 [0]!Qté)),0,([0]!P_1_8.3.6 [0]!Qté))</f>
        <v>#REF!</v>
      </c>
      <c r="C258" s="2" t="e">
        <f>([0]!P_1_8.3.6 [0]!PU)</f>
        <v>#REF!</v>
      </c>
      <c r="D258" s="2" t="e">
        <f>IF(ISTEXT(([0]!P_1_8.3.6 [0]!MT)),0,([0]!P_1_8.3.6 [0]!MT))</f>
        <v>#REF!</v>
      </c>
    </row>
    <row r="259" spans="1:4" x14ac:dyDescent="0.25">
      <c r="A259" s="1" t="s">
        <v>776</v>
      </c>
      <c r="B259" s="3" t="e">
        <f>IF(ISTEXT(([0]!P_1_8.3.7 [0]!Qté)),0,([0]!P_1_8.3.7 [0]!Qté))</f>
        <v>#REF!</v>
      </c>
      <c r="C259" s="2" t="e">
        <f>([0]!P_1_8.3.7 [0]!PU)</f>
        <v>#REF!</v>
      </c>
      <c r="D259" s="2" t="e">
        <f>IF(ISTEXT(([0]!P_1_8.3.7 [0]!MT)),0,([0]!P_1_8.3.7 [0]!MT))</f>
        <v>#REF!</v>
      </c>
    </row>
    <row r="260" spans="1:4" x14ac:dyDescent="0.25">
      <c r="A260" s="1" t="s">
        <v>777</v>
      </c>
      <c r="B260" s="3" t="e">
        <f>IF(ISTEXT(([0]!P_1_8.3.8 [0]!Qté)),0,([0]!P_1_8.3.8 [0]!Qté))</f>
        <v>#REF!</v>
      </c>
      <c r="C260" s="2" t="e">
        <f>([0]!P_1_8.3.8 [0]!PU)</f>
        <v>#REF!</v>
      </c>
      <c r="D260" s="2" t="e">
        <f>IF(ISTEXT(([0]!P_1_8.3.8 [0]!MT)),0,([0]!P_1_8.3.8 [0]!MT))</f>
        <v>#REF!</v>
      </c>
    </row>
    <row r="261" spans="1:4" x14ac:dyDescent="0.25">
      <c r="A261" s="1" t="s">
        <v>778</v>
      </c>
      <c r="B261" s="3" t="e">
        <f>IF(ISTEXT(([0]!P_1_8.3.9 [0]!Qté)),0,([0]!P_1_8.3.9 [0]!Qté))</f>
        <v>#REF!</v>
      </c>
      <c r="C261" s="2" t="e">
        <f>([0]!P_1_8.3.9 [0]!PU)</f>
        <v>#REF!</v>
      </c>
      <c r="D261" s="2" t="e">
        <f>IF(ISTEXT(([0]!P_1_8.3.9 [0]!MT)),0,([0]!P_1_8.3.9 [0]!MT))</f>
        <v>#REF!</v>
      </c>
    </row>
    <row r="262" spans="1:4" x14ac:dyDescent="0.25">
      <c r="A262" s="1" t="s">
        <v>779</v>
      </c>
      <c r="B262" s="3" t="e">
        <f>IF(ISTEXT(([0]!P_1_8.3.10 [0]!Qté)),0,([0]!P_1_8.3.10 [0]!Qté))</f>
        <v>#REF!</v>
      </c>
      <c r="C262" s="2" t="e">
        <f>([0]!P_1_8.3.10 [0]!PU)</f>
        <v>#REF!</v>
      </c>
      <c r="D262" s="2" t="e">
        <f>IF(ISTEXT(([0]!P_1_8.3.10 [0]!MT)),0,([0]!P_1_8.3.10 [0]!MT))</f>
        <v>#REF!</v>
      </c>
    </row>
    <row r="263" spans="1:4" x14ac:dyDescent="0.25">
      <c r="A263" s="1" t="s">
        <v>780</v>
      </c>
      <c r="B263" s="3" t="e">
        <f>IF(ISTEXT(([0]!P_1_8.3.11 [0]!Qté)),0,([0]!P_1_8.3.11 [0]!Qté))</f>
        <v>#REF!</v>
      </c>
      <c r="C263" s="2" t="e">
        <f>([0]!P_1_8.3.11 [0]!PU)</f>
        <v>#REF!</v>
      </c>
      <c r="D263" s="2" t="e">
        <f>IF(ISTEXT(([0]!P_1_8.3.11 [0]!MT)),0,([0]!P_1_8.3.11 [0]!MT))</f>
        <v>#REF!</v>
      </c>
    </row>
    <row r="264" spans="1:4" x14ac:dyDescent="0.25">
      <c r="A264" s="1" t="s">
        <v>781</v>
      </c>
      <c r="B264" s="3" t="e">
        <f>IF(ISTEXT(([0]!P_1_8.4.1 [0]!Qté)),0,([0]!P_1_8.4.1 [0]!Qté))</f>
        <v>#REF!</v>
      </c>
      <c r="C264" s="2" t="e">
        <f>([0]!P_1_8.4.1 [0]!PU)</f>
        <v>#REF!</v>
      </c>
      <c r="D264" s="2" t="e">
        <f>IF(ISTEXT(([0]!P_1_8.4.1 [0]!MT)),0,([0]!P_1_8.4.1 [0]!MT))</f>
        <v>#REF!</v>
      </c>
    </row>
    <row r="265" spans="1:4" x14ac:dyDescent="0.25">
      <c r="A265" s="1" t="s">
        <v>782</v>
      </c>
      <c r="B265" s="3" t="e">
        <f>IF(ISTEXT(([0]!P_1_8.4.2 [0]!Qté)),0,([0]!P_1_8.4.2 [0]!Qté))</f>
        <v>#REF!</v>
      </c>
      <c r="C265" s="2" t="e">
        <f>([0]!P_1_8.4.2 [0]!PU)</f>
        <v>#REF!</v>
      </c>
      <c r="D265" s="2" t="e">
        <f>IF(ISTEXT(([0]!P_1_8.4.2 [0]!MT)),0,([0]!P_1_8.4.2 [0]!MT))</f>
        <v>#REF!</v>
      </c>
    </row>
    <row r="266" spans="1:4" x14ac:dyDescent="0.25">
      <c r="A266" s="1" t="s">
        <v>783</v>
      </c>
      <c r="B266" s="3" t="e">
        <f>IF(ISTEXT(([0]!P_1_8.4.3 [0]!Qté)),0,([0]!P_1_8.4.3 [0]!Qté))</f>
        <v>#REF!</v>
      </c>
      <c r="C266" s="2" t="e">
        <f>([0]!P_1_8.4.3 [0]!PU)</f>
        <v>#REF!</v>
      </c>
      <c r="D266" s="2" t="e">
        <f>IF(ISTEXT(([0]!P_1_8.4.3 [0]!MT)),0,([0]!P_1_8.4.3 [0]!MT))</f>
        <v>#REF!</v>
      </c>
    </row>
    <row r="267" spans="1:4" x14ac:dyDescent="0.25">
      <c r="A267" s="1" t="s">
        <v>784</v>
      </c>
      <c r="B267" s="3" t="e">
        <f>IF(ISTEXT(([0]!P_1_8.4.4 [0]!Qté)),0,([0]!P_1_8.4.4 [0]!Qté))</f>
        <v>#REF!</v>
      </c>
      <c r="C267" s="2" t="e">
        <f>([0]!P_1_8.4.4 [0]!PU)</f>
        <v>#REF!</v>
      </c>
      <c r="D267" s="2" t="e">
        <f>IF(ISTEXT(([0]!P_1_8.4.4 [0]!MT)),0,([0]!P_1_8.4.4 [0]!MT))</f>
        <v>#REF!</v>
      </c>
    </row>
    <row r="268" spans="1:4" x14ac:dyDescent="0.25">
      <c r="A268" s="1" t="s">
        <v>785</v>
      </c>
      <c r="B268" s="3" t="e">
        <f>IF(ISTEXT(([0]!P_1_8.4.5 [0]!Qté)),0,([0]!P_1_8.4.5 [0]!Qté))</f>
        <v>#REF!</v>
      </c>
      <c r="C268" s="2" t="e">
        <f>([0]!P_1_8.4.5 [0]!PU)</f>
        <v>#REF!</v>
      </c>
      <c r="D268" s="2" t="e">
        <f>IF(ISTEXT(([0]!P_1_8.4.5 [0]!MT)),0,([0]!P_1_8.4.5 [0]!MT))</f>
        <v>#REF!</v>
      </c>
    </row>
    <row r="269" spans="1:4" x14ac:dyDescent="0.25">
      <c r="A269" s="1" t="s">
        <v>264</v>
      </c>
      <c r="B269" s="3" t="e">
        <f>IF(ISTEXT(([0]!P_1_8.4.6 [0]!Qté)),0,([0]!P_1_8.4.6 [0]!Qté))</f>
        <v>#REF!</v>
      </c>
      <c r="C269" s="2" t="e">
        <f>([0]!P_1_8.4.6 [0]!PU)</f>
        <v>#REF!</v>
      </c>
      <c r="D269" s="2" t="e">
        <f>IF(ISTEXT(([0]!P_1_8.4.6 [0]!MT)),0,([0]!P_1_8.4.6 [0]!MT))</f>
        <v>#REF!</v>
      </c>
    </row>
    <row r="270" spans="1:4" x14ac:dyDescent="0.25">
      <c r="A270" s="1" t="s">
        <v>786</v>
      </c>
      <c r="B270" s="3" t="e">
        <f>IF(ISTEXT(([0]!P_1_8.4.7 [0]!Qté)),0,([0]!P_1_8.4.7 [0]!Qté))</f>
        <v>#REF!</v>
      </c>
      <c r="C270" s="2" t="e">
        <f>([0]!P_1_8.4.7 [0]!PU)</f>
        <v>#REF!</v>
      </c>
      <c r="D270" s="2" t="e">
        <f>IF(ISTEXT(([0]!P_1_8.4.7 [0]!MT)),0,([0]!P_1_8.4.7 [0]!MT))</f>
        <v>#REF!</v>
      </c>
    </row>
    <row r="271" spans="1:4" x14ac:dyDescent="0.25">
      <c r="A271" s="1" t="s">
        <v>787</v>
      </c>
      <c r="B271" s="3" t="e">
        <f>IF(ISTEXT(([0]!P_1_8.4.8 [0]!Qté)),0,([0]!P_1_8.4.8 [0]!Qté))</f>
        <v>#REF!</v>
      </c>
      <c r="C271" s="2" t="e">
        <f>([0]!P_1_8.4.8 [0]!PU)</f>
        <v>#REF!</v>
      </c>
      <c r="D271" s="2" t="e">
        <f>IF(ISTEXT(([0]!P_1_8.4.8 [0]!MT)),0,([0]!P_1_8.4.8 [0]!MT))</f>
        <v>#REF!</v>
      </c>
    </row>
    <row r="272" spans="1:4" x14ac:dyDescent="0.25">
      <c r="A272" s="1" t="s">
        <v>788</v>
      </c>
      <c r="B272" s="3" t="e">
        <f>IF(ISTEXT(([0]!P_1_8.4.9 [0]!Qté)),0,([0]!P_1_8.4.9 [0]!Qté))</f>
        <v>#REF!</v>
      </c>
      <c r="C272" s="2" t="e">
        <f>([0]!P_1_8.4.9 [0]!PU)</f>
        <v>#REF!</v>
      </c>
      <c r="D272" s="2" t="e">
        <f>IF(ISTEXT(([0]!P_1_8.4.9 [0]!MT)),0,([0]!P_1_8.4.9 [0]!MT))</f>
        <v>#REF!</v>
      </c>
    </row>
    <row r="273" spans="1:4" x14ac:dyDescent="0.25">
      <c r="A273" s="1" t="s">
        <v>124</v>
      </c>
      <c r="B273" s="3" t="e">
        <f>IF(ISTEXT(([0]!P_1_8.4.10 [0]!Qté)),0,([0]!P_1_8.4.10 [0]!Qté))</f>
        <v>#REF!</v>
      </c>
      <c r="C273" s="2" t="e">
        <f>([0]!P_1_8.4.10 [0]!PU)</f>
        <v>#REF!</v>
      </c>
      <c r="D273" s="2" t="e">
        <f>IF(ISTEXT(([0]!P_1_8.4.10 [0]!MT)),0,([0]!P_1_8.4.10 [0]!MT))</f>
        <v>#REF!</v>
      </c>
    </row>
    <row r="274" spans="1:4" x14ac:dyDescent="0.25">
      <c r="A274" s="1" t="s">
        <v>125</v>
      </c>
      <c r="B274" s="3" t="e">
        <f>IF(ISTEXT(([0]!P_1_8.4.11 [0]!Qté)),0,([0]!P_1_8.4.11 [0]!Qté))</f>
        <v>#REF!</v>
      </c>
      <c r="C274" s="2" t="e">
        <f>([0]!P_1_8.4.11 [0]!PU)</f>
        <v>#REF!</v>
      </c>
      <c r="D274" s="2" t="e">
        <f>IF(ISTEXT(([0]!P_1_8.4.11 [0]!MT)),0,([0]!P_1_8.4.11 [0]!MT))</f>
        <v>#REF!</v>
      </c>
    </row>
    <row r="275" spans="1:4" x14ac:dyDescent="0.25">
      <c r="A275" s="1" t="s">
        <v>789</v>
      </c>
      <c r="B275" s="3" t="e">
        <f>IF(ISTEXT(([0]!P_1_8.5.1 [0]!Qté)),0,([0]!P_1_8.5.1 [0]!Qté))</f>
        <v>#REF!</v>
      </c>
      <c r="C275" s="2" t="e">
        <f>([0]!P_1_8.5.1 [0]!PU)</f>
        <v>#REF!</v>
      </c>
      <c r="D275" s="2" t="e">
        <f>IF(ISTEXT(([0]!P_1_8.5.1 [0]!MT)),0,([0]!P_1_8.5.1 [0]!MT))</f>
        <v>#REF!</v>
      </c>
    </row>
    <row r="276" spans="1:4" x14ac:dyDescent="0.25">
      <c r="A276" s="1" t="s">
        <v>790</v>
      </c>
      <c r="B276" s="3" t="e">
        <f>IF(ISTEXT(([0]!P_1_8.5.2 [0]!Qté)),0,([0]!P_1_8.5.2 [0]!Qté))</f>
        <v>#REF!</v>
      </c>
      <c r="C276" s="2" t="e">
        <f>([0]!P_1_8.5.2 [0]!PU)</f>
        <v>#REF!</v>
      </c>
      <c r="D276" s="2" t="e">
        <f>IF(ISTEXT(([0]!P_1_8.5.2 [0]!MT)),0,([0]!P_1_8.5.2 [0]!MT))</f>
        <v>#REF!</v>
      </c>
    </row>
    <row r="277" spans="1:4" x14ac:dyDescent="0.25">
      <c r="A277" s="1" t="s">
        <v>791</v>
      </c>
      <c r="B277" s="3" t="e">
        <f>IF(ISTEXT(([0]!P_1_8.5.3 [0]!Qté)),0,([0]!P_1_8.5.3 [0]!Qté))</f>
        <v>#REF!</v>
      </c>
      <c r="C277" s="2" t="e">
        <f>([0]!P_1_8.5.3 [0]!PU)</f>
        <v>#REF!</v>
      </c>
      <c r="D277" s="2" t="e">
        <f>IF(ISTEXT(([0]!P_1_8.5.3 [0]!MT)),0,([0]!P_1_8.5.3 [0]!MT))</f>
        <v>#REF!</v>
      </c>
    </row>
    <row r="278" spans="1:4" x14ac:dyDescent="0.25">
      <c r="A278" s="1" t="s">
        <v>792</v>
      </c>
      <c r="B278" s="3" t="e">
        <f>IF(ISTEXT(([0]!P_1_8.5.4 [0]!Qté)),0,([0]!P_1_8.5.4 [0]!Qté))</f>
        <v>#REF!</v>
      </c>
      <c r="C278" s="2" t="e">
        <f>([0]!P_1_8.5.4 [0]!PU)</f>
        <v>#REF!</v>
      </c>
      <c r="D278" s="2" t="e">
        <f>IF(ISTEXT(([0]!P_1_8.5.4 [0]!MT)),0,([0]!P_1_8.5.4 [0]!MT))</f>
        <v>#REF!</v>
      </c>
    </row>
    <row r="279" spans="1:4" x14ac:dyDescent="0.25">
      <c r="A279" s="1" t="s">
        <v>793</v>
      </c>
      <c r="B279" s="3" t="e">
        <f>IF(ISTEXT(([0]!P_1_8.5.5 [0]!Qté)),0,([0]!P_1_8.5.5 [0]!Qté))</f>
        <v>#REF!</v>
      </c>
      <c r="C279" s="2" t="e">
        <f>([0]!P_1_8.5.5 [0]!PU)</f>
        <v>#REF!</v>
      </c>
      <c r="D279" s="2" t="e">
        <f>IF(ISTEXT(([0]!P_1_8.5.5 [0]!MT)),0,([0]!P_1_8.5.5 [0]!MT))</f>
        <v>#REF!</v>
      </c>
    </row>
    <row r="280" spans="1:4" x14ac:dyDescent="0.25">
      <c r="A280" s="1" t="s">
        <v>794</v>
      </c>
      <c r="B280" s="3" t="e">
        <f>IF(ISTEXT(([0]!P_1_8.5.6 [0]!Qté)),0,([0]!P_1_8.5.6 [0]!Qté))</f>
        <v>#REF!</v>
      </c>
      <c r="C280" s="2" t="e">
        <f>([0]!P_1_8.5.6 [0]!PU)</f>
        <v>#REF!</v>
      </c>
      <c r="D280" s="2" t="e">
        <f>IF(ISTEXT(([0]!P_1_8.5.6 [0]!MT)),0,([0]!P_1_8.5.6 [0]!MT))</f>
        <v>#REF!</v>
      </c>
    </row>
    <row r="281" spans="1:4" x14ac:dyDescent="0.25">
      <c r="A281" s="1" t="s">
        <v>795</v>
      </c>
      <c r="B281" s="3" t="e">
        <f>IF(ISTEXT(([0]!P_1_8.5.7 [0]!Qté)),0,([0]!P_1_8.5.7 [0]!Qté))</f>
        <v>#REF!</v>
      </c>
      <c r="C281" s="2" t="e">
        <f>([0]!P_1_8.5.7 [0]!PU)</f>
        <v>#REF!</v>
      </c>
      <c r="D281" s="2" t="e">
        <f>IF(ISTEXT(([0]!P_1_8.5.7 [0]!MT)),0,([0]!P_1_8.5.7 [0]!MT))</f>
        <v>#REF!</v>
      </c>
    </row>
    <row r="282" spans="1:4" x14ac:dyDescent="0.25">
      <c r="A282" s="1" t="s">
        <v>796</v>
      </c>
      <c r="B282" s="3" t="e">
        <f>IF(ISTEXT(([0]!P_1_8.5.8 [0]!Qté)),0,([0]!P_1_8.5.8 [0]!Qté))</f>
        <v>#REF!</v>
      </c>
      <c r="C282" s="2" t="e">
        <f>([0]!P_1_8.5.8 [0]!PU)</f>
        <v>#REF!</v>
      </c>
      <c r="D282" s="2" t="e">
        <f>IF(ISTEXT(([0]!P_1_8.5.8 [0]!MT)),0,([0]!P_1_8.5.8 [0]!MT))</f>
        <v>#REF!</v>
      </c>
    </row>
    <row r="283" spans="1:4" x14ac:dyDescent="0.25">
      <c r="A283" s="1" t="s">
        <v>797</v>
      </c>
      <c r="B283" s="3" t="e">
        <f>IF(ISTEXT(([0]!P_1_8.5.9 [0]!Qté)),0,([0]!P_1_8.5.9 [0]!Qté))</f>
        <v>#REF!</v>
      </c>
      <c r="C283" s="2" t="e">
        <f>([0]!P_1_8.5.9 [0]!PU)</f>
        <v>#REF!</v>
      </c>
      <c r="D283" s="2" t="e">
        <f>IF(ISTEXT(([0]!P_1_8.5.9 [0]!MT)),0,([0]!P_1_8.5.9 [0]!MT))</f>
        <v>#REF!</v>
      </c>
    </row>
    <row r="284" spans="1:4" x14ac:dyDescent="0.25">
      <c r="A284" s="1" t="s">
        <v>798</v>
      </c>
      <c r="B284" s="3" t="e">
        <f>IF(ISTEXT(([0]!P_1_8.5.10 [0]!Qté)),0,([0]!P_1_8.5.10 [0]!Qté))</f>
        <v>#REF!</v>
      </c>
      <c r="C284" s="2" t="e">
        <f>([0]!P_1_8.5.10 [0]!PU)</f>
        <v>#REF!</v>
      </c>
      <c r="D284" s="2" t="e">
        <f>IF(ISTEXT(([0]!P_1_8.5.10 [0]!MT)),0,([0]!P_1_8.5.10 [0]!MT))</f>
        <v>#REF!</v>
      </c>
    </row>
    <row r="285" spans="1:4" x14ac:dyDescent="0.25">
      <c r="A285" s="1" t="s">
        <v>799</v>
      </c>
      <c r="B285" s="3" t="e">
        <f>IF(ISTEXT(([0]!P_1_8.5.11 [0]!Qté)),0,([0]!P_1_8.5.11 [0]!Qté))</f>
        <v>#REF!</v>
      </c>
      <c r="C285" s="2" t="e">
        <f>([0]!P_1_8.5.11 [0]!PU)</f>
        <v>#REF!</v>
      </c>
      <c r="D285" s="2" t="e">
        <f>IF(ISTEXT(([0]!P_1_8.5.11 [0]!MT)),0,([0]!P_1_8.5.11 [0]!MT))</f>
        <v>#REF!</v>
      </c>
    </row>
    <row r="286" spans="1:4" x14ac:dyDescent="0.25">
      <c r="A286" s="1" t="s">
        <v>800</v>
      </c>
      <c r="B286" s="3" t="e">
        <f>IF(ISTEXT(([0]!P_1_8.6.1 [0]!Qté)),0,([0]!P_1_8.6.1 [0]!Qté))</f>
        <v>#REF!</v>
      </c>
      <c r="C286" s="2" t="e">
        <f>([0]!P_1_8.6.1 [0]!PU)</f>
        <v>#REF!</v>
      </c>
      <c r="D286" s="2" t="e">
        <f>IF(ISTEXT(([0]!P_1_8.6.1 [0]!MT)),0,([0]!P_1_8.6.1 [0]!MT))</f>
        <v>#REF!</v>
      </c>
    </row>
    <row r="287" spans="1:4" x14ac:dyDescent="0.25">
      <c r="A287" s="1" t="s">
        <v>801</v>
      </c>
      <c r="B287" s="3" t="e">
        <f>IF(ISTEXT(([0]!P_1_8.6.2 [0]!Qté)),0,([0]!P_1_8.6.2 [0]!Qté))</f>
        <v>#REF!</v>
      </c>
      <c r="C287" s="2" t="e">
        <f>([0]!P_1_8.6.2 [0]!PU)</f>
        <v>#REF!</v>
      </c>
      <c r="D287" s="2" t="e">
        <f>IF(ISTEXT(([0]!P_1_8.6.2 [0]!MT)),0,([0]!P_1_8.6.2 [0]!MT))</f>
        <v>#REF!</v>
      </c>
    </row>
    <row r="288" spans="1:4" x14ac:dyDescent="0.25">
      <c r="A288" s="1" t="s">
        <v>802</v>
      </c>
      <c r="B288" s="3" t="e">
        <f>IF(ISTEXT(([0]!P_1_8.6.3 [0]!Qté)),0,([0]!P_1_8.6.3 [0]!Qté))</f>
        <v>#REF!</v>
      </c>
      <c r="C288" s="2" t="e">
        <f>([0]!P_1_8.6.3 [0]!PU)</f>
        <v>#REF!</v>
      </c>
      <c r="D288" s="2" t="e">
        <f>IF(ISTEXT(([0]!P_1_8.6.3 [0]!MT)),0,([0]!P_1_8.6.3 [0]!MT))</f>
        <v>#REF!</v>
      </c>
    </row>
    <row r="289" spans="1:4" x14ac:dyDescent="0.25">
      <c r="A289" s="1" t="s">
        <v>803</v>
      </c>
      <c r="B289" s="3" t="e">
        <f>IF(ISTEXT(([0]!P_1_8.6.4 [0]!Qté)),0,([0]!P_1_8.6.4 [0]!Qté))</f>
        <v>#REF!</v>
      </c>
      <c r="C289" s="2" t="e">
        <f>([0]!P_1_8.6.4 [0]!PU)</f>
        <v>#REF!</v>
      </c>
      <c r="D289" s="2" t="e">
        <f>IF(ISTEXT(([0]!P_1_8.6.4 [0]!MT)),0,([0]!P_1_8.6.4 [0]!MT))</f>
        <v>#REF!</v>
      </c>
    </row>
    <row r="290" spans="1:4" x14ac:dyDescent="0.25">
      <c r="A290" s="1" t="s">
        <v>804</v>
      </c>
      <c r="B290" s="3" t="e">
        <f>IF(ISTEXT(([0]!P_1_8.6.5 [0]!Qté)),0,([0]!P_1_8.6.5 [0]!Qté))</f>
        <v>#REF!</v>
      </c>
      <c r="C290" s="2" t="e">
        <f>([0]!P_1_8.6.5 [0]!PU)</f>
        <v>#REF!</v>
      </c>
      <c r="D290" s="2" t="e">
        <f>IF(ISTEXT(([0]!P_1_8.6.5 [0]!MT)),0,([0]!P_1_8.6.5 [0]!MT))</f>
        <v>#REF!</v>
      </c>
    </row>
    <row r="291" spans="1:4" x14ac:dyDescent="0.25">
      <c r="A291" s="1" t="s">
        <v>805</v>
      </c>
      <c r="B291" s="3" t="e">
        <f>IF(ISTEXT(([0]!P_1_8.6.6 [0]!Qté)),0,([0]!P_1_8.6.6 [0]!Qté))</f>
        <v>#REF!</v>
      </c>
      <c r="C291" s="2" t="e">
        <f>([0]!P_1_8.6.6 [0]!PU)</f>
        <v>#REF!</v>
      </c>
      <c r="D291" s="2" t="e">
        <f>IF(ISTEXT(([0]!P_1_8.6.6 [0]!MT)),0,([0]!P_1_8.6.6 [0]!MT))</f>
        <v>#REF!</v>
      </c>
    </row>
    <row r="292" spans="1:4" x14ac:dyDescent="0.25">
      <c r="A292" s="1" t="s">
        <v>806</v>
      </c>
      <c r="B292" s="3" t="e">
        <f>IF(ISTEXT(([0]!P_1_8.6.7 [0]!Qté)),0,([0]!P_1_8.6.7 [0]!Qté))</f>
        <v>#REF!</v>
      </c>
      <c r="C292" s="2" t="e">
        <f>([0]!P_1_8.6.7 [0]!PU)</f>
        <v>#REF!</v>
      </c>
      <c r="D292" s="2" t="e">
        <f>IF(ISTEXT(([0]!P_1_8.6.7 [0]!MT)),0,([0]!P_1_8.6.7 [0]!MT))</f>
        <v>#REF!</v>
      </c>
    </row>
    <row r="293" spans="1:4" x14ac:dyDescent="0.25">
      <c r="A293" s="1" t="s">
        <v>807</v>
      </c>
      <c r="B293" s="3" t="e">
        <f>IF(ISTEXT(([0]!P_1_8.6.8 [0]!Qté)),0,([0]!P_1_8.6.8 [0]!Qté))</f>
        <v>#REF!</v>
      </c>
      <c r="C293" s="2" t="e">
        <f>([0]!P_1_8.6.8 [0]!PU)</f>
        <v>#REF!</v>
      </c>
      <c r="D293" s="2" t="e">
        <f>IF(ISTEXT(([0]!P_1_8.6.8 [0]!MT)),0,([0]!P_1_8.6.8 [0]!MT))</f>
        <v>#REF!</v>
      </c>
    </row>
    <row r="294" spans="1:4" x14ac:dyDescent="0.25">
      <c r="A294" s="1" t="s">
        <v>808</v>
      </c>
      <c r="B294" s="3" t="e">
        <f>IF(ISTEXT(([0]!P_1_8.6.10 [0]!Qté)),0,([0]!P_1_8.6.10 [0]!Qté))</f>
        <v>#REF!</v>
      </c>
      <c r="C294" s="2" t="e">
        <f>([0]!P_1_8.6.10 [0]!PU)</f>
        <v>#REF!</v>
      </c>
      <c r="D294" s="2" t="e">
        <f>IF(ISTEXT(([0]!P_1_8.6.10 [0]!MT)),0,([0]!P_1_8.6.10 [0]!MT))</f>
        <v>#REF!</v>
      </c>
    </row>
    <row r="295" spans="1:4" x14ac:dyDescent="0.25">
      <c r="A295" s="1" t="s">
        <v>809</v>
      </c>
      <c r="B295" s="3" t="e">
        <f>IF(ISTEXT(([0]!P_1_8.6.11 [0]!Qté)),0,([0]!P_1_8.6.11 [0]!Qté))</f>
        <v>#REF!</v>
      </c>
      <c r="C295" s="2" t="e">
        <f>([0]!P_1_8.6.11 [0]!PU)</f>
        <v>#REF!</v>
      </c>
      <c r="D295" s="2" t="e">
        <f>IF(ISTEXT(([0]!P_1_8.6.11 [0]!MT)),0,([0]!P_1_8.6.11 [0]!MT))</f>
        <v>#REF!</v>
      </c>
    </row>
    <row r="296" spans="1:4" x14ac:dyDescent="0.25">
      <c r="A296" s="1" t="s">
        <v>1073</v>
      </c>
      <c r="B296" s="3" t="e">
        <f>IF(ISTEXT(([0]!P_1_87.1 [0]!Qté)),0,([0]!P_1_87.1 [0]!Qté))</f>
        <v>#REF!</v>
      </c>
      <c r="C296" s="2" t="e">
        <f>([0]!P_1_87.1 [0]!PU)</f>
        <v>#REF!</v>
      </c>
      <c r="D296" s="2" t="e">
        <f>IF(ISTEXT(([0]!P_1_87.1 [0]!MT)),0,([0]!P_1_87.1 [0]!MT))</f>
        <v>#REF!</v>
      </c>
    </row>
    <row r="297" spans="1:4" x14ac:dyDescent="0.25">
      <c r="A297" s="1" t="s">
        <v>810</v>
      </c>
      <c r="B297" s="3" t="e">
        <f>IF(ISTEXT(([0]!P_1_8.7.2 [0]!Qté)),0,([0]!P_1_8.7.2 [0]!Qté))</f>
        <v>#REF!</v>
      </c>
      <c r="C297" s="2" t="e">
        <f>([0]!P_1_8.7.2 [0]!PU)</f>
        <v>#REF!</v>
      </c>
      <c r="D297" s="2" t="e">
        <f>IF(ISTEXT(([0]!P_1_8.7.2 [0]!MT)),0,([0]!P_1_8.7.2 [0]!MT))</f>
        <v>#REF!</v>
      </c>
    </row>
    <row r="298" spans="1:4" x14ac:dyDescent="0.25">
      <c r="A298" s="1" t="s">
        <v>811</v>
      </c>
      <c r="B298" s="3" t="e">
        <f>IF(ISTEXT(([0]!P_1_8.8.1 [0]!Qté)),0,([0]!P_1_8.8.1 [0]!Qté))</f>
        <v>#REF!</v>
      </c>
      <c r="C298" s="2" t="e">
        <f>([0]!P_1_8.8.1 [0]!PU)</f>
        <v>#REF!</v>
      </c>
      <c r="D298" s="2" t="e">
        <f>IF(ISTEXT(([0]!P_1_8.8.1 [0]!MT)),0,([0]!P_1_8.8.1 [0]!MT))</f>
        <v>#REF!</v>
      </c>
    </row>
    <row r="299" spans="1:4" x14ac:dyDescent="0.25">
      <c r="A299" s="1" t="s">
        <v>812</v>
      </c>
      <c r="B299" s="3" t="e">
        <f>IF(ISTEXT(([0]!P_1_8.8.2 [0]!Qté)),0,([0]!P_1_8.8.2 [0]!Qté))</f>
        <v>#REF!</v>
      </c>
      <c r="C299" s="2" t="e">
        <f>([0]!P_1_8.8.2 [0]!PU)</f>
        <v>#REF!</v>
      </c>
      <c r="D299" s="2" t="e">
        <f>IF(ISTEXT(([0]!P_1_8.8.2 [0]!MT)),0,([0]!P_1_8.8.2 [0]!MT))</f>
        <v>#REF!</v>
      </c>
    </row>
    <row r="300" spans="1:4" x14ac:dyDescent="0.25">
      <c r="A300" s="1" t="s">
        <v>813</v>
      </c>
      <c r="B300" s="3" t="e">
        <f>IF(ISTEXT(([0]!P_1_8.8.3 [0]!Qté)),0,([0]!P_1_8.8.3 [0]!Qté))</f>
        <v>#REF!</v>
      </c>
      <c r="C300" s="2" t="e">
        <f>([0]!P_1_8.8.3 [0]!PU)</f>
        <v>#REF!</v>
      </c>
      <c r="D300" s="2" t="e">
        <f>IF(ISTEXT(([0]!P_1_8.8.3 [0]!MT)),0,([0]!P_1_8.8.3 [0]!MT))</f>
        <v>#REF!</v>
      </c>
    </row>
    <row r="301" spans="1:4" x14ac:dyDescent="0.25">
      <c r="A301" s="1" t="s">
        <v>814</v>
      </c>
      <c r="B301" s="3" t="e">
        <f>IF(ISTEXT(([0]!P_1_8.8.4 [0]!Qté)),0,([0]!P_1_8.8.4 [0]!Qté))</f>
        <v>#REF!</v>
      </c>
      <c r="C301" s="2" t="e">
        <f>([0]!P_1_8.8.4 [0]!PU)</f>
        <v>#REF!</v>
      </c>
      <c r="D301" s="2" t="e">
        <f>IF(ISTEXT(([0]!P_1_8.8.4 [0]!MT)),0,([0]!P_1_8.8.4 [0]!MT))</f>
        <v>#REF!</v>
      </c>
    </row>
    <row r="302" spans="1:4" x14ac:dyDescent="0.25">
      <c r="A302" s="1" t="s">
        <v>815</v>
      </c>
      <c r="B302" s="3" t="e">
        <f>IF(ISTEXT(([0]!P_1_8.8.5 [0]!Qté)),0,([0]!P_1_8.8.5 [0]!Qté))</f>
        <v>#REF!</v>
      </c>
      <c r="C302" s="2" t="e">
        <f>([0]!P_1_8.8.5 [0]!PU)</f>
        <v>#REF!</v>
      </c>
      <c r="D302" s="2" t="e">
        <f>IF(ISTEXT(([0]!P_1_8.8.5 [0]!MT)),0,([0]!P_1_8.8.5 [0]!MT))</f>
        <v>#REF!</v>
      </c>
    </row>
    <row r="303" spans="1:4" x14ac:dyDescent="0.25">
      <c r="A303" s="1" t="s">
        <v>816</v>
      </c>
      <c r="B303" s="3" t="e">
        <f>IF(ISTEXT(([0]!P_1_8.8.6 [0]!Qté)),0,([0]!P_1_8.8.6 [0]!Qté))</f>
        <v>#REF!</v>
      </c>
      <c r="C303" s="2" t="e">
        <f>([0]!P_1_8.8.6 [0]!PU)</f>
        <v>#REF!</v>
      </c>
      <c r="D303" s="2" t="e">
        <f>IF(ISTEXT(([0]!P_1_8.8.6 [0]!MT)),0,([0]!P_1_8.8.6 [0]!MT))</f>
        <v>#REF!</v>
      </c>
    </row>
    <row r="304" spans="1:4" x14ac:dyDescent="0.25">
      <c r="A304" s="1" t="s">
        <v>817</v>
      </c>
      <c r="B304" s="3" t="e">
        <f>IF(ISTEXT(([0]!P_1_8.8.7 [0]!Qté)),0,([0]!P_1_8.8.7 [0]!Qté))</f>
        <v>#REF!</v>
      </c>
      <c r="C304" s="2" t="e">
        <f>([0]!P_1_8.8.7 [0]!PU)</f>
        <v>#REF!</v>
      </c>
      <c r="D304" s="2" t="e">
        <f>IF(ISTEXT(([0]!P_1_8.8.7 [0]!MT)),0,([0]!P_1_8.8.7 [0]!MT))</f>
        <v>#REF!</v>
      </c>
    </row>
    <row r="305" spans="1:4" x14ac:dyDescent="0.25">
      <c r="A305" s="1" t="s">
        <v>818</v>
      </c>
      <c r="B305" s="3" t="e">
        <f>IF(ISTEXT(([0]!P_1_8.9.1 [0]!Qté)),0,([0]!P_1_8.9.1 [0]!Qté))</f>
        <v>#REF!</v>
      </c>
      <c r="C305" s="2" t="e">
        <f>([0]!P_1_8.9.1 [0]!PU)</f>
        <v>#REF!</v>
      </c>
      <c r="D305" s="2" t="e">
        <f>IF(ISTEXT(([0]!P_1_8.9.1 [0]!MT)),0,([0]!P_1_8.9.1 [0]!MT))</f>
        <v>#REF!</v>
      </c>
    </row>
    <row r="306" spans="1:4" x14ac:dyDescent="0.25">
      <c r="A306" s="1" t="s">
        <v>819</v>
      </c>
      <c r="B306" s="3" t="e">
        <f>IF(ISTEXT(([0]!P_1_8.9.2 [0]!Qté)),0,([0]!P_1_8.9.2 [0]!Qté))</f>
        <v>#REF!</v>
      </c>
      <c r="C306" s="2" t="e">
        <f>([0]!P_1_8.9.2 [0]!PU)</f>
        <v>#REF!</v>
      </c>
      <c r="D306" s="2" t="e">
        <f>IF(ISTEXT(([0]!P_1_8.9.2 [0]!MT)),0,([0]!P_1_8.9.2 [0]!MT))</f>
        <v>#REF!</v>
      </c>
    </row>
    <row r="307" spans="1:4" x14ac:dyDescent="0.25">
      <c r="A307" s="1" t="s">
        <v>820</v>
      </c>
      <c r="B307" s="3" t="e">
        <f>IF(ISTEXT(([0]!P_1_8.9.3 [0]!Qté)),0,([0]!P_1_8.9.3 [0]!Qté))</f>
        <v>#REF!</v>
      </c>
      <c r="C307" s="2" t="e">
        <f>([0]!P_1_8.9.3 [0]!PU)</f>
        <v>#REF!</v>
      </c>
      <c r="D307" s="2" t="e">
        <f>IF(ISTEXT(([0]!P_1_8.9.3 [0]!MT)),0,([0]!P_1_8.9.3 [0]!MT))</f>
        <v>#REF!</v>
      </c>
    </row>
    <row r="308" spans="1:4" x14ac:dyDescent="0.25">
      <c r="A308" s="1" t="s">
        <v>821</v>
      </c>
      <c r="B308" s="3" t="e">
        <f>IF(ISTEXT(([0]!P_1_8.9.4 [0]!Qté)),0,([0]!P_1_8.9.4 [0]!Qté))</f>
        <v>#REF!</v>
      </c>
      <c r="C308" s="2" t="e">
        <f>([0]!P_1_8.9.4 [0]!PU)</f>
        <v>#REF!</v>
      </c>
      <c r="D308" s="2" t="e">
        <f>IF(ISTEXT(([0]!P_1_8.9.4 [0]!MT)),0,([0]!P_1_8.9.4 [0]!MT))</f>
        <v>#REF!</v>
      </c>
    </row>
    <row r="309" spans="1:4" x14ac:dyDescent="0.25">
      <c r="A309" s="1" t="s">
        <v>822</v>
      </c>
      <c r="B309" s="3" t="e">
        <f>IF(ISTEXT(([0]!P_1_8.9.5 [0]!Qté)),0,([0]!P_1_8.9.5 [0]!Qté))</f>
        <v>#REF!</v>
      </c>
      <c r="C309" s="2" t="e">
        <f>([0]!P_1_8.9.5 [0]!PU)</f>
        <v>#REF!</v>
      </c>
      <c r="D309" s="2" t="e">
        <f>IF(ISTEXT(([0]!P_1_8.9.5 [0]!MT)),0,([0]!P_1_8.9.5 [0]!MT))</f>
        <v>#REF!</v>
      </c>
    </row>
    <row r="310" spans="1:4" x14ac:dyDescent="0.25">
      <c r="A310" s="1" t="s">
        <v>823</v>
      </c>
      <c r="B310" s="3" t="e">
        <f>IF(ISTEXT(([0]!P_1_8.9.6 [0]!Qté)),0,([0]!P_1_8.9.6 [0]!Qté))</f>
        <v>#REF!</v>
      </c>
      <c r="C310" s="2" t="e">
        <f>([0]!P_1_8.9.6 [0]!PU)</f>
        <v>#REF!</v>
      </c>
      <c r="D310" s="2" t="e">
        <f>IF(ISTEXT(([0]!P_1_8.9.6 [0]!MT)),0,([0]!P_1_8.9.6 [0]!MT))</f>
        <v>#REF!</v>
      </c>
    </row>
    <row r="311" spans="1:4" x14ac:dyDescent="0.25">
      <c r="A311" s="1" t="s">
        <v>824</v>
      </c>
      <c r="B311" s="3" t="e">
        <f>IF(ISTEXT(([0]!P_1_8.9.7 [0]!Qté)),0,([0]!P_1_8.9.7 [0]!Qté))</f>
        <v>#REF!</v>
      </c>
      <c r="C311" s="2" t="e">
        <f>([0]!P_1_8.9.7 [0]!PU)</f>
        <v>#REF!</v>
      </c>
      <c r="D311" s="2" t="e">
        <f>IF(ISTEXT(([0]!P_1_8.9.7 [0]!MT)),0,([0]!P_1_8.9.7 [0]!MT))</f>
        <v>#REF!</v>
      </c>
    </row>
    <row r="312" spans="1:4" x14ac:dyDescent="0.25">
      <c r="A312" s="1" t="s">
        <v>825</v>
      </c>
      <c r="B312" s="3" t="e">
        <f>IF(ISTEXT(([0]!P_1_8.9.8 [0]!Qté)),0,([0]!P_1_8.9.8 [0]!Qté))</f>
        <v>#REF!</v>
      </c>
      <c r="C312" s="2" t="e">
        <f>([0]!P_1_8.9.8 [0]!PU)</f>
        <v>#REF!</v>
      </c>
      <c r="D312" s="2" t="e">
        <f>IF(ISTEXT(([0]!P_1_8.9.8 [0]!MT)),0,([0]!P_1_8.9.8 [0]!MT))</f>
        <v>#REF!</v>
      </c>
    </row>
    <row r="313" spans="1:4" x14ac:dyDescent="0.25">
      <c r="A313" s="1" t="s">
        <v>826</v>
      </c>
      <c r="B313" s="3" t="e">
        <f>IF(ISTEXT(([0]!P_1_8.9.9 [0]!Qté)),0,([0]!P_1_8.9.9 [0]!Qté))</f>
        <v>#REF!</v>
      </c>
      <c r="C313" s="2" t="e">
        <f>([0]!P_1_8.9.9 [0]!PU)</f>
        <v>#REF!</v>
      </c>
      <c r="D313" s="2" t="e">
        <f>IF(ISTEXT(([0]!P_1_8.9.9 [0]!MT)),0,([0]!P_1_8.9.9 [0]!MT))</f>
        <v>#REF!</v>
      </c>
    </row>
    <row r="314" spans="1:4" x14ac:dyDescent="0.25">
      <c r="A314" s="1" t="s">
        <v>827</v>
      </c>
      <c r="B314" s="3" t="e">
        <f>IF(ISTEXT(([0]!P_1_8.9.10 [0]!Qté)),0,([0]!P_1_8.9.10 [0]!Qté))</f>
        <v>#REF!</v>
      </c>
      <c r="C314" s="2" t="e">
        <f>([0]!P_1_8.9.10 [0]!PU)</f>
        <v>#REF!</v>
      </c>
      <c r="D314" s="2" t="e">
        <f>IF(ISTEXT(([0]!P_1_8.9.10 [0]!MT)),0,([0]!P_1_8.9.10 [0]!MT))</f>
        <v>#REF!</v>
      </c>
    </row>
    <row r="315" spans="1:4" x14ac:dyDescent="0.25">
      <c r="A315" s="1" t="s">
        <v>828</v>
      </c>
      <c r="B315" s="3" t="e">
        <f>IF(ISTEXT(([0]!P_1_8.9.11 [0]!Qté)),0,([0]!P_1_8.9.11 [0]!Qté))</f>
        <v>#REF!</v>
      </c>
      <c r="C315" s="2" t="e">
        <f>([0]!P_1_8.9.11 [0]!PU)</f>
        <v>#REF!</v>
      </c>
      <c r="D315" s="2" t="e">
        <f>IF(ISTEXT(([0]!P_1_8.9.11 [0]!MT)),0,([0]!P_1_8.9.11 [0]!MT))</f>
        <v>#REF!</v>
      </c>
    </row>
    <row r="316" spans="1:4" x14ac:dyDescent="0.25">
      <c r="A316" s="1" t="s">
        <v>829</v>
      </c>
      <c r="B316" s="3" t="e">
        <f>IF(ISTEXT(([0]!P_1_8.9.12 [0]!Qté)),0,([0]!P_1_8.9.12 [0]!Qté))</f>
        <v>#REF!</v>
      </c>
      <c r="C316" s="2" t="e">
        <f>([0]!P_1_8.9.12 [0]!PU)</f>
        <v>#REF!</v>
      </c>
      <c r="D316" s="2" t="e">
        <f>IF(ISTEXT(([0]!P_1_8.9.12 [0]!MT)),0,([0]!P_1_8.9.12 [0]!MT))</f>
        <v>#REF!</v>
      </c>
    </row>
    <row r="317" spans="1:4" x14ac:dyDescent="0.25">
      <c r="A317" s="1" t="s">
        <v>830</v>
      </c>
      <c r="B317" s="3" t="e">
        <f>IF(ISTEXT(([0]!P_1_8.10.1 [0]!Qté)),0,([0]!P_1_8.10.1 [0]!Qté))</f>
        <v>#REF!</v>
      </c>
      <c r="C317" s="2" t="e">
        <f>([0]!P_1_8.10.1 [0]!PU)</f>
        <v>#REF!</v>
      </c>
      <c r="D317" s="2" t="e">
        <f>IF(ISTEXT(([0]!P_1_8.10.1 [0]!MT)),0,([0]!P_1_8.10.1 [0]!MT))</f>
        <v>#REF!</v>
      </c>
    </row>
    <row r="318" spans="1:4" x14ac:dyDescent="0.25">
      <c r="A318" s="1" t="s">
        <v>831</v>
      </c>
      <c r="B318" s="3" t="e">
        <f>IF(ISTEXT(([0]!P_1_8.10.2 [0]!Qté)),0,([0]!P_1_8.10.2 [0]!Qté))</f>
        <v>#REF!</v>
      </c>
      <c r="C318" s="2" t="e">
        <f>([0]!P_1_8.10.2 [0]!PU)</f>
        <v>#REF!</v>
      </c>
      <c r="D318" s="2" t="e">
        <f>IF(ISTEXT(([0]!P_1_8.10.2 [0]!MT)),0,([0]!P_1_8.10.2 [0]!MT))</f>
        <v>#REF!</v>
      </c>
    </row>
    <row r="319" spans="1:4" x14ac:dyDescent="0.25">
      <c r="A319" s="1" t="s">
        <v>832</v>
      </c>
      <c r="B319" s="3" t="e">
        <f>IF(ISTEXT(([0]!P_1_8.10.3 [0]!Qté)),0,([0]!P_1_8.10.3 [0]!Qté))</f>
        <v>#REF!</v>
      </c>
      <c r="C319" s="2" t="e">
        <f>([0]!P_1_8.10.3 [0]!PU)</f>
        <v>#REF!</v>
      </c>
      <c r="D319" s="2" t="e">
        <f>IF(ISTEXT(([0]!P_1_8.10.3 [0]!MT)),0,([0]!P_1_8.10.3 [0]!MT))</f>
        <v>#REF!</v>
      </c>
    </row>
    <row r="320" spans="1:4" x14ac:dyDescent="0.25">
      <c r="A320" s="1" t="s">
        <v>599</v>
      </c>
      <c r="B320" s="3" t="e">
        <f>IF(ISTEXT(([0]!P_1_8.10.4 [0]!Qté)),0,([0]!P_1_8.10.4 [0]!Qté))</f>
        <v>#REF!</v>
      </c>
      <c r="C320" s="2" t="e">
        <f>([0]!P_1_8.10.4 [0]!PU)</f>
        <v>#REF!</v>
      </c>
      <c r="D320" s="2" t="e">
        <f>IF(ISTEXT(([0]!P_1_8.10.4 [0]!MT)),0,([0]!P_1_8.10.4 [0]!MT))</f>
        <v>#REF!</v>
      </c>
    </row>
    <row r="321" spans="1:4" x14ac:dyDescent="0.25">
      <c r="A321" s="1" t="s">
        <v>600</v>
      </c>
      <c r="B321" s="3" t="e">
        <f>IF(ISTEXT(([0]!P_1_8.10.5 [0]!Qté)),0,([0]!P_1_8.10.5 [0]!Qté))</f>
        <v>#REF!</v>
      </c>
      <c r="C321" s="2" t="e">
        <f>([0]!P_1_8.10.5 [0]!PU)</f>
        <v>#REF!</v>
      </c>
      <c r="D321" s="2" t="e">
        <f>IF(ISTEXT(([0]!P_1_8.10.5 [0]!MT)),0,([0]!P_1_8.10.5 [0]!MT))</f>
        <v>#REF!</v>
      </c>
    </row>
    <row r="322" spans="1:4" x14ac:dyDescent="0.25">
      <c r="A322" s="1" t="s">
        <v>601</v>
      </c>
      <c r="B322" s="3" t="e">
        <f>IF(ISTEXT(([0]!P_1_8.10.6 [0]!Qté)),0,([0]!P_1_8.10.6 [0]!Qté))</f>
        <v>#REF!</v>
      </c>
      <c r="C322" s="2" t="e">
        <f>([0]!P_1_8.10.6 [0]!PU)</f>
        <v>#REF!</v>
      </c>
      <c r="D322" s="2" t="e">
        <f>IF(ISTEXT(([0]!P_1_8.10.6 [0]!MT)),0,([0]!P_1_8.10.6 [0]!MT))</f>
        <v>#REF!</v>
      </c>
    </row>
    <row r="323" spans="1:4" x14ac:dyDescent="0.25">
      <c r="A323" s="1" t="s">
        <v>602</v>
      </c>
      <c r="B323" s="3" t="e">
        <f>IF(ISTEXT(([0]!P_1_8.10.7 [0]!Qté)),0,([0]!P_1_8.10.7 [0]!Qté))</f>
        <v>#REF!</v>
      </c>
      <c r="C323" s="2" t="e">
        <f>([0]!P_1_8.10.7 [0]!PU)</f>
        <v>#REF!</v>
      </c>
      <c r="D323" s="2" t="e">
        <f>IF(ISTEXT(([0]!P_1_8.10.7 [0]!MT)),0,([0]!P_1_8.10.7 [0]!MT))</f>
        <v>#REF!</v>
      </c>
    </row>
    <row r="324" spans="1:4" x14ac:dyDescent="0.25">
      <c r="A324" s="1" t="s">
        <v>603</v>
      </c>
      <c r="B324" s="3" t="e">
        <f>IF(ISTEXT(([0]!P_1_8.10.8 [0]!Qté)),0,([0]!P_1_8.10.8 [0]!Qté))</f>
        <v>#REF!</v>
      </c>
      <c r="C324" s="2" t="e">
        <f>([0]!P_1_8.10.8 [0]!PU)</f>
        <v>#REF!</v>
      </c>
      <c r="D324" s="2" t="e">
        <f>IF(ISTEXT(([0]!P_1_8.10.8 [0]!MT)),0,([0]!P_1_8.10.8 [0]!MT))</f>
        <v>#REF!</v>
      </c>
    </row>
    <row r="325" spans="1:4" x14ac:dyDescent="0.25">
      <c r="A325" s="1" t="s">
        <v>604</v>
      </c>
      <c r="B325" s="3" t="e">
        <f>IF(ISTEXT(([0]!P_1_8.10.9 [0]!Qté)),0,([0]!P_1_8.10.9 [0]!Qté))</f>
        <v>#REF!</v>
      </c>
      <c r="C325" s="2" t="e">
        <f>([0]!P_1_8.10.9 [0]!PU)</f>
        <v>#REF!</v>
      </c>
      <c r="D325" s="2" t="e">
        <f>IF(ISTEXT(([0]!P_1_8.10.9 [0]!MT)),0,([0]!P_1_8.10.9 [0]!MT))</f>
        <v>#REF!</v>
      </c>
    </row>
    <row r="326" spans="1:4" x14ac:dyDescent="0.25">
      <c r="A326" s="1" t="s">
        <v>605</v>
      </c>
      <c r="B326" s="3" t="e">
        <f>IF(ISTEXT(([0]!P_1_8.10.10 [0]!Qté)),0,([0]!P_1_8.10.10 [0]!Qté))</f>
        <v>#REF!</v>
      </c>
      <c r="C326" s="2" t="e">
        <f>([0]!P_1_8.10.10 [0]!PU)</f>
        <v>#REF!</v>
      </c>
      <c r="D326" s="2" t="e">
        <f>IF(ISTEXT(([0]!P_1_8.10.10 [0]!MT)),0,([0]!P_1_8.10.10 [0]!MT))</f>
        <v>#REF!</v>
      </c>
    </row>
    <row r="327" spans="1:4" x14ac:dyDescent="0.25">
      <c r="A327" s="1" t="s">
        <v>606</v>
      </c>
      <c r="B327" s="3" t="e">
        <f>IF(ISTEXT(([0]!P_1_8.10.11 [0]!Qté)),0,([0]!P_1_8.10.11 [0]!Qté))</f>
        <v>#REF!</v>
      </c>
      <c r="C327" s="2" t="e">
        <f>([0]!P_1_8.10.11 [0]!PU)</f>
        <v>#REF!</v>
      </c>
      <c r="D327" s="2" t="e">
        <f>IF(ISTEXT(([0]!P_1_8.10.11 [0]!MT)),0,([0]!P_1_8.10.11 [0]!MT))</f>
        <v>#REF!</v>
      </c>
    </row>
    <row r="328" spans="1:4" x14ac:dyDescent="0.25">
      <c r="A328" s="1" t="s">
        <v>126</v>
      </c>
      <c r="B328" s="3" t="e">
        <f>IF(ISTEXT(([0]!P_1_8.10.12 [0]!Qté)),0,([0]!P_1_8.10.12 [0]!Qté))</f>
        <v>#REF!</v>
      </c>
      <c r="C328" s="2" t="e">
        <f>([0]!P_1_8.10.12 [0]!PU)</f>
        <v>#REF!</v>
      </c>
      <c r="D328" s="2" t="e">
        <f>IF(ISTEXT(([0]!P_1_8.10.12 [0]!MT)),0,([0]!P_1_8.10.12 [0]!MT))</f>
        <v>#REF!</v>
      </c>
    </row>
    <row r="329" spans="1:4" x14ac:dyDescent="0.25">
      <c r="A329" s="1" t="s">
        <v>607</v>
      </c>
      <c r="B329" s="3" t="e">
        <f>IF(ISTEXT(([0]!P_1_8.11.1 [0]!Qté)),0,([0]!P_1_8.11.1 [0]!Qté))</f>
        <v>#REF!</v>
      </c>
      <c r="C329" s="2" t="e">
        <f>([0]!P_1_8.11.1 [0]!PU)</f>
        <v>#REF!</v>
      </c>
      <c r="D329" s="2" t="e">
        <f>IF(ISTEXT(([0]!P_1_8.11.1 [0]!MT)),0,([0]!P_1_8.11.1 [0]!MT))</f>
        <v>#REF!</v>
      </c>
    </row>
    <row r="330" spans="1:4" x14ac:dyDescent="0.25">
      <c r="A330" s="1" t="s">
        <v>127</v>
      </c>
      <c r="B330" s="3" t="e">
        <f>IF(ISTEXT(([0]!P_1_8.11.2 [0]!Qté)),0,([0]!P_1_8.11.2 [0]!Qté))</f>
        <v>#REF!</v>
      </c>
      <c r="C330" s="2" t="e">
        <f>([0]!P_1_8.11.2 [0]!PU)</f>
        <v>#REF!</v>
      </c>
      <c r="D330" s="2" t="e">
        <f>IF(ISTEXT(([0]!P_1_8.11.2 [0]!MT)),0,([0]!P_1_8.11.2 [0]!MT))</f>
        <v>#REF!</v>
      </c>
    </row>
    <row r="331" spans="1:4" x14ac:dyDescent="0.25">
      <c r="A331" s="1" t="s">
        <v>608</v>
      </c>
      <c r="B331" s="3" t="e">
        <f>IF(ISTEXT(([0]!P_1_8.11.3 [0]!Qté)),0,([0]!P_1_8.11.3 [0]!Qté))</f>
        <v>#REF!</v>
      </c>
      <c r="C331" s="2" t="e">
        <f>([0]!P_1_8.11.3 [0]!PU)</f>
        <v>#REF!</v>
      </c>
      <c r="D331" s="2" t="e">
        <f>IF(ISTEXT(([0]!P_1_8.11.3 [0]!MT)),0,([0]!P_1_8.11.3 [0]!MT))</f>
        <v>#REF!</v>
      </c>
    </row>
    <row r="332" spans="1:4" x14ac:dyDescent="0.25">
      <c r="A332" s="1" t="s">
        <v>609</v>
      </c>
      <c r="B332" s="3" t="e">
        <f>IF(ISTEXT(([0]!P_1_8.11.4 [0]!Qté)),0,([0]!P_1_8.11.4 [0]!Qté))</f>
        <v>#REF!</v>
      </c>
      <c r="C332" s="2" t="e">
        <f>([0]!P_1_8.11.4 [0]!PU)</f>
        <v>#REF!</v>
      </c>
      <c r="D332" s="2" t="e">
        <f>IF(ISTEXT(([0]!P_1_8.11.4 [0]!MT)),0,([0]!P_1_8.11.4 [0]!MT))</f>
        <v>#REF!</v>
      </c>
    </row>
    <row r="333" spans="1:4" x14ac:dyDescent="0.25">
      <c r="A333" s="1" t="s">
        <v>610</v>
      </c>
      <c r="B333" s="3" t="e">
        <f>IF(ISTEXT(([0]!P_1_8.11.5 [0]!Qté)),0,([0]!P_1_8.11.5 [0]!Qté))</f>
        <v>#REF!</v>
      </c>
      <c r="C333" s="2" t="e">
        <f>([0]!P_1_8.11.5 [0]!PU)</f>
        <v>#REF!</v>
      </c>
      <c r="D333" s="2" t="e">
        <f>IF(ISTEXT(([0]!P_1_8.11.5 [0]!MT)),0,([0]!P_1_8.11.5 [0]!MT))</f>
        <v>#REF!</v>
      </c>
    </row>
    <row r="334" spans="1:4" x14ac:dyDescent="0.25">
      <c r="A334" s="1" t="s">
        <v>611</v>
      </c>
      <c r="B334" s="3" t="e">
        <f>IF(ISTEXT(([0]!P_1_8.11.6 [0]!Qté)),0,([0]!P_1_8.11.6 [0]!Qté))</f>
        <v>#REF!</v>
      </c>
      <c r="C334" s="2" t="e">
        <f>([0]!P_1_8.11.6 [0]!PU)</f>
        <v>#REF!</v>
      </c>
      <c r="D334" s="2" t="e">
        <f>IF(ISTEXT(([0]!P_1_8.11.6 [0]!MT)),0,([0]!P_1_8.11.6 [0]!MT))</f>
        <v>#REF!</v>
      </c>
    </row>
    <row r="335" spans="1:4" x14ac:dyDescent="0.25">
      <c r="A335" s="1" t="s">
        <v>128</v>
      </c>
      <c r="B335" s="3" t="e">
        <f>IF(ISTEXT(([0]!P_1_8.11.7 [0]!Qté)),0,([0]!P_1_8.11.7 [0]!Qté))</f>
        <v>#REF!</v>
      </c>
      <c r="C335" s="2" t="e">
        <f>([0]!P_1_8.11.7 [0]!PU)</f>
        <v>#REF!</v>
      </c>
      <c r="D335" s="2" t="e">
        <f>IF(ISTEXT(([0]!P_1_8.11.7 [0]!MT)),0,([0]!P_1_8.11.7 [0]!MT))</f>
        <v>#REF!</v>
      </c>
    </row>
    <row r="336" spans="1:4" x14ac:dyDescent="0.25">
      <c r="A336" s="1" t="s">
        <v>612</v>
      </c>
      <c r="B336" s="3" t="e">
        <f>IF(ISTEXT(([0]!P_1_8.11.8 [0]!Qté)),0,([0]!P_1_8.11.8 [0]!Qté))</f>
        <v>#REF!</v>
      </c>
      <c r="C336" s="2" t="e">
        <f>([0]!P_1_8.11.8 [0]!PU)</f>
        <v>#REF!</v>
      </c>
      <c r="D336" s="2" t="e">
        <f>IF(ISTEXT(([0]!P_1_8.11.8 [0]!MT)),0,([0]!P_1_8.11.8 [0]!MT))</f>
        <v>#REF!</v>
      </c>
    </row>
    <row r="337" spans="1:4" x14ac:dyDescent="0.25">
      <c r="A337" s="1" t="s">
        <v>613</v>
      </c>
      <c r="B337" s="3" t="e">
        <f>IF(ISTEXT(([0]!P_1_8.11.9 [0]!Qté)),0,([0]!P_1_8.11.9 [0]!Qté))</f>
        <v>#REF!</v>
      </c>
      <c r="C337" s="2" t="e">
        <f>([0]!P_1_8.11.9 [0]!PU)</f>
        <v>#REF!</v>
      </c>
      <c r="D337" s="2" t="e">
        <f>IF(ISTEXT(([0]!P_1_8.11.9 [0]!MT)),0,([0]!P_1_8.11.9 [0]!MT))</f>
        <v>#REF!</v>
      </c>
    </row>
    <row r="338" spans="1:4" x14ac:dyDescent="0.25">
      <c r="A338" s="1" t="s">
        <v>129</v>
      </c>
      <c r="B338" s="3" t="e">
        <f>IF(ISTEXT(([0]!P_1_8.11.10 [0]!Qté)),0,([0]!P_1_8.11.10 [0]!Qté))</f>
        <v>#REF!</v>
      </c>
      <c r="C338" s="2" t="e">
        <f>([0]!P_1_8.11.10 [0]!PU)</f>
        <v>#REF!</v>
      </c>
      <c r="D338" s="2" t="e">
        <f>IF(ISTEXT(([0]!P_1_8.11.10 [0]!MT)),0,([0]!P_1_8.11.10 [0]!MT))</f>
        <v>#REF!</v>
      </c>
    </row>
    <row r="339" spans="1:4" x14ac:dyDescent="0.25">
      <c r="A339" s="1" t="s">
        <v>130</v>
      </c>
      <c r="B339" s="3" t="e">
        <f>IF(ISTEXT(([0]!P_1_8.11.11 [0]!Qté)),0,([0]!P_1_8.11.11 [0]!Qté))</f>
        <v>#REF!</v>
      </c>
      <c r="C339" s="2" t="e">
        <f>([0]!P_1_8.11.11 [0]!PU)</f>
        <v>#REF!</v>
      </c>
      <c r="D339" s="2" t="e">
        <f>IF(ISTEXT(([0]!P_1_8.11.11 [0]!MT)),0,([0]!P_1_8.11.11 [0]!MT))</f>
        <v>#REF!</v>
      </c>
    </row>
    <row r="340" spans="1:4" x14ac:dyDescent="0.25">
      <c r="A340" s="1" t="s">
        <v>131</v>
      </c>
      <c r="B340" s="3" t="e">
        <f>IF(ISTEXT(([0]!P_1_8.11.12 [0]!Qté)),0,([0]!P_1_8.11.12 [0]!Qté))</f>
        <v>#REF!</v>
      </c>
      <c r="C340" s="2" t="e">
        <f>([0]!P_1_8.11.12 [0]!PU)</f>
        <v>#REF!</v>
      </c>
      <c r="D340" s="2" t="e">
        <f>IF(ISTEXT(([0]!P_1_8.11.12 [0]!MT)),0,([0]!P_1_8.11.12 [0]!MT))</f>
        <v>#REF!</v>
      </c>
    </row>
    <row r="341" spans="1:4" x14ac:dyDescent="0.25">
      <c r="A341" s="1" t="s">
        <v>614</v>
      </c>
      <c r="B341" s="3" t="e">
        <f>IF(ISTEXT(([0]!P_1_8.12.1 [0]!Qté)),0,([0]!P_1_8.12.1 [0]!Qté))</f>
        <v>#REF!</v>
      </c>
      <c r="C341" s="2" t="e">
        <f>([0]!P_1_8.12.1 [0]!PU)</f>
        <v>#REF!</v>
      </c>
      <c r="D341" s="2" t="e">
        <f>IF(ISTEXT(([0]!P_1_8.12.1 [0]!MT)),0,([0]!P_1_8.12.1 [0]!MT))</f>
        <v>#REF!</v>
      </c>
    </row>
    <row r="342" spans="1:4" x14ac:dyDescent="0.25">
      <c r="A342" s="1" t="s">
        <v>615</v>
      </c>
      <c r="B342" s="3" t="e">
        <f>IF(ISTEXT(([0]!P_1_8.12.2 [0]!Qté)),0,([0]!P_1_8.12.2 [0]!Qté))</f>
        <v>#REF!</v>
      </c>
      <c r="C342" s="2" t="e">
        <f>([0]!P_1_8.12.2 [0]!PU)</f>
        <v>#REF!</v>
      </c>
      <c r="D342" s="2" t="e">
        <f>IF(ISTEXT(([0]!P_1_8.12.2 [0]!MT)),0,([0]!P_1_8.12.2 [0]!MT))</f>
        <v>#REF!</v>
      </c>
    </row>
    <row r="343" spans="1:4" x14ac:dyDescent="0.25">
      <c r="A343" s="1" t="s">
        <v>616</v>
      </c>
      <c r="B343" s="3" t="e">
        <f>IF(ISTEXT(([0]!P_1_8.12.3 [0]!Qté)),0,([0]!P_1_8.12.3 [0]!Qté))</f>
        <v>#REF!</v>
      </c>
      <c r="C343" s="2" t="e">
        <f>([0]!P_1_8.12.3 [0]!PU)</f>
        <v>#REF!</v>
      </c>
      <c r="D343" s="2" t="e">
        <f>IF(ISTEXT(([0]!P_1_8.12.3 [0]!MT)),0,([0]!P_1_8.12.3 [0]!MT))</f>
        <v>#REF!</v>
      </c>
    </row>
    <row r="344" spans="1:4" x14ac:dyDescent="0.25">
      <c r="A344" s="1" t="s">
        <v>617</v>
      </c>
      <c r="B344" s="3" t="e">
        <f>IF(ISTEXT(([0]!P_1_8.12.4 [0]!Qté)),0,([0]!P_1_8.12.4 [0]!Qté))</f>
        <v>#REF!</v>
      </c>
      <c r="C344" s="2" t="e">
        <f>([0]!P_1_8.12.4 [0]!PU)</f>
        <v>#REF!</v>
      </c>
      <c r="D344" s="2" t="e">
        <f>IF(ISTEXT(([0]!P_1_8.12.4 [0]!MT)),0,([0]!P_1_8.12.4 [0]!MT))</f>
        <v>#REF!</v>
      </c>
    </row>
    <row r="345" spans="1:4" x14ac:dyDescent="0.25">
      <c r="A345" s="1" t="s">
        <v>618</v>
      </c>
      <c r="B345" s="3" t="e">
        <f>IF(ISTEXT(([0]!P_1_8.13.1 [0]!Qté)),0,([0]!P_1_8.13.1 [0]!Qté))</f>
        <v>#REF!</v>
      </c>
      <c r="C345" s="2" t="e">
        <f>([0]!P_1_8.13.1 [0]!PU)</f>
        <v>#REF!</v>
      </c>
      <c r="D345" s="2" t="e">
        <f>IF(ISTEXT(([0]!P_1_8.13.1 [0]!MT)),0,([0]!P_1_8.13.1 [0]!MT))</f>
        <v>#REF!</v>
      </c>
    </row>
    <row r="346" spans="1:4" x14ac:dyDescent="0.25">
      <c r="A346" s="1" t="s">
        <v>619</v>
      </c>
      <c r="B346" s="3" t="e">
        <f>IF(ISTEXT(([0]!P_1_8.13.2 [0]!Qté)),0,([0]!P_1_8.13.2 [0]!Qté))</f>
        <v>#REF!</v>
      </c>
      <c r="C346" s="2" t="e">
        <f>([0]!P_1_8.13.2 [0]!PU)</f>
        <v>#REF!</v>
      </c>
      <c r="D346" s="2" t="e">
        <f>IF(ISTEXT(([0]!P_1_8.13.2 [0]!MT)),0,([0]!P_1_8.13.2 [0]!MT))</f>
        <v>#REF!</v>
      </c>
    </row>
    <row r="347" spans="1:4" x14ac:dyDescent="0.25">
      <c r="A347" s="1" t="s">
        <v>620</v>
      </c>
      <c r="B347" s="3" t="e">
        <f>IF(ISTEXT(([0]!P_1_8.13.3 [0]!Qté)),0,([0]!P_1_8.13.3 [0]!Qté))</f>
        <v>#REF!</v>
      </c>
      <c r="C347" s="2" t="e">
        <f>([0]!P_1_8.13.3 [0]!PU)</f>
        <v>#REF!</v>
      </c>
      <c r="D347" s="2" t="e">
        <f>IF(ISTEXT(([0]!P_1_8.13.3 [0]!MT)),0,([0]!P_1_8.13.3 [0]!MT))</f>
        <v>#REF!</v>
      </c>
    </row>
    <row r="348" spans="1:4" x14ac:dyDescent="0.25">
      <c r="A348" s="1" t="s">
        <v>621</v>
      </c>
      <c r="B348" s="3" t="e">
        <f>IF(ISTEXT(([0]!P_1_8.13.4 [0]!Qté)),0,([0]!P_1_8.13.4 [0]!Qté))</f>
        <v>#REF!</v>
      </c>
      <c r="C348" s="2" t="e">
        <f>([0]!P_1_8.13.4 [0]!PU)</f>
        <v>#REF!</v>
      </c>
      <c r="D348" s="2" t="e">
        <f>IF(ISTEXT(([0]!P_1_8.13.4 [0]!MT)),0,([0]!P_1_8.13.4 [0]!MT))</f>
        <v>#REF!</v>
      </c>
    </row>
    <row r="349" spans="1:4" x14ac:dyDescent="0.25">
      <c r="A349" s="1" t="s">
        <v>622</v>
      </c>
      <c r="B349" s="3" t="e">
        <f>IF(ISTEXT(([0]!P_1_8.14.1 [0]!Qté)),0,([0]!P_1_8.14.1 [0]!Qté))</f>
        <v>#REF!</v>
      </c>
      <c r="C349" s="2" t="e">
        <f>([0]!P_1_8.14.1 [0]!PU)</f>
        <v>#REF!</v>
      </c>
      <c r="D349" s="2" t="e">
        <f>IF(ISTEXT(([0]!P_1_8.14.1 [0]!MT)),0,([0]!P_1_8.14.1 [0]!MT))</f>
        <v>#REF!</v>
      </c>
    </row>
    <row r="350" spans="1:4" x14ac:dyDescent="0.25">
      <c r="A350" s="1" t="s">
        <v>623</v>
      </c>
      <c r="B350" s="3" t="e">
        <f>IF(ISTEXT(([0]!P_1_8.14.2 [0]!Qté)),0,([0]!P_1_8.14.2 [0]!Qté))</f>
        <v>#REF!</v>
      </c>
      <c r="C350" s="2" t="e">
        <f>([0]!P_1_8.14.2 [0]!PU)</f>
        <v>#REF!</v>
      </c>
      <c r="D350" s="2" t="e">
        <f>IF(ISTEXT(([0]!P_1_8.14.2 [0]!MT)),0,([0]!P_1_8.14.2 [0]!MT))</f>
        <v>#REF!</v>
      </c>
    </row>
    <row r="351" spans="1:4" x14ac:dyDescent="0.25">
      <c r="A351" s="1" t="s">
        <v>624</v>
      </c>
      <c r="B351" s="3" t="e">
        <f>IF(ISTEXT(([0]!P_1_8.14.3 [0]!Qté)),0,([0]!P_1_8.14.3 [0]!Qté))</f>
        <v>#REF!</v>
      </c>
      <c r="C351" s="2" t="e">
        <f>([0]!P_1_8.14.3 [0]!PU)</f>
        <v>#REF!</v>
      </c>
      <c r="D351" s="2" t="e">
        <f>IF(ISTEXT(([0]!P_1_8.14.3 [0]!MT)),0,([0]!P_1_8.14.3 [0]!MT))</f>
        <v>#REF!</v>
      </c>
    </row>
    <row r="352" spans="1:4" x14ac:dyDescent="0.25">
      <c r="A352" s="1" t="s">
        <v>625</v>
      </c>
      <c r="B352" s="3" t="e">
        <f>IF(ISTEXT(([0]!P_1_8.14.4 [0]!Qté)),0,([0]!P_1_8.14.4 [0]!Qté))</f>
        <v>#REF!</v>
      </c>
      <c r="C352" s="2" t="e">
        <f>([0]!P_1_8.14.4 [0]!PU)</f>
        <v>#REF!</v>
      </c>
      <c r="D352" s="2" t="e">
        <f>IF(ISTEXT(([0]!P_1_8.14.4 [0]!MT)),0,([0]!P_1_8.14.4 [0]!MT))</f>
        <v>#REF!</v>
      </c>
    </row>
    <row r="353" spans="1:4" x14ac:dyDescent="0.25">
      <c r="A353" s="1" t="s">
        <v>626</v>
      </c>
      <c r="B353" s="3" t="e">
        <f>IF(ISTEXT(([0]!P_1_8.15.1 [0]!Qté)),0,([0]!P_1_8.15.1 [0]!Qté))</f>
        <v>#REF!</v>
      </c>
      <c r="C353" s="2" t="e">
        <f>([0]!P_1_8.15.1 [0]!PU)</f>
        <v>#REF!</v>
      </c>
      <c r="D353" s="2" t="e">
        <f>IF(ISTEXT(([0]!P_1_8.15.1 [0]!MT)),0,([0]!P_1_8.15.1 [0]!MT))</f>
        <v>#REF!</v>
      </c>
    </row>
    <row r="354" spans="1:4" x14ac:dyDescent="0.25">
      <c r="A354" s="1" t="s">
        <v>627</v>
      </c>
      <c r="B354" s="3" t="e">
        <f>IF(ISTEXT(([0]!P_1_8.15.2 [0]!Qté)),0,([0]!P_1_8.15.2 [0]!Qté))</f>
        <v>#REF!</v>
      </c>
      <c r="C354" s="2" t="e">
        <f>([0]!P_1_8.15.2 [0]!PU)</f>
        <v>#REF!</v>
      </c>
      <c r="D354" s="2" t="e">
        <f>IF(ISTEXT(([0]!P_1_8.15.2 [0]!MT)),0,([0]!P_1_8.15.2 [0]!MT))</f>
        <v>#REF!</v>
      </c>
    </row>
    <row r="355" spans="1:4" x14ac:dyDescent="0.25">
      <c r="A355" s="1" t="s">
        <v>628</v>
      </c>
      <c r="B355" s="3" t="e">
        <f>IF(ISTEXT(([0]!P_1_8.15.3 [0]!Qté)),0,([0]!P_1_8.15.3 [0]!Qté))</f>
        <v>#REF!</v>
      </c>
      <c r="C355" s="2" t="e">
        <f>([0]!P_1_8.15.3 [0]!PU)</f>
        <v>#REF!</v>
      </c>
      <c r="D355" s="2" t="e">
        <f>IF(ISTEXT(([0]!P_1_8.15.3 [0]!MT)),0,([0]!P_1_8.15.3 [0]!MT))</f>
        <v>#REF!</v>
      </c>
    </row>
    <row r="356" spans="1:4" x14ac:dyDescent="0.25">
      <c r="A356" s="1" t="s">
        <v>629</v>
      </c>
      <c r="B356" s="3" t="e">
        <f>IF(ISTEXT(([0]!P_1_8.15.4 [0]!Qté)),0,([0]!P_1_8.15.4 [0]!Qté))</f>
        <v>#REF!</v>
      </c>
      <c r="C356" s="2" t="e">
        <f>([0]!P_1_8.15.4 [0]!PU)</f>
        <v>#REF!</v>
      </c>
      <c r="D356" s="2" t="e">
        <f>IF(ISTEXT(([0]!P_1_8.15.4 [0]!MT)),0,([0]!P_1_8.15.4 [0]!MT))</f>
        <v>#REF!</v>
      </c>
    </row>
    <row r="357" spans="1:4" x14ac:dyDescent="0.25">
      <c r="A357" s="1" t="s">
        <v>630</v>
      </c>
      <c r="B357" s="3" t="e">
        <f>IF(ISTEXT(([0]!P_1_8.15.5 [0]!Qté)),0,([0]!P_1_8.15.5 [0]!Qté))</f>
        <v>#REF!</v>
      </c>
      <c r="C357" s="2" t="e">
        <f>([0]!P_1_8.15.5 [0]!PU)</f>
        <v>#REF!</v>
      </c>
      <c r="D357" s="2" t="e">
        <f>IF(ISTEXT(([0]!P_1_8.15.5 [0]!MT)),0,([0]!P_1_8.15.5 [0]!MT))</f>
        <v>#REF!</v>
      </c>
    </row>
    <row r="358" spans="1:4" x14ac:dyDescent="0.25">
      <c r="A358" s="1" t="s">
        <v>631</v>
      </c>
      <c r="B358" s="3" t="e">
        <f>IF(ISTEXT(([0]!P_1_8.15.6 [0]!Qté)),0,([0]!P_1_8.15.6 [0]!Qté))</f>
        <v>#REF!</v>
      </c>
      <c r="C358" s="2" t="e">
        <f>([0]!P_1_8.15.6 [0]!PU)</f>
        <v>#REF!</v>
      </c>
      <c r="D358" s="2" t="e">
        <f>IF(ISTEXT(([0]!P_1_8.15.6 [0]!MT)),0,([0]!P_1_8.15.6 [0]!MT))</f>
        <v>#REF!</v>
      </c>
    </row>
    <row r="359" spans="1:4" x14ac:dyDescent="0.25">
      <c r="A359" s="1" t="s">
        <v>632</v>
      </c>
      <c r="B359" s="3" t="e">
        <f>IF(ISTEXT(([0]!P_1_8.15.7 [0]!Qté)),0,([0]!P_1_8.15.7 [0]!Qté))</f>
        <v>#REF!</v>
      </c>
      <c r="C359" s="2" t="e">
        <f>([0]!P_1_8.15.7 [0]!PU)</f>
        <v>#REF!</v>
      </c>
      <c r="D359" s="2" t="e">
        <f>IF(ISTEXT(([0]!P_1_8.15.7 [0]!MT)),0,([0]!P_1_8.15.7 [0]!MT))</f>
        <v>#REF!</v>
      </c>
    </row>
    <row r="360" spans="1:4" x14ac:dyDescent="0.25">
      <c r="A360" s="1" t="s">
        <v>633</v>
      </c>
      <c r="B360" s="3" t="e">
        <f>IF(ISTEXT(([0]!P_1_8.16.1 [0]!Qté)),0,([0]!P_1_8.16.1 [0]!Qté))</f>
        <v>#REF!</v>
      </c>
      <c r="C360" s="2" t="e">
        <f>([0]!P_1_8.16.1 [0]!PU)</f>
        <v>#REF!</v>
      </c>
      <c r="D360" s="2" t="e">
        <f>IF(ISTEXT(([0]!P_1_8.16.1 [0]!MT)),0,([0]!P_1_8.16.1 [0]!MT))</f>
        <v>#REF!</v>
      </c>
    </row>
    <row r="361" spans="1:4" x14ac:dyDescent="0.25">
      <c r="A361" s="1" t="s">
        <v>634</v>
      </c>
      <c r="B361" s="3" t="e">
        <f>IF(ISTEXT(([0]!P_1_8.16.2 [0]!Qté)),0,([0]!P_1_8.16.2 [0]!Qté))</f>
        <v>#REF!</v>
      </c>
      <c r="C361" s="2" t="e">
        <f>([0]!P_1_8.16.2 [0]!PU)</f>
        <v>#REF!</v>
      </c>
      <c r="D361" s="2" t="e">
        <f>IF(ISTEXT(([0]!P_1_8.16.2 [0]!MT)),0,([0]!P_1_8.16.2 [0]!MT))</f>
        <v>#REF!</v>
      </c>
    </row>
    <row r="362" spans="1:4" x14ac:dyDescent="0.25">
      <c r="A362" s="1" t="s">
        <v>635</v>
      </c>
      <c r="B362" s="3" t="e">
        <f>IF(ISTEXT(([0]!P_1_8.16.3 [0]!Qté)),0,([0]!P_1_8.16.3 [0]!Qté))</f>
        <v>#REF!</v>
      </c>
      <c r="C362" s="2" t="e">
        <f>([0]!P_1_8.16.3 [0]!PU)</f>
        <v>#REF!</v>
      </c>
      <c r="D362" s="2" t="e">
        <f>IF(ISTEXT(([0]!P_1_8.16.3 [0]!MT)),0,([0]!P_1_8.16.3 [0]!MT))</f>
        <v>#REF!</v>
      </c>
    </row>
    <row r="363" spans="1:4" x14ac:dyDescent="0.25">
      <c r="A363" s="1" t="s">
        <v>636</v>
      </c>
      <c r="B363" s="3" t="e">
        <f>IF(ISTEXT(([0]!P_1_8.16.4 [0]!Qté)),0,([0]!P_1_8.16.4 [0]!Qté))</f>
        <v>#REF!</v>
      </c>
      <c r="C363" s="2" t="e">
        <f>([0]!P_1_8.16.4 [0]!PU)</f>
        <v>#REF!</v>
      </c>
      <c r="D363" s="2" t="e">
        <f>IF(ISTEXT(([0]!P_1_8.16.4 [0]!MT)),0,([0]!P_1_8.16.4 [0]!MT))</f>
        <v>#REF!</v>
      </c>
    </row>
    <row r="364" spans="1:4" x14ac:dyDescent="0.25">
      <c r="A364" s="1" t="s">
        <v>132</v>
      </c>
      <c r="B364" s="3" t="e">
        <f>IF(ISTEXT(([0]!P_1_8.17.1 [0]!Qté)),0,([0]!P_1_8.17.1 [0]!Qté))</f>
        <v>#REF!</v>
      </c>
      <c r="C364" s="2" t="e">
        <f>([0]!P_1_8.17.1 [0]!PU)</f>
        <v>#REF!</v>
      </c>
      <c r="D364" s="2" t="e">
        <f>IF(ISTEXT(([0]!P_1_8.17.1 [0]!MT)),0,([0]!P_1_8.17.1 [0]!MT))</f>
        <v>#REF!</v>
      </c>
    </row>
    <row r="365" spans="1:4" x14ac:dyDescent="0.25">
      <c r="A365" s="1" t="s">
        <v>637</v>
      </c>
      <c r="B365" s="3" t="e">
        <f>IF(ISTEXT(([0]!P_1_8.17.2 [0]!Qté)),0,([0]!P_1_8.17.2 [0]!Qté))</f>
        <v>#REF!</v>
      </c>
      <c r="C365" s="2" t="e">
        <f>([0]!P_1_8.17.2 [0]!PU)</f>
        <v>#REF!</v>
      </c>
      <c r="D365" s="2" t="e">
        <f>IF(ISTEXT(([0]!P_1_8.17.2 [0]!MT)),0,([0]!P_1_8.17.2 [0]!MT))</f>
        <v>#REF!</v>
      </c>
    </row>
    <row r="366" spans="1:4" x14ac:dyDescent="0.25">
      <c r="A366" s="1" t="s">
        <v>638</v>
      </c>
      <c r="B366" s="3" t="e">
        <f>IF(ISTEXT(([0]!P_1_8.17.3 [0]!Qté)),0,([0]!P_1_8.17.3 [0]!Qté))</f>
        <v>#REF!</v>
      </c>
      <c r="C366" s="2" t="e">
        <f>([0]!P_1_8.17.3 [0]!PU)</f>
        <v>#REF!</v>
      </c>
      <c r="D366" s="2" t="e">
        <f>IF(ISTEXT(([0]!P_1_8.17.3 [0]!MT)),0,([0]!P_1_8.17.3 [0]!MT))</f>
        <v>#REF!</v>
      </c>
    </row>
    <row r="367" spans="1:4" x14ac:dyDescent="0.25">
      <c r="A367" s="1" t="s">
        <v>133</v>
      </c>
      <c r="B367" s="3" t="e">
        <f>IF(ISTEXT(([0]!P_1_8.17.4 [0]!Qté)),0,([0]!P_1_8.17.4 [0]!Qté))</f>
        <v>#REF!</v>
      </c>
      <c r="C367" s="2" t="e">
        <f>([0]!P_1_8.17.4 [0]!PU)</f>
        <v>#REF!</v>
      </c>
      <c r="D367" s="2" t="e">
        <f>IF(ISTEXT(([0]!P_1_8.17.4 [0]!MT)),0,([0]!P_1_8.17.4 [0]!MT))</f>
        <v>#REF!</v>
      </c>
    </row>
    <row r="368" spans="1:4" x14ac:dyDescent="0.25">
      <c r="A368" s="1" t="s">
        <v>639</v>
      </c>
      <c r="B368" s="3" t="e">
        <f>IF(ISTEXT(([0]!P_1_8.17.5 [0]!Qté)),0,([0]!P_1_8.17.5 [0]!Qté))</f>
        <v>#REF!</v>
      </c>
      <c r="C368" s="2" t="e">
        <f>([0]!P_1_8.17.5 [0]!PU)</f>
        <v>#REF!</v>
      </c>
      <c r="D368" s="2" t="e">
        <f>IF(ISTEXT(([0]!P_1_8.17.5 [0]!MT)),0,([0]!P_1_8.17.5 [0]!MT))</f>
        <v>#REF!</v>
      </c>
    </row>
    <row r="369" spans="1:4" x14ac:dyDescent="0.25">
      <c r="A369" s="1" t="s">
        <v>640</v>
      </c>
      <c r="B369" s="3" t="e">
        <f>IF(ISTEXT(([0]!P_1_8.17.6 [0]!Qté)),0,([0]!P_1_8.17.6 [0]!Qté))</f>
        <v>#REF!</v>
      </c>
      <c r="C369" s="2" t="e">
        <f>([0]!P_1_8.17.6 [0]!PU)</f>
        <v>#REF!</v>
      </c>
      <c r="D369" s="2" t="e">
        <f>IF(ISTEXT(([0]!P_1_8.17.6 [0]!MT)),0,([0]!P_1_8.17.6 [0]!MT))</f>
        <v>#REF!</v>
      </c>
    </row>
    <row r="370" spans="1:4" x14ac:dyDescent="0.25">
      <c r="A370" s="1" t="s">
        <v>134</v>
      </c>
      <c r="B370" s="3" t="e">
        <f>IF(ISTEXT(([0]!P_1_8.17.7 [0]!Qté)),0,([0]!P_1_8.17.7 [0]!Qté))</f>
        <v>#REF!</v>
      </c>
      <c r="C370" s="2" t="e">
        <f>([0]!P_1_8.17.7 [0]!PU)</f>
        <v>#REF!</v>
      </c>
      <c r="D370" s="2" t="e">
        <f>IF(ISTEXT(([0]!P_1_8.17.7 [0]!MT)),0,([0]!P_1_8.17.7 [0]!MT))</f>
        <v>#REF!</v>
      </c>
    </row>
    <row r="371" spans="1:4" x14ac:dyDescent="0.25">
      <c r="A371" s="1" t="s">
        <v>641</v>
      </c>
      <c r="B371" s="3" t="e">
        <f>IF(ISTEXT(([0]!P_1_8.17.8 [0]!Qté)),0,([0]!P_1_8.17.8 [0]!Qté))</f>
        <v>#REF!</v>
      </c>
      <c r="C371" s="2" t="e">
        <f>([0]!P_1_8.17.8 [0]!PU)</f>
        <v>#REF!</v>
      </c>
      <c r="D371" s="2" t="e">
        <f>IF(ISTEXT(([0]!P_1_8.17.8 [0]!MT)),0,([0]!P_1_8.17.8 [0]!MT))</f>
        <v>#REF!</v>
      </c>
    </row>
    <row r="372" spans="1:4" x14ac:dyDescent="0.25">
      <c r="A372" s="1" t="s">
        <v>642</v>
      </c>
      <c r="B372" s="3" t="e">
        <f>IF(ISTEXT(([0]!P_1_8.17.9 [0]!Qté)),0,([0]!P_1_8.17.9 [0]!Qté))</f>
        <v>#REF!</v>
      </c>
      <c r="C372" s="2" t="e">
        <f>([0]!P_1_8.17.9 [0]!PU)</f>
        <v>#REF!</v>
      </c>
      <c r="D372" s="2" t="e">
        <f>IF(ISTEXT(([0]!P_1_8.17.9 [0]!MT)),0,([0]!P_1_8.17.9 [0]!MT))</f>
        <v>#REF!</v>
      </c>
    </row>
    <row r="373" spans="1:4" x14ac:dyDescent="0.25">
      <c r="A373" s="1" t="s">
        <v>643</v>
      </c>
      <c r="B373" s="3" t="e">
        <f>IF(ISTEXT(([0]!P_1_8.17.10 [0]!Qté)),0,([0]!P_1_8.17.10 [0]!Qté))</f>
        <v>#REF!</v>
      </c>
      <c r="C373" s="2" t="e">
        <f>([0]!P_1_8.17.10 [0]!PU)</f>
        <v>#REF!</v>
      </c>
      <c r="D373" s="2" t="e">
        <f>IF(ISTEXT(([0]!P_1_8.17.10 [0]!MT)),0,([0]!P_1_8.17.10 [0]!MT))</f>
        <v>#REF!</v>
      </c>
    </row>
    <row r="374" spans="1:4" x14ac:dyDescent="0.25">
      <c r="A374" s="1" t="s">
        <v>644</v>
      </c>
      <c r="B374" s="3" t="e">
        <f>IF(ISTEXT(([0]!P_1_8.18.1 [0]!Qté)),0,([0]!P_1_8.18.1 [0]!Qté))</f>
        <v>#REF!</v>
      </c>
      <c r="C374" s="2" t="e">
        <f>([0]!P_1_8.18.1 [0]!PU)</f>
        <v>#REF!</v>
      </c>
      <c r="D374" s="2" t="e">
        <f>IF(ISTEXT(([0]!P_1_8.18.1 [0]!MT)),0,([0]!P_1_8.18.1 [0]!MT))</f>
        <v>#REF!</v>
      </c>
    </row>
    <row r="375" spans="1:4" x14ac:dyDescent="0.25">
      <c r="A375" s="1" t="s">
        <v>645</v>
      </c>
      <c r="B375" s="3" t="e">
        <f>IF(ISTEXT(([0]!P_1_8.18.2 [0]!Qté)),0,([0]!P_1_8.18.2 [0]!Qté))</f>
        <v>#REF!</v>
      </c>
      <c r="C375" s="2" t="e">
        <f>([0]!P_1_8.18.2 [0]!PU)</f>
        <v>#REF!</v>
      </c>
      <c r="D375" s="2" t="e">
        <f>IF(ISTEXT(([0]!P_1_8.18.2 [0]!MT)),0,([0]!P_1_8.18.2 [0]!MT))</f>
        <v>#REF!</v>
      </c>
    </row>
    <row r="376" spans="1:4" x14ac:dyDescent="0.25">
      <c r="A376" s="1" t="s">
        <v>646</v>
      </c>
      <c r="B376" s="3" t="e">
        <f>IF(ISTEXT(([0]!P_1_8.18.3 [0]!Qté)),0,([0]!P_1_8.18.3 [0]!Qté))</f>
        <v>#REF!</v>
      </c>
      <c r="C376" s="2" t="e">
        <f>([0]!P_1_8.18.3 [0]!PU)</f>
        <v>#REF!</v>
      </c>
      <c r="D376" s="2" t="e">
        <f>IF(ISTEXT(([0]!P_1_8.18.3 [0]!MT)),0,([0]!P_1_8.18.3 [0]!MT))</f>
        <v>#REF!</v>
      </c>
    </row>
    <row r="377" spans="1:4" x14ac:dyDescent="0.25">
      <c r="A377" s="1" t="s">
        <v>647</v>
      </c>
      <c r="B377" s="3" t="e">
        <f>IF(ISTEXT(([0]!P_1_8.18.4 [0]!Qté)),0,([0]!P_1_8.18.4 [0]!Qté))</f>
        <v>#REF!</v>
      </c>
      <c r="C377" s="2" t="e">
        <f>([0]!P_1_8.18.4 [0]!PU)</f>
        <v>#REF!</v>
      </c>
      <c r="D377" s="2" t="e">
        <f>IF(ISTEXT(([0]!P_1_8.18.4 [0]!MT)),0,([0]!P_1_8.18.4 [0]!MT))</f>
        <v>#REF!</v>
      </c>
    </row>
    <row r="378" spans="1:4" x14ac:dyDescent="0.25">
      <c r="A378" s="1" t="s">
        <v>648</v>
      </c>
      <c r="B378" s="3" t="e">
        <f>IF(ISTEXT(([0]!P_1_8.18.5 [0]!Qté)),0,([0]!P_1_8.18.5 [0]!Qté))</f>
        <v>#REF!</v>
      </c>
      <c r="C378" s="2" t="e">
        <f>([0]!P_1_8.18.5 [0]!PU)</f>
        <v>#REF!</v>
      </c>
      <c r="D378" s="2" t="e">
        <f>IF(ISTEXT(([0]!P_1_8.18.5 [0]!MT)),0,([0]!P_1_8.18.5 [0]!MT))</f>
        <v>#REF!</v>
      </c>
    </row>
    <row r="379" spans="1:4" x14ac:dyDescent="0.25">
      <c r="A379" s="1" t="s">
        <v>649</v>
      </c>
      <c r="B379" s="3" t="e">
        <f>IF(ISTEXT(([0]!P_1_8.18.6 [0]!Qté)),0,([0]!P_1_8.18.6 [0]!Qté))</f>
        <v>#REF!</v>
      </c>
      <c r="C379" s="2" t="e">
        <f>([0]!P_1_8.18.6 [0]!PU)</f>
        <v>#REF!</v>
      </c>
      <c r="D379" s="2" t="e">
        <f>IF(ISTEXT(([0]!P_1_8.18.6 [0]!MT)),0,([0]!P_1_8.18.6 [0]!MT))</f>
        <v>#REF!</v>
      </c>
    </row>
    <row r="380" spans="1:4" x14ac:dyDescent="0.25">
      <c r="A380" s="1" t="s">
        <v>650</v>
      </c>
      <c r="B380" s="3" t="e">
        <f>IF(ISTEXT(([0]!P_1_8.18.7 [0]!Qté)),0,([0]!P_1_8.18.7 [0]!Qté))</f>
        <v>#REF!</v>
      </c>
      <c r="C380" s="2" t="e">
        <f>([0]!P_1_8.18.7 [0]!PU)</f>
        <v>#REF!</v>
      </c>
      <c r="D380" s="2" t="e">
        <f>IF(ISTEXT(([0]!P_1_8.18.7 [0]!MT)),0,([0]!P_1_8.18.7 [0]!MT))</f>
        <v>#REF!</v>
      </c>
    </row>
    <row r="381" spans="1:4" x14ac:dyDescent="0.25">
      <c r="A381" s="1" t="s">
        <v>651</v>
      </c>
      <c r="B381" s="3" t="e">
        <f>IF(ISTEXT(([0]!P_1_8.18.8 [0]!Qté)),0,([0]!P_1_8.18.8 [0]!Qté))</f>
        <v>#REF!</v>
      </c>
      <c r="C381" s="2" t="e">
        <f>([0]!P_1_8.18.8 [0]!PU)</f>
        <v>#REF!</v>
      </c>
      <c r="D381" s="2" t="e">
        <f>IF(ISTEXT(([0]!P_1_8.18.8 [0]!MT)),0,([0]!P_1_8.18.8 [0]!MT))</f>
        <v>#REF!</v>
      </c>
    </row>
    <row r="382" spans="1:4" x14ac:dyDescent="0.25">
      <c r="A382" s="1" t="s">
        <v>652</v>
      </c>
      <c r="B382" s="3" t="e">
        <f>IF(ISTEXT(([0]!P_1_8.18.9 [0]!Qté)),0,([0]!P_1_8.18.9 [0]!Qté))</f>
        <v>#REF!</v>
      </c>
      <c r="C382" s="2" t="e">
        <f>([0]!P_1_8.18.9 [0]!PU)</f>
        <v>#REF!</v>
      </c>
      <c r="D382" s="2" t="e">
        <f>IF(ISTEXT(([0]!P_1_8.18.9 [0]!MT)),0,([0]!P_1_8.18.9 [0]!MT))</f>
        <v>#REF!</v>
      </c>
    </row>
    <row r="383" spans="1:4" x14ac:dyDescent="0.25">
      <c r="A383" s="1" t="s">
        <v>653</v>
      </c>
      <c r="B383" s="3" t="e">
        <f>IF(ISTEXT(([0]!P_1_8.18.10 [0]!Qté)),0,([0]!P_1_8.18.10 [0]!Qté))</f>
        <v>#REF!</v>
      </c>
      <c r="C383" s="2" t="e">
        <f>([0]!P_1_8.18.10 [0]!PU)</f>
        <v>#REF!</v>
      </c>
      <c r="D383" s="2" t="e">
        <f>IF(ISTEXT(([0]!P_1_8.18.10 [0]!MT)),0,([0]!P_1_8.18.10 [0]!MT))</f>
        <v>#REF!</v>
      </c>
    </row>
    <row r="384" spans="1:4" x14ac:dyDescent="0.25">
      <c r="A384" s="1" t="s">
        <v>654</v>
      </c>
      <c r="B384" s="3" t="e">
        <f>IF(ISTEXT(([0]!P_1_8.19.1 [0]!Qté)),0,([0]!P_1_8.19.1 [0]!Qté))</f>
        <v>#REF!</v>
      </c>
      <c r="C384" s="2" t="e">
        <f>([0]!P_1_8.19.1 [0]!PU)</f>
        <v>#REF!</v>
      </c>
      <c r="D384" s="2" t="e">
        <f>IF(ISTEXT(([0]!P_1_8.19.1 [0]!MT)),0,([0]!P_1_8.19.1 [0]!MT))</f>
        <v>#REF!</v>
      </c>
    </row>
    <row r="385" spans="1:4" x14ac:dyDescent="0.25">
      <c r="A385" s="1" t="s">
        <v>655</v>
      </c>
      <c r="B385" s="3" t="e">
        <f>IF(ISTEXT(([0]!P_1_8.19.2 [0]!Qté)),0,([0]!P_1_8.19.2 [0]!Qté))</f>
        <v>#REF!</v>
      </c>
      <c r="C385" s="2" t="e">
        <f>([0]!P_1_8.19.2 [0]!PU)</f>
        <v>#REF!</v>
      </c>
      <c r="D385" s="2" t="e">
        <f>IF(ISTEXT(([0]!P_1_8.19.2 [0]!MT)),0,([0]!P_1_8.19.2 [0]!MT))</f>
        <v>#REF!</v>
      </c>
    </row>
    <row r="386" spans="1:4" x14ac:dyDescent="0.25">
      <c r="A386" s="1" t="s">
        <v>656</v>
      </c>
      <c r="B386" s="3" t="e">
        <f>IF(ISTEXT(([0]!P_1_8.19.3 [0]!Qté)),0,([0]!P_1_8.19.3 [0]!Qté))</f>
        <v>#REF!</v>
      </c>
      <c r="C386" s="2" t="e">
        <f>([0]!P_1_8.19.3 [0]!PU)</f>
        <v>#REF!</v>
      </c>
      <c r="D386" s="2" t="e">
        <f>IF(ISTEXT(([0]!P_1_8.19.3 [0]!MT)),0,([0]!P_1_8.19.3 [0]!MT))</f>
        <v>#REF!</v>
      </c>
    </row>
    <row r="387" spans="1:4" x14ac:dyDescent="0.25">
      <c r="A387" s="1" t="s">
        <v>657</v>
      </c>
      <c r="B387" s="3" t="e">
        <f>IF(ISTEXT(([0]!P_1_8.19.4 [0]!Qté)),0,([0]!P_1_8.19.4 [0]!Qté))</f>
        <v>#REF!</v>
      </c>
      <c r="C387" s="2" t="e">
        <f>([0]!P_1_8.19.4 [0]!PU)</f>
        <v>#REF!</v>
      </c>
      <c r="D387" s="2" t="e">
        <f>IF(ISTEXT(([0]!P_1_8.19.4 [0]!MT)),0,([0]!P_1_8.19.4 [0]!MT))</f>
        <v>#REF!</v>
      </c>
    </row>
    <row r="388" spans="1:4" x14ac:dyDescent="0.25">
      <c r="A388" s="1" t="s">
        <v>658</v>
      </c>
      <c r="B388" s="3" t="e">
        <f>IF(ISTEXT(([0]!P_1_8.19.5 [0]!Qté)),0,([0]!P_1_8.19.5 [0]!Qté))</f>
        <v>#REF!</v>
      </c>
      <c r="C388" s="2" t="e">
        <f>([0]!P_1_8.19.5 [0]!PU)</f>
        <v>#REF!</v>
      </c>
      <c r="D388" s="2" t="e">
        <f>IF(ISTEXT(([0]!P_1_8.19.5 [0]!MT)),0,([0]!P_1_8.19.5 [0]!MT))</f>
        <v>#REF!</v>
      </c>
    </row>
    <row r="389" spans="1:4" x14ac:dyDescent="0.25">
      <c r="A389" s="1" t="s">
        <v>659</v>
      </c>
      <c r="B389" s="3" t="e">
        <f>IF(ISTEXT(([0]!P_1_8.19.6 [0]!Qté)),0,([0]!P_1_8.19.6 [0]!Qté))</f>
        <v>#REF!</v>
      </c>
      <c r="C389" s="2" t="e">
        <f>([0]!P_1_8.19.6 [0]!PU)</f>
        <v>#REF!</v>
      </c>
      <c r="D389" s="2" t="e">
        <f>IF(ISTEXT(([0]!P_1_8.19.6 [0]!MT)),0,([0]!P_1_8.19.6 [0]!MT))</f>
        <v>#REF!</v>
      </c>
    </row>
    <row r="390" spans="1:4" x14ac:dyDescent="0.25">
      <c r="A390" s="1" t="s">
        <v>660</v>
      </c>
      <c r="B390" s="3" t="e">
        <f>IF(ISTEXT(([0]!P_1_8.20.1 [0]!Qté)),0,([0]!P_1_8.20.1 [0]!Qté))</f>
        <v>#REF!</v>
      </c>
      <c r="C390" s="2" t="e">
        <f>([0]!P_1_8.20.1 [0]!PU)</f>
        <v>#REF!</v>
      </c>
      <c r="D390" s="2" t="e">
        <f>IF(ISTEXT(([0]!P_1_8.20.1 [0]!MT)),0,([0]!P_1_8.20.1 [0]!MT))</f>
        <v>#REF!</v>
      </c>
    </row>
    <row r="391" spans="1:4" x14ac:dyDescent="0.25">
      <c r="A391" s="1" t="s">
        <v>661</v>
      </c>
      <c r="B391" s="3" t="e">
        <f>IF(ISTEXT(([0]!P_1_8.20.2 [0]!Qté)),0,([0]!P_1_8.20.2 [0]!Qté))</f>
        <v>#REF!</v>
      </c>
      <c r="C391" s="2" t="e">
        <f>([0]!P_1_8.20.2 [0]!PU)</f>
        <v>#REF!</v>
      </c>
      <c r="D391" s="2" t="e">
        <f>IF(ISTEXT(([0]!P_1_8.20.2 [0]!MT)),0,([0]!P_1_8.20.2 [0]!MT))</f>
        <v>#REF!</v>
      </c>
    </row>
    <row r="392" spans="1:4" x14ac:dyDescent="0.25">
      <c r="A392" s="1" t="s">
        <v>662</v>
      </c>
      <c r="B392" s="3" t="e">
        <f>IF(ISTEXT(([0]!P_1_8.20.3 [0]!Qté)),0,([0]!P_1_8.20.3 [0]!Qté))</f>
        <v>#REF!</v>
      </c>
      <c r="C392" s="2" t="e">
        <f>([0]!P_1_8.20.3 [0]!PU)</f>
        <v>#REF!</v>
      </c>
      <c r="D392" s="2" t="e">
        <f>IF(ISTEXT(([0]!P_1_8.20.3 [0]!MT)),0,([0]!P_1_8.20.3 [0]!MT))</f>
        <v>#REF!</v>
      </c>
    </row>
    <row r="393" spans="1:4" x14ac:dyDescent="0.25">
      <c r="A393" s="1" t="s">
        <v>663</v>
      </c>
      <c r="B393" s="3" t="e">
        <f>IF(ISTEXT(([0]!P_1_8.20.4 [0]!Qté)),0,([0]!P_1_8.20.4 [0]!Qté))</f>
        <v>#REF!</v>
      </c>
      <c r="C393" s="2" t="e">
        <f>([0]!P_1_8.20.4 [0]!PU)</f>
        <v>#REF!</v>
      </c>
      <c r="D393" s="2" t="e">
        <f>IF(ISTEXT(([0]!P_1_8.20.4 [0]!MT)),0,([0]!P_1_8.20.4 [0]!MT))</f>
        <v>#REF!</v>
      </c>
    </row>
    <row r="394" spans="1:4" x14ac:dyDescent="0.25">
      <c r="A394" s="1" t="s">
        <v>664</v>
      </c>
      <c r="B394" s="3" t="e">
        <f>IF(ISTEXT(([0]!P_1_8.20.5 [0]!Qté)),0,([0]!P_1_8.20.5 [0]!Qté))</f>
        <v>#REF!</v>
      </c>
      <c r="C394" s="2" t="e">
        <f>([0]!P_1_8.20.5 [0]!PU)</f>
        <v>#REF!</v>
      </c>
      <c r="D394" s="2" t="e">
        <f>IF(ISTEXT(([0]!P_1_8.20.5 [0]!MT)),0,([0]!P_1_8.20.5 [0]!MT))</f>
        <v>#REF!</v>
      </c>
    </row>
    <row r="395" spans="1:4" x14ac:dyDescent="0.25">
      <c r="A395" s="1" t="s">
        <v>665</v>
      </c>
      <c r="B395" s="3" t="e">
        <f>IF(ISTEXT(([0]!P_1_8.20.6 [0]!Qté)),0,([0]!P_1_8.20.6 [0]!Qté))</f>
        <v>#REF!</v>
      </c>
      <c r="C395" s="2" t="e">
        <f>([0]!P_1_8.20.6 [0]!PU)</f>
        <v>#REF!</v>
      </c>
      <c r="D395" s="2" t="e">
        <f>IF(ISTEXT(([0]!P_1_8.20.6 [0]!MT)),0,([0]!P_1_8.20.6 [0]!MT))</f>
        <v>#REF!</v>
      </c>
    </row>
    <row r="396" spans="1:4" x14ac:dyDescent="0.25">
      <c r="A396" s="1" t="s">
        <v>666</v>
      </c>
      <c r="B396" s="3" t="e">
        <f>IF(ISTEXT(([0]!P_1_8.21.1 [0]!Qté)),0,([0]!P_1_8.21.1 [0]!Qté))</f>
        <v>#REF!</v>
      </c>
      <c r="C396" s="2" t="e">
        <f>([0]!P_1_8.21.1 [0]!PU)</f>
        <v>#REF!</v>
      </c>
      <c r="D396" s="2" t="e">
        <f>IF(ISTEXT(([0]!P_1_8.21.1 [0]!MT)),0,([0]!P_1_8.21.1 [0]!MT))</f>
        <v>#REF!</v>
      </c>
    </row>
    <row r="397" spans="1:4" x14ac:dyDescent="0.25">
      <c r="A397" s="1" t="s">
        <v>667</v>
      </c>
      <c r="B397" s="3" t="e">
        <f>IF(ISTEXT(([0]!P_1_8.21.2 [0]!Qté)),0,([0]!P_1_8.21.2 [0]!Qté))</f>
        <v>#REF!</v>
      </c>
      <c r="C397" s="2" t="e">
        <f>([0]!P_1_8.21.2 [0]!PU)</f>
        <v>#REF!</v>
      </c>
      <c r="D397" s="2" t="e">
        <f>IF(ISTEXT(([0]!P_1_8.21.2 [0]!MT)),0,([0]!P_1_8.21.2 [0]!MT))</f>
        <v>#REF!</v>
      </c>
    </row>
    <row r="398" spans="1:4" x14ac:dyDescent="0.25">
      <c r="A398" s="1" t="s">
        <v>668</v>
      </c>
      <c r="B398" s="3" t="e">
        <f>IF(ISTEXT(([0]!P_1_8.21.3 [0]!Qté)),0,([0]!P_1_8.21.3 [0]!Qté))</f>
        <v>#REF!</v>
      </c>
      <c r="C398" s="2" t="e">
        <f>([0]!P_1_8.21.3 [0]!PU)</f>
        <v>#REF!</v>
      </c>
      <c r="D398" s="2" t="e">
        <f>IF(ISTEXT(([0]!P_1_8.21.3 [0]!MT)),0,([0]!P_1_8.21.3 [0]!MT))</f>
        <v>#REF!</v>
      </c>
    </row>
    <row r="399" spans="1:4" x14ac:dyDescent="0.25">
      <c r="A399" s="1" t="s">
        <v>669</v>
      </c>
      <c r="B399" s="3" t="e">
        <f>IF(ISTEXT(([0]!P_1_8.21.4 [0]!Qté)),0,([0]!P_1_8.21.4 [0]!Qté))</f>
        <v>#REF!</v>
      </c>
      <c r="C399" s="2" t="e">
        <f>([0]!P_1_8.21.4 [0]!PU)</f>
        <v>#REF!</v>
      </c>
      <c r="D399" s="2" t="e">
        <f>IF(ISTEXT(([0]!P_1_8.21.4 [0]!MT)),0,([0]!P_1_8.21.4 [0]!MT))</f>
        <v>#REF!</v>
      </c>
    </row>
    <row r="400" spans="1:4" x14ac:dyDescent="0.25">
      <c r="A400" s="1" t="s">
        <v>670</v>
      </c>
      <c r="B400" s="3" t="e">
        <f>IF(ISTEXT(([0]!P_1_8.22.1 [0]!Qté)),0,([0]!P_1_8.22.1 [0]!Qté))</f>
        <v>#REF!</v>
      </c>
      <c r="C400" s="2" t="e">
        <f>([0]!P_1_8.22.1 [0]!PU)</f>
        <v>#REF!</v>
      </c>
      <c r="D400" s="2" t="e">
        <f>IF(ISTEXT(([0]!P_1_8.22.1 [0]!MT)),0,([0]!P_1_8.22.1 [0]!MT))</f>
        <v>#REF!</v>
      </c>
    </row>
    <row r="401" spans="1:4" x14ac:dyDescent="0.25">
      <c r="A401" s="1" t="s">
        <v>671</v>
      </c>
      <c r="B401" s="3" t="e">
        <f>IF(ISTEXT(([0]!P_1_8.22.2 [0]!Qté)),0,([0]!P_1_8.22.2 [0]!Qté))</f>
        <v>#REF!</v>
      </c>
      <c r="C401" s="2" t="e">
        <f>([0]!P_1_8.22.2 [0]!PU)</f>
        <v>#REF!</v>
      </c>
      <c r="D401" s="2" t="e">
        <f>IF(ISTEXT(([0]!P_1_8.22.2 [0]!MT)),0,([0]!P_1_8.22.2 [0]!MT))</f>
        <v>#REF!</v>
      </c>
    </row>
    <row r="402" spans="1:4" x14ac:dyDescent="0.25">
      <c r="A402" s="1" t="s">
        <v>672</v>
      </c>
      <c r="B402" s="3" t="e">
        <f>IF(ISTEXT(([0]!P_1_8.22.3 [0]!Qté)),0,([0]!P_1_8.22.3 [0]!Qté))</f>
        <v>#REF!</v>
      </c>
      <c r="C402" s="2" t="e">
        <f>([0]!P_1_8.22.3 [0]!PU)</f>
        <v>#REF!</v>
      </c>
      <c r="D402" s="2" t="e">
        <f>IF(ISTEXT(([0]!P_1_8.22.3 [0]!MT)),0,([0]!P_1_8.22.3 [0]!MT))</f>
        <v>#REF!</v>
      </c>
    </row>
    <row r="403" spans="1:4" x14ac:dyDescent="0.25">
      <c r="A403" s="1" t="s">
        <v>673</v>
      </c>
      <c r="B403" s="3" t="e">
        <f>IF(ISTEXT(([0]!P_1_8.22.4 [0]!Qté)),0,([0]!P_1_8.22.4 [0]!Qté))</f>
        <v>#REF!</v>
      </c>
      <c r="C403" s="2" t="e">
        <f>([0]!P_1_8.22.4 [0]!PU)</f>
        <v>#REF!</v>
      </c>
      <c r="D403" s="2" t="e">
        <f>IF(ISTEXT(([0]!P_1_8.22.4 [0]!MT)),0,([0]!P_1_8.22.4 [0]!MT))</f>
        <v>#REF!</v>
      </c>
    </row>
    <row r="404" spans="1:4" x14ac:dyDescent="0.25">
      <c r="A404" s="1" t="s">
        <v>674</v>
      </c>
      <c r="B404" s="3" t="e">
        <f>IF(ISTEXT(([0]!P_1_8.22.5 [0]!Qté)),0,([0]!P_1_8.22.5 [0]!Qté))</f>
        <v>#REF!</v>
      </c>
      <c r="C404" s="2" t="e">
        <f>([0]!P_1_8.22.5 [0]!PU)</f>
        <v>#REF!</v>
      </c>
      <c r="D404" s="2" t="e">
        <f>IF(ISTEXT(([0]!P_1_8.22.5 [0]!MT)),0,([0]!P_1_8.22.5 [0]!MT))</f>
        <v>#REF!</v>
      </c>
    </row>
    <row r="405" spans="1:4" x14ac:dyDescent="0.25">
      <c r="A405" s="1" t="s">
        <v>675</v>
      </c>
      <c r="B405" s="3" t="e">
        <f>IF(ISTEXT(([0]!P_1_8.23.1 [0]!Qté)),0,([0]!P_1_8.23.1 [0]!Qté))</f>
        <v>#REF!</v>
      </c>
      <c r="C405" s="2" t="e">
        <f>([0]!P_1_8.23.1 [0]!PU)</f>
        <v>#REF!</v>
      </c>
      <c r="D405" s="2" t="e">
        <f>IF(ISTEXT(([0]!P_1_8.23.1 [0]!MT)),0,([0]!P_1_8.23.1 [0]!MT))</f>
        <v>#REF!</v>
      </c>
    </row>
    <row r="406" spans="1:4" x14ac:dyDescent="0.25">
      <c r="A406" s="1" t="s">
        <v>676</v>
      </c>
      <c r="B406" s="3" t="e">
        <f>IF(ISTEXT(([0]!P_1_8.23.2 [0]!Qté)),0,([0]!P_1_8.23.2 [0]!Qté))</f>
        <v>#REF!</v>
      </c>
      <c r="C406" s="2" t="e">
        <f>([0]!P_1_8.23.2 [0]!PU)</f>
        <v>#REF!</v>
      </c>
      <c r="D406" s="2" t="e">
        <f>IF(ISTEXT(([0]!P_1_8.23.2 [0]!MT)),0,([0]!P_1_8.23.2 [0]!MT))</f>
        <v>#REF!</v>
      </c>
    </row>
    <row r="407" spans="1:4" x14ac:dyDescent="0.25">
      <c r="A407" s="1" t="s">
        <v>677</v>
      </c>
      <c r="B407" s="3" t="e">
        <f>IF(ISTEXT(([0]!P_1_8.23.3 [0]!Qté)),0,([0]!P_1_8.23.3 [0]!Qté))</f>
        <v>#REF!</v>
      </c>
      <c r="C407" s="2" t="e">
        <f>([0]!P_1_8.23.3 [0]!PU)</f>
        <v>#REF!</v>
      </c>
      <c r="D407" s="2" t="e">
        <f>IF(ISTEXT(([0]!P_1_8.23.3 [0]!MT)),0,([0]!P_1_8.23.3 [0]!MT))</f>
        <v>#REF!</v>
      </c>
    </row>
    <row r="408" spans="1:4" x14ac:dyDescent="0.25">
      <c r="A408" s="1" t="s">
        <v>678</v>
      </c>
      <c r="B408" s="3" t="e">
        <f>IF(ISTEXT(([0]!P_1_8.23.4 [0]!Qté)),0,([0]!P_1_8.23.4 [0]!Qté))</f>
        <v>#REF!</v>
      </c>
      <c r="C408" s="2" t="e">
        <f>([0]!P_1_8.23.4 [0]!PU)</f>
        <v>#REF!</v>
      </c>
      <c r="D408" s="2" t="e">
        <f>IF(ISTEXT(([0]!P_1_8.23.4 [0]!MT)),0,([0]!P_1_8.23.4 [0]!MT))</f>
        <v>#REF!</v>
      </c>
    </row>
    <row r="409" spans="1:4" x14ac:dyDescent="0.25">
      <c r="A409" s="1" t="s">
        <v>679</v>
      </c>
      <c r="B409" s="3" t="e">
        <f>IF(ISTEXT(([0]!P_1_8.24.1 [0]!Qté)),0,([0]!P_1_8.24.1 [0]!Qté))</f>
        <v>#REF!</v>
      </c>
      <c r="C409" s="2" t="e">
        <f>([0]!P_1_8.24.1 [0]!PU)</f>
        <v>#REF!</v>
      </c>
      <c r="D409" s="2" t="e">
        <f>IF(ISTEXT(([0]!P_1_8.24.1 [0]!MT)),0,([0]!P_1_8.24.1 [0]!MT))</f>
        <v>#REF!</v>
      </c>
    </row>
    <row r="410" spans="1:4" x14ac:dyDescent="0.25">
      <c r="A410" s="1" t="s">
        <v>680</v>
      </c>
      <c r="B410" s="3" t="e">
        <f>IF(ISTEXT(([0]!P_1_8.24.2 [0]!Qté)),0,([0]!P_1_8.24.2 [0]!Qté))</f>
        <v>#REF!</v>
      </c>
      <c r="C410" s="2" t="e">
        <f>([0]!P_1_8.24.2 [0]!PU)</f>
        <v>#REF!</v>
      </c>
      <c r="D410" s="2" t="e">
        <f>IF(ISTEXT(([0]!P_1_8.24.2 [0]!MT)),0,([0]!P_1_8.24.2 [0]!MT))</f>
        <v>#REF!</v>
      </c>
    </row>
    <row r="411" spans="1:4" x14ac:dyDescent="0.25">
      <c r="A411" s="1" t="s">
        <v>681</v>
      </c>
      <c r="B411" s="3" t="e">
        <f>IF(ISTEXT(([0]!P_1_8.24.3 [0]!Qté)),0,([0]!P_1_8.24.3 [0]!Qté))</f>
        <v>#REF!</v>
      </c>
      <c r="C411" s="2" t="e">
        <f>([0]!P_1_8.24.3 [0]!PU)</f>
        <v>#REF!</v>
      </c>
      <c r="D411" s="2" t="e">
        <f>IF(ISTEXT(([0]!P_1_8.24.3 [0]!MT)),0,([0]!P_1_8.24.3 [0]!MT))</f>
        <v>#REF!</v>
      </c>
    </row>
    <row r="412" spans="1:4" x14ac:dyDescent="0.25">
      <c r="A412" s="1" t="s">
        <v>682</v>
      </c>
      <c r="B412" s="3" t="e">
        <f>IF(ISTEXT(([0]!P_1_8.24.4 [0]!Qté)),0,([0]!P_1_8.24.4 [0]!Qté))</f>
        <v>#REF!</v>
      </c>
      <c r="C412" s="2" t="e">
        <f>([0]!P_1_8.24.4 [0]!PU)</f>
        <v>#REF!</v>
      </c>
      <c r="D412" s="2" t="e">
        <f>IF(ISTEXT(([0]!P_1_8.24.4 [0]!MT)),0,([0]!P_1_8.24.4 [0]!MT))</f>
        <v>#REF!</v>
      </c>
    </row>
    <row r="413" spans="1:4" x14ac:dyDescent="0.25">
      <c r="A413" s="1" t="s">
        <v>683</v>
      </c>
      <c r="B413" s="3" t="e">
        <f>IF(ISTEXT(([0]!P_1_8.25.1 [0]!Qté)),0,([0]!P_1_8.25.1 [0]!Qté))</f>
        <v>#REF!</v>
      </c>
      <c r="C413" s="2" t="e">
        <f>([0]!P_1_8.25.1 [0]!PU)</f>
        <v>#REF!</v>
      </c>
      <c r="D413" s="2" t="e">
        <f>IF(ISTEXT(([0]!P_1_8.25.1 [0]!MT)),0,([0]!P_1_8.25.1 [0]!MT))</f>
        <v>#REF!</v>
      </c>
    </row>
    <row r="414" spans="1:4" x14ac:dyDescent="0.25">
      <c r="A414" s="1" t="s">
        <v>684</v>
      </c>
      <c r="B414" s="3" t="e">
        <f>IF(ISTEXT(([0]!P_1_8.25.2 [0]!Qté)),0,([0]!P_1_8.25.2 [0]!Qté))</f>
        <v>#REF!</v>
      </c>
      <c r="C414" s="2" t="e">
        <f>([0]!P_1_8.25.2 [0]!PU)</f>
        <v>#REF!</v>
      </c>
      <c r="D414" s="2" t="e">
        <f>IF(ISTEXT(([0]!P_1_8.25.2 [0]!MT)),0,([0]!P_1_8.25.2 [0]!MT))</f>
        <v>#REF!</v>
      </c>
    </row>
    <row r="415" spans="1:4" x14ac:dyDescent="0.25">
      <c r="A415" s="1" t="s">
        <v>685</v>
      </c>
      <c r="B415" s="3" t="e">
        <f>IF(ISTEXT(([0]!P_1_8.25.3 [0]!Qté)),0,([0]!P_1_8.25.3 [0]!Qté))</f>
        <v>#REF!</v>
      </c>
      <c r="C415" s="2" t="e">
        <f>([0]!P_1_8.25.3 [0]!PU)</f>
        <v>#REF!</v>
      </c>
      <c r="D415" s="2" t="e">
        <f>IF(ISTEXT(([0]!P_1_8.25.3 [0]!MT)),0,([0]!P_1_8.25.3 [0]!MT))</f>
        <v>#REF!</v>
      </c>
    </row>
    <row r="416" spans="1:4" x14ac:dyDescent="0.25">
      <c r="A416" s="1" t="s">
        <v>686</v>
      </c>
      <c r="B416" s="3" t="e">
        <f>IF(ISTEXT(([0]!P_1_8.25.4 [0]!Qté)),0,([0]!P_1_8.25.4 [0]!Qté))</f>
        <v>#REF!</v>
      </c>
      <c r="C416" s="2" t="e">
        <f>([0]!P_1_8.25.4 [0]!PU)</f>
        <v>#REF!</v>
      </c>
      <c r="D416" s="2" t="e">
        <f>IF(ISTEXT(([0]!P_1_8.25.4 [0]!MT)),0,([0]!P_1_8.25.4 [0]!MT))</f>
        <v>#REF!</v>
      </c>
    </row>
    <row r="417" spans="1:4" x14ac:dyDescent="0.25">
      <c r="A417" s="1" t="s">
        <v>687</v>
      </c>
      <c r="B417" s="3" t="e">
        <f>IF(ISTEXT(([0]!P_1_8.26.1 [0]!Qté)),0,([0]!P_1_8.26.1 [0]!Qté))</f>
        <v>#REF!</v>
      </c>
      <c r="C417" s="2" t="e">
        <f>([0]!P_1_8.26.1 [0]!PU)</f>
        <v>#REF!</v>
      </c>
      <c r="D417" s="2" t="e">
        <f>IF(ISTEXT(([0]!P_1_8.26.1 [0]!MT)),0,([0]!P_1_8.26.1 [0]!MT))</f>
        <v>#REF!</v>
      </c>
    </row>
    <row r="418" spans="1:4" x14ac:dyDescent="0.25">
      <c r="A418" s="1" t="s">
        <v>688</v>
      </c>
      <c r="B418" s="3" t="e">
        <f>IF(ISTEXT(([0]!P_1_8.26.2 [0]!Qté)),0,([0]!P_1_8.26.2 [0]!Qté))</f>
        <v>#REF!</v>
      </c>
      <c r="C418" s="2" t="e">
        <f>([0]!P_1_8.26.2 [0]!PU)</f>
        <v>#REF!</v>
      </c>
      <c r="D418" s="2" t="e">
        <f>IF(ISTEXT(([0]!P_1_8.26.2 [0]!MT)),0,([0]!P_1_8.26.2 [0]!MT))</f>
        <v>#REF!</v>
      </c>
    </row>
    <row r="419" spans="1:4" x14ac:dyDescent="0.25">
      <c r="A419" s="1" t="s">
        <v>689</v>
      </c>
      <c r="B419" s="3" t="e">
        <f>IF(ISTEXT(([0]!P_1_8.26.3 [0]!Qté)),0,([0]!P_1_8.26.3 [0]!Qté))</f>
        <v>#REF!</v>
      </c>
      <c r="C419" s="2" t="e">
        <f>([0]!P_1_8.26.3 [0]!PU)</f>
        <v>#REF!</v>
      </c>
      <c r="D419" s="2" t="e">
        <f>IF(ISTEXT(([0]!P_1_8.26.3 [0]!MT)),0,([0]!P_1_8.26.3 [0]!MT))</f>
        <v>#REF!</v>
      </c>
    </row>
    <row r="420" spans="1:4" x14ac:dyDescent="0.25">
      <c r="A420" s="1" t="s">
        <v>690</v>
      </c>
      <c r="B420" s="3" t="e">
        <f>IF(ISTEXT(([0]!P_1_8.26.4 [0]!Qté)),0,([0]!P_1_8.26.4 [0]!Qté))</f>
        <v>#REF!</v>
      </c>
      <c r="C420" s="2" t="e">
        <f>([0]!P_1_8.26.4 [0]!PU)</f>
        <v>#REF!</v>
      </c>
      <c r="D420" s="2" t="e">
        <f>IF(ISTEXT(([0]!P_1_8.26.4 [0]!MT)),0,([0]!P_1_8.26.4 [0]!MT))</f>
        <v>#REF!</v>
      </c>
    </row>
    <row r="421" spans="1:4" x14ac:dyDescent="0.25">
      <c r="A421" s="1" t="s">
        <v>691</v>
      </c>
      <c r="B421" s="3" t="e">
        <f>IF(ISTEXT(([0]!P_1_8.26.5 [0]!Qté)),0,([0]!P_1_8.26.5 [0]!Qté))</f>
        <v>#REF!</v>
      </c>
      <c r="C421" s="2" t="e">
        <f>([0]!P_1_8.26.5 [0]!PU)</f>
        <v>#REF!</v>
      </c>
      <c r="D421" s="2" t="e">
        <f>IF(ISTEXT(([0]!P_1_8.26.5 [0]!MT)),0,([0]!P_1_8.26.5 [0]!MT))</f>
        <v>#REF!</v>
      </c>
    </row>
    <row r="422" spans="1:4" x14ac:dyDescent="0.25">
      <c r="A422" s="1" t="s">
        <v>692</v>
      </c>
      <c r="B422" s="3" t="e">
        <f>IF(ISTEXT(([0]!P_1_8.26.6 [0]!Qté)),0,([0]!P_1_8.26.6 [0]!Qté))</f>
        <v>#REF!</v>
      </c>
      <c r="C422" s="2" t="e">
        <f>([0]!P_1_8.26.6 [0]!PU)</f>
        <v>#REF!</v>
      </c>
      <c r="D422" s="2" t="e">
        <f>IF(ISTEXT(([0]!P_1_8.26.6 [0]!MT)),0,([0]!P_1_8.26.6 [0]!MT))</f>
        <v>#REF!</v>
      </c>
    </row>
    <row r="423" spans="1:4" x14ac:dyDescent="0.25">
      <c r="A423" s="1" t="s">
        <v>693</v>
      </c>
      <c r="B423" s="3" t="e">
        <f>IF(ISTEXT(([0]!P_1_8.27.1 [0]!Qté)),0,([0]!P_1_8.27.1 [0]!Qté))</f>
        <v>#REF!</v>
      </c>
      <c r="C423" s="2" t="e">
        <f>([0]!P_1_8.27.1 [0]!PU)</f>
        <v>#REF!</v>
      </c>
      <c r="D423" s="2" t="e">
        <f>IF(ISTEXT(([0]!P_1_8.27.1 [0]!MT)),0,([0]!P_1_8.27.1 [0]!MT))</f>
        <v>#REF!</v>
      </c>
    </row>
    <row r="424" spans="1:4" x14ac:dyDescent="0.25">
      <c r="A424" s="1" t="s">
        <v>694</v>
      </c>
      <c r="B424" s="3" t="e">
        <f>IF(ISTEXT(([0]!P_1_8.27.2 [0]!Qté)),0,([0]!P_1_8.27.2 [0]!Qté))</f>
        <v>#REF!</v>
      </c>
      <c r="C424" s="2" t="e">
        <f>([0]!P_1_8.27.2 [0]!PU)</f>
        <v>#REF!</v>
      </c>
      <c r="D424" s="2" t="e">
        <f>IF(ISTEXT(([0]!P_1_8.27.2 [0]!MT)),0,([0]!P_1_8.27.2 [0]!MT))</f>
        <v>#REF!</v>
      </c>
    </row>
    <row r="425" spans="1:4" x14ac:dyDescent="0.25">
      <c r="A425" s="1" t="s">
        <v>695</v>
      </c>
      <c r="B425" s="3" t="e">
        <f>IF(ISTEXT(([0]!P_1_8.27.3 [0]!Qté)),0,([0]!P_1_8.27.3 [0]!Qté))</f>
        <v>#REF!</v>
      </c>
      <c r="C425" s="2" t="e">
        <f>([0]!P_1_8.27.3 [0]!PU)</f>
        <v>#REF!</v>
      </c>
      <c r="D425" s="2" t="e">
        <f>IF(ISTEXT(([0]!P_1_8.27.3 [0]!MT)),0,([0]!P_1_8.27.3 [0]!MT))</f>
        <v>#REF!</v>
      </c>
    </row>
    <row r="426" spans="1:4" x14ac:dyDescent="0.25">
      <c r="A426" s="1" t="s">
        <v>696</v>
      </c>
      <c r="B426" s="3" t="e">
        <f>IF(ISTEXT(([0]!P_1_8.27.4 [0]!Qté)),0,([0]!P_1_8.27.4 [0]!Qté))</f>
        <v>#REF!</v>
      </c>
      <c r="C426" s="2" t="e">
        <f>([0]!P_1_8.27.4 [0]!PU)</f>
        <v>#REF!</v>
      </c>
      <c r="D426" s="2" t="e">
        <f>IF(ISTEXT(([0]!P_1_8.27.4 [0]!MT)),0,([0]!P_1_8.27.4 [0]!MT))</f>
        <v>#REF!</v>
      </c>
    </row>
    <row r="427" spans="1:4" x14ac:dyDescent="0.25">
      <c r="A427" s="1" t="s">
        <v>697</v>
      </c>
      <c r="B427" s="3" t="e">
        <f>IF(ISTEXT(([0]!P_1_8.27.5 [0]!Qté)),0,([0]!P_1_8.27.5 [0]!Qté))</f>
        <v>#REF!</v>
      </c>
      <c r="C427" s="2" t="e">
        <f>([0]!P_1_8.27.5 [0]!PU)</f>
        <v>#REF!</v>
      </c>
      <c r="D427" s="2" t="e">
        <f>IF(ISTEXT(([0]!P_1_8.27.5 [0]!MT)),0,([0]!P_1_8.27.5 [0]!MT))</f>
        <v>#REF!</v>
      </c>
    </row>
    <row r="428" spans="1:4" x14ac:dyDescent="0.25">
      <c r="A428" s="1" t="s">
        <v>698</v>
      </c>
      <c r="B428" s="3" t="e">
        <f>IF(ISTEXT(([0]!P_1_8.27.6 [0]!Qté)),0,([0]!P_1_8.27.6 [0]!Qté))</f>
        <v>#REF!</v>
      </c>
      <c r="C428" s="2" t="e">
        <f>([0]!P_1_8.27.6 [0]!PU)</f>
        <v>#REF!</v>
      </c>
      <c r="D428" s="2" t="e">
        <f>IF(ISTEXT(([0]!P_1_8.27.6 [0]!MT)),0,([0]!P_1_8.27.6 [0]!MT))</f>
        <v>#REF!</v>
      </c>
    </row>
    <row r="429" spans="1:4" x14ac:dyDescent="0.25">
      <c r="A429" s="1" t="s">
        <v>699</v>
      </c>
      <c r="B429" s="3" t="e">
        <f>IF(ISTEXT(([0]!P_1_8.27.7 [0]!Qté)),0,([0]!P_1_8.27.7 [0]!Qté))</f>
        <v>#REF!</v>
      </c>
      <c r="C429" s="2" t="e">
        <f>([0]!P_1_8.27.7 [0]!PU)</f>
        <v>#REF!</v>
      </c>
      <c r="D429" s="2" t="e">
        <f>IF(ISTEXT(([0]!P_1_8.27.7 [0]!MT)),0,([0]!P_1_8.27.7 [0]!MT))</f>
        <v>#REF!</v>
      </c>
    </row>
    <row r="430" spans="1:4" x14ac:dyDescent="0.25">
      <c r="A430" s="1" t="s">
        <v>700</v>
      </c>
      <c r="B430" s="3" t="e">
        <f>IF(ISTEXT(([0]!P_1_8.27.8 [0]!Qté)),0,([0]!P_1_8.27.8 [0]!Qté))</f>
        <v>#REF!</v>
      </c>
      <c r="C430" s="2" t="e">
        <f>([0]!P_1_8.27.8 [0]!PU)</f>
        <v>#REF!</v>
      </c>
      <c r="D430" s="2" t="e">
        <f>IF(ISTEXT(([0]!P_1_8.27.8 [0]!MT)),0,([0]!P_1_8.27.8 [0]!MT))</f>
        <v>#REF!</v>
      </c>
    </row>
    <row r="431" spans="1:4" x14ac:dyDescent="0.25">
      <c r="A431" s="1" t="s">
        <v>701</v>
      </c>
      <c r="B431" s="3" t="e">
        <f>IF(ISTEXT(([0]!P_1_8.28.1 [0]!Qté)),0,([0]!P_1_8.28.1 [0]!Qté))</f>
        <v>#REF!</v>
      </c>
      <c r="C431" s="2" t="e">
        <f>([0]!P_1_8.28.1 [0]!PU)</f>
        <v>#REF!</v>
      </c>
      <c r="D431" s="2" t="e">
        <f>IF(ISTEXT(([0]!P_1_8.28.1 [0]!MT)),0,([0]!P_1_8.28.1 [0]!MT))</f>
        <v>#REF!</v>
      </c>
    </row>
    <row r="432" spans="1:4" x14ac:dyDescent="0.25">
      <c r="A432" s="1" t="s">
        <v>702</v>
      </c>
      <c r="B432" s="3" t="e">
        <f>IF(ISTEXT(([0]!P_1_8.28.2 [0]!Qté)),0,([0]!P_1_8.28.2 [0]!Qté))</f>
        <v>#REF!</v>
      </c>
      <c r="C432" s="2" t="e">
        <f>([0]!P_1_8.28.2 [0]!PU)</f>
        <v>#REF!</v>
      </c>
      <c r="D432" s="2" t="e">
        <f>IF(ISTEXT(([0]!P_1_8.28.2 [0]!MT)),0,([0]!P_1_8.28.2 [0]!MT))</f>
        <v>#REF!</v>
      </c>
    </row>
    <row r="433" spans="1:4" x14ac:dyDescent="0.25">
      <c r="A433" s="1" t="s">
        <v>703</v>
      </c>
      <c r="B433" s="3" t="e">
        <f>IF(ISTEXT(([0]!P_1_8.28.3 [0]!Qté)),0,([0]!P_1_8.28.3 [0]!Qté))</f>
        <v>#REF!</v>
      </c>
      <c r="C433" s="2" t="e">
        <f>([0]!P_1_8.28.3 [0]!PU)</f>
        <v>#REF!</v>
      </c>
      <c r="D433" s="2" t="e">
        <f>IF(ISTEXT(([0]!P_1_8.28.3 [0]!MT)),0,([0]!P_1_8.28.3 [0]!MT))</f>
        <v>#REF!</v>
      </c>
    </row>
    <row r="434" spans="1:4" x14ac:dyDescent="0.25">
      <c r="A434" s="1" t="s">
        <v>704</v>
      </c>
      <c r="B434" s="3" t="e">
        <f>IF(ISTEXT(([0]!P_1_8.28.4 [0]!Qté)),0,([0]!P_1_8.28.4 [0]!Qté))</f>
        <v>#REF!</v>
      </c>
      <c r="C434" s="2" t="e">
        <f>([0]!P_1_8.28.4 [0]!PU)</f>
        <v>#REF!</v>
      </c>
      <c r="D434" s="2" t="e">
        <f>IF(ISTEXT(([0]!P_1_8.28.4 [0]!MT)),0,([0]!P_1_8.28.4 [0]!MT))</f>
        <v>#REF!</v>
      </c>
    </row>
    <row r="435" spans="1:4" x14ac:dyDescent="0.25">
      <c r="A435" s="1" t="s">
        <v>705</v>
      </c>
      <c r="B435" s="3" t="e">
        <f>IF(ISTEXT(([0]!P_1_8.28.5 [0]!Qté)),0,([0]!P_1_8.28.5 [0]!Qté))</f>
        <v>#REF!</v>
      </c>
      <c r="C435" s="2" t="e">
        <f>([0]!P_1_8.28.5 [0]!PU)</f>
        <v>#REF!</v>
      </c>
      <c r="D435" s="2" t="e">
        <f>IF(ISTEXT(([0]!P_1_8.28.5 [0]!MT)),0,([0]!P_1_8.28.5 [0]!MT))</f>
        <v>#REF!</v>
      </c>
    </row>
    <row r="436" spans="1:4" x14ac:dyDescent="0.25">
      <c r="A436" s="1" t="s">
        <v>706</v>
      </c>
      <c r="B436" s="3" t="e">
        <f>IF(ISTEXT(([0]!P_1_8.28.6 [0]!Qté)),0,([0]!P_1_8.28.6 [0]!Qté))</f>
        <v>#REF!</v>
      </c>
      <c r="C436" s="2" t="e">
        <f>([0]!P_1_8.28.6 [0]!PU)</f>
        <v>#REF!</v>
      </c>
      <c r="D436" s="2" t="e">
        <f>IF(ISTEXT(([0]!P_1_8.28.6 [0]!MT)),0,([0]!P_1_8.28.6 [0]!MT))</f>
        <v>#REF!</v>
      </c>
    </row>
    <row r="437" spans="1:4" x14ac:dyDescent="0.25">
      <c r="A437" s="1" t="s">
        <v>707</v>
      </c>
      <c r="B437" s="3" t="e">
        <f>IF(ISTEXT(([0]!P_1_8.28.7 [0]!Qté)),0,([0]!P_1_8.28.7 [0]!Qté))</f>
        <v>#REF!</v>
      </c>
      <c r="C437" s="2" t="e">
        <f>([0]!P_1_8.28.7 [0]!PU)</f>
        <v>#REF!</v>
      </c>
      <c r="D437" s="2" t="e">
        <f>IF(ISTEXT(([0]!P_1_8.28.7 [0]!MT)),0,([0]!P_1_8.28.7 [0]!MT))</f>
        <v>#REF!</v>
      </c>
    </row>
    <row r="438" spans="1:4" x14ac:dyDescent="0.25">
      <c r="A438" s="1" t="s">
        <v>708</v>
      </c>
      <c r="B438" s="3" t="e">
        <f>IF(ISTEXT(([0]!P_1_8.28.8 [0]!Qté)),0,([0]!P_1_8.28.8 [0]!Qté))</f>
        <v>#REF!</v>
      </c>
      <c r="C438" s="2" t="e">
        <f>([0]!P_1_8.28.8 [0]!PU)</f>
        <v>#REF!</v>
      </c>
      <c r="D438" s="2" t="e">
        <f>IF(ISTEXT(([0]!P_1_8.28.8 [0]!MT)),0,([0]!P_1_8.28.8 [0]!MT))</f>
        <v>#REF!</v>
      </c>
    </row>
    <row r="439" spans="1:4" x14ac:dyDescent="0.25">
      <c r="A439" s="1" t="s">
        <v>709</v>
      </c>
      <c r="B439" s="3" t="e">
        <f>IF(ISTEXT(([0]!P_1_8.29.1 [0]!Qté)),0,([0]!P_1_8.29.1 [0]!Qté))</f>
        <v>#REF!</v>
      </c>
      <c r="C439" s="2" t="e">
        <f>([0]!P_1_8.29.1 [0]!PU)</f>
        <v>#REF!</v>
      </c>
      <c r="D439" s="2" t="e">
        <f>IF(ISTEXT(([0]!P_1_8.29.1 [0]!MT)),0,([0]!P_1_8.29.1 [0]!MT))</f>
        <v>#REF!</v>
      </c>
    </row>
    <row r="440" spans="1:4" x14ac:dyDescent="0.25">
      <c r="A440" s="1" t="s">
        <v>710</v>
      </c>
      <c r="B440" s="3" t="e">
        <f>IF(ISTEXT(([0]!P_1_8.29.2 [0]!Qté)),0,([0]!P_1_8.29.2 [0]!Qté))</f>
        <v>#REF!</v>
      </c>
      <c r="C440" s="2" t="e">
        <f>([0]!P_1_8.29.2 [0]!PU)</f>
        <v>#REF!</v>
      </c>
      <c r="D440" s="2" t="e">
        <f>IF(ISTEXT(([0]!P_1_8.29.2 [0]!MT)),0,([0]!P_1_8.29.2 [0]!MT))</f>
        <v>#REF!</v>
      </c>
    </row>
    <row r="441" spans="1:4" x14ac:dyDescent="0.25">
      <c r="A441" s="1" t="s">
        <v>711</v>
      </c>
      <c r="B441" s="3" t="e">
        <f>IF(ISTEXT(([0]!P_1_8.29.3 [0]!Qté)),0,([0]!P_1_8.29.3 [0]!Qté))</f>
        <v>#REF!</v>
      </c>
      <c r="C441" s="2" t="e">
        <f>([0]!P_1_8.29.3 [0]!PU)</f>
        <v>#REF!</v>
      </c>
      <c r="D441" s="2" t="e">
        <f>IF(ISTEXT(([0]!P_1_8.29.3 [0]!MT)),0,([0]!P_1_8.29.3 [0]!MT))</f>
        <v>#REF!</v>
      </c>
    </row>
    <row r="442" spans="1:4" x14ac:dyDescent="0.25">
      <c r="A442" s="1" t="s">
        <v>712</v>
      </c>
      <c r="B442" s="3" t="e">
        <f>IF(ISTEXT(([0]!P_1_8.29.4 [0]!Qté)),0,([0]!P_1_8.29.4 [0]!Qté))</f>
        <v>#REF!</v>
      </c>
      <c r="C442" s="2" t="e">
        <f>([0]!P_1_8.29.4 [0]!PU)</f>
        <v>#REF!</v>
      </c>
      <c r="D442" s="2" t="e">
        <f>IF(ISTEXT(([0]!P_1_8.29.4 [0]!MT)),0,([0]!P_1_8.29.4 [0]!MT))</f>
        <v>#REF!</v>
      </c>
    </row>
    <row r="443" spans="1:4" x14ac:dyDescent="0.25">
      <c r="A443" s="1" t="s">
        <v>713</v>
      </c>
      <c r="B443" s="3" t="e">
        <f>IF(ISTEXT(([0]!P_1_8.29.5 [0]!Qté)),0,([0]!P_1_8.29.5 [0]!Qté))</f>
        <v>#REF!</v>
      </c>
      <c r="C443" s="2" t="e">
        <f>([0]!P_1_8.29.5 [0]!PU)</f>
        <v>#REF!</v>
      </c>
      <c r="D443" s="2" t="e">
        <f>IF(ISTEXT(([0]!P_1_8.29.5 [0]!MT)),0,([0]!P_1_8.29.5 [0]!MT))</f>
        <v>#REF!</v>
      </c>
    </row>
    <row r="444" spans="1:4" x14ac:dyDescent="0.25">
      <c r="A444" s="1" t="s">
        <v>714</v>
      </c>
      <c r="B444" s="3" t="e">
        <f>IF(ISTEXT(([0]!P_1_8.29.6 [0]!Qté)),0,([0]!P_1_8.29.6 [0]!Qté))</f>
        <v>#REF!</v>
      </c>
      <c r="C444" s="2" t="e">
        <f>([0]!P_1_8.29.6 [0]!PU)</f>
        <v>#REF!</v>
      </c>
      <c r="D444" s="2" t="e">
        <f>IF(ISTEXT(([0]!P_1_8.29.6 [0]!MT)),0,([0]!P_1_8.29.6 [0]!MT))</f>
        <v>#REF!</v>
      </c>
    </row>
    <row r="445" spans="1:4" x14ac:dyDescent="0.25">
      <c r="A445" s="1" t="s">
        <v>715</v>
      </c>
      <c r="B445" s="3" t="e">
        <f>IF(ISTEXT(([0]!P_1_8.30.1 [0]!Qté)),0,([0]!P_1_8.30.1 [0]!Qté))</f>
        <v>#REF!</v>
      </c>
      <c r="C445" s="2" t="e">
        <f>([0]!P_1_8.30.1 [0]!PU)</f>
        <v>#REF!</v>
      </c>
      <c r="D445" s="2" t="e">
        <f>IF(ISTEXT(([0]!P_1_8.30.1 [0]!MT)),0,([0]!P_1_8.30.1 [0]!MT))</f>
        <v>#REF!</v>
      </c>
    </row>
    <row r="446" spans="1:4" x14ac:dyDescent="0.25">
      <c r="A446" s="1" t="s">
        <v>716</v>
      </c>
      <c r="B446" s="3" t="e">
        <f>IF(ISTEXT(([0]!P_1_8.30.2 [0]!Qté)),0,([0]!P_1_8.30.2 [0]!Qté))</f>
        <v>#REF!</v>
      </c>
      <c r="C446" s="2" t="e">
        <f>([0]!P_1_8.30.2 [0]!PU)</f>
        <v>#REF!</v>
      </c>
      <c r="D446" s="2" t="e">
        <f>IF(ISTEXT(([0]!P_1_8.30.2 [0]!MT)),0,([0]!P_1_8.30.2 [0]!MT))</f>
        <v>#REF!</v>
      </c>
    </row>
    <row r="447" spans="1:4" x14ac:dyDescent="0.25">
      <c r="A447" s="1" t="s">
        <v>717</v>
      </c>
      <c r="B447" s="3" t="e">
        <f>IF(ISTEXT(([0]!P_1_8.30.3 [0]!Qté)),0,([0]!P_1_8.30.3 [0]!Qté))</f>
        <v>#REF!</v>
      </c>
      <c r="C447" s="2" t="e">
        <f>([0]!P_1_8.30.3 [0]!PU)</f>
        <v>#REF!</v>
      </c>
      <c r="D447" s="2" t="e">
        <f>IF(ISTEXT(([0]!P_1_8.30.3 [0]!MT)),0,([0]!P_1_8.30.3 [0]!MT))</f>
        <v>#REF!</v>
      </c>
    </row>
    <row r="448" spans="1:4" x14ac:dyDescent="0.25">
      <c r="A448" s="1" t="s">
        <v>718</v>
      </c>
      <c r="B448" s="3" t="e">
        <f>IF(ISTEXT(([0]!P_1_8.30.4 [0]!Qté)),0,([0]!P_1_8.30.4 [0]!Qté))</f>
        <v>#REF!</v>
      </c>
      <c r="C448" s="2" t="e">
        <f>([0]!P_1_8.30.4 [0]!PU)</f>
        <v>#REF!</v>
      </c>
      <c r="D448" s="2" t="e">
        <f>IF(ISTEXT(([0]!P_1_8.30.4 [0]!MT)),0,([0]!P_1_8.30.4 [0]!MT))</f>
        <v>#REF!</v>
      </c>
    </row>
    <row r="449" spans="1:4" x14ac:dyDescent="0.25">
      <c r="A449" s="1" t="s">
        <v>719</v>
      </c>
      <c r="B449" s="3" t="e">
        <f>IF(ISTEXT(([0]!P_1_8.31.1 [0]!Qté)),0,([0]!P_1_8.31.1 [0]!Qté))</f>
        <v>#REF!</v>
      </c>
      <c r="C449" s="2" t="e">
        <f>([0]!P_1_8.31.1 [0]!PU)</f>
        <v>#REF!</v>
      </c>
      <c r="D449" s="2" t="e">
        <f>IF(ISTEXT(([0]!P_1_8.31.1 [0]!MT)),0,([0]!P_1_8.31.1 [0]!MT))</f>
        <v>#REF!</v>
      </c>
    </row>
    <row r="450" spans="1:4" x14ac:dyDescent="0.25">
      <c r="A450" s="1" t="s">
        <v>720</v>
      </c>
      <c r="B450" s="3" t="e">
        <f>IF(ISTEXT(([0]!P_1_8.31.2 [0]!Qté)),0,([0]!P_1_8.31.2 [0]!Qté))</f>
        <v>#REF!</v>
      </c>
      <c r="C450" s="2" t="e">
        <f>([0]!P_1_8.31.2 [0]!PU)</f>
        <v>#REF!</v>
      </c>
      <c r="D450" s="2" t="e">
        <f>IF(ISTEXT(([0]!P_1_8.31.2 [0]!MT)),0,([0]!P_1_8.31.2 [0]!MT))</f>
        <v>#REF!</v>
      </c>
    </row>
    <row r="451" spans="1:4" x14ac:dyDescent="0.25">
      <c r="A451" s="1" t="s">
        <v>721</v>
      </c>
      <c r="B451" s="3" t="e">
        <f>IF(ISTEXT(([0]!P_1_8.31.3 [0]!Qté)),0,([0]!P_1_8.31.3 [0]!Qté))</f>
        <v>#REF!</v>
      </c>
      <c r="C451" s="2" t="e">
        <f>([0]!P_1_8.31.3 [0]!PU)</f>
        <v>#REF!</v>
      </c>
      <c r="D451" s="2" t="e">
        <f>IF(ISTEXT(([0]!P_1_8.31.3 [0]!MT)),0,([0]!P_1_8.31.3 [0]!MT))</f>
        <v>#REF!</v>
      </c>
    </row>
    <row r="452" spans="1:4" x14ac:dyDescent="0.25">
      <c r="A452" s="1" t="s">
        <v>722</v>
      </c>
      <c r="B452" s="3" t="e">
        <f>IF(ISTEXT(([0]!P_1_8.31.4 [0]!Qté)),0,([0]!P_1_8.31.4 [0]!Qté))</f>
        <v>#REF!</v>
      </c>
      <c r="C452" s="2" t="e">
        <f>([0]!P_1_8.31.4 [0]!PU)</f>
        <v>#REF!</v>
      </c>
      <c r="D452" s="2" t="e">
        <f>IF(ISTEXT(([0]!P_1_8.31.4 [0]!MT)),0,([0]!P_1_8.31.4 [0]!MT))</f>
        <v>#REF!</v>
      </c>
    </row>
    <row r="453" spans="1:4" x14ac:dyDescent="0.25">
      <c r="A453" s="1" t="s">
        <v>723</v>
      </c>
      <c r="B453" s="3" t="e">
        <f>IF(ISTEXT(([0]!P_1_8.31.5 [0]!Qté)),0,([0]!P_1_8.31.5 [0]!Qté))</f>
        <v>#REF!</v>
      </c>
      <c r="C453" s="2" t="e">
        <f>([0]!P_1_8.31.5 [0]!PU)</f>
        <v>#REF!</v>
      </c>
      <c r="D453" s="2" t="e">
        <f>IF(ISTEXT(([0]!P_1_8.31.5 [0]!MT)),0,([0]!P_1_8.31.5 [0]!MT))</f>
        <v>#REF!</v>
      </c>
    </row>
    <row r="454" spans="1:4" x14ac:dyDescent="0.25">
      <c r="A454" s="1" t="s">
        <v>724</v>
      </c>
      <c r="B454" s="3" t="e">
        <f>IF(ISTEXT(([0]!P_1_8.31.6 [0]!Qté)),0,([0]!P_1_8.31.6 [0]!Qté))</f>
        <v>#REF!</v>
      </c>
      <c r="C454" s="2" t="e">
        <f>([0]!P_1_8.31.6 [0]!PU)</f>
        <v>#REF!</v>
      </c>
      <c r="D454" s="2" t="e">
        <f>IF(ISTEXT(([0]!P_1_8.31.6 [0]!MT)),0,([0]!P_1_8.31.6 [0]!MT))</f>
        <v>#REF!</v>
      </c>
    </row>
    <row r="455" spans="1:4" x14ac:dyDescent="0.25">
      <c r="A455" s="1" t="s">
        <v>725</v>
      </c>
      <c r="B455" s="3" t="e">
        <f>IF(ISTEXT(([0]!P_1_8.31.7 [0]!Qté)),0,([0]!P_1_8.31.7 [0]!Qté))</f>
        <v>#REF!</v>
      </c>
      <c r="C455" s="2" t="e">
        <f>([0]!P_1_8.31.7 [0]!PU)</f>
        <v>#REF!</v>
      </c>
      <c r="D455" s="2" t="e">
        <f>IF(ISTEXT(([0]!P_1_8.31.7 [0]!MT)),0,([0]!P_1_8.31.7 [0]!MT))</f>
        <v>#REF!</v>
      </c>
    </row>
    <row r="456" spans="1:4" x14ac:dyDescent="0.25">
      <c r="A456" s="1" t="s">
        <v>1075</v>
      </c>
      <c r="B456" s="3" t="e">
        <f>IF(ISTEXT(([0]!P_1_9.1 [0]!Qté)),0,([0]!P_1_9.1 [0]!Qté))</f>
        <v>#REF!</v>
      </c>
      <c r="C456" s="2" t="e">
        <f>([0]!P_1_9.1 [0]!PU)</f>
        <v>#REF!</v>
      </c>
      <c r="D456" s="2" t="e">
        <f>IF(ISTEXT(([0]!P_1_9.1 [0]!MT)),0,([0]!P_1_9.1 [0]!MT))</f>
        <v>#REF!</v>
      </c>
    </row>
    <row r="457" spans="1:4" x14ac:dyDescent="0.25">
      <c r="A457" s="1" t="s">
        <v>726</v>
      </c>
      <c r="B457" s="3" t="e">
        <f>IF(ISTEXT(([0]!P_1_9.2 [0]!Qté)),0,([0]!P_1_9.2 [0]!Qté))</f>
        <v>#REF!</v>
      </c>
      <c r="C457" s="2" t="e">
        <f>([0]!P_1_9.2 [0]!PU)</f>
        <v>#REF!</v>
      </c>
      <c r="D457" s="2" t="e">
        <f>IF(ISTEXT(([0]!P_1_9.2 [0]!MT)),0,([0]!P_1_9.2 [0]!MT))</f>
        <v>#REF!</v>
      </c>
    </row>
    <row r="458" spans="1:4" x14ac:dyDescent="0.25">
      <c r="A458" s="1" t="s">
        <v>728</v>
      </c>
      <c r="B458" s="3" t="e">
        <f>IF(ISTEXT(([0]!P_1_9.3.1 [0]!Qté)),0,([0]!P_1_9.3.1 [0]!Qté))</f>
        <v>#REF!</v>
      </c>
      <c r="C458" s="2" t="e">
        <f>([0]!P_1_9.3.1 [0]!PU)</f>
        <v>#REF!</v>
      </c>
      <c r="D458" s="2" t="e">
        <f>IF(ISTEXT(([0]!P_1_9.3.1 [0]!MT)),0,([0]!P_1_9.3.1 [0]!MT))</f>
        <v>#REF!</v>
      </c>
    </row>
    <row r="459" spans="1:4" x14ac:dyDescent="0.25">
      <c r="A459" s="1" t="s">
        <v>833</v>
      </c>
      <c r="B459" s="3" t="e">
        <f>IF(ISTEXT(([0]!P_1_9.3.2 [0]!Qté)),0,([0]!P_1_9.3.2 [0]!Qté))</f>
        <v>#REF!</v>
      </c>
      <c r="C459" s="2" t="e">
        <f>([0]!P_1_9.3.2 [0]!PU)</f>
        <v>#REF!</v>
      </c>
      <c r="D459" s="2" t="e">
        <f>IF(ISTEXT(([0]!P_1_9.3.2 [0]!MT)),0,([0]!P_1_9.3.2 [0]!MT))</f>
        <v>#REF!</v>
      </c>
    </row>
    <row r="460" spans="1:4" x14ac:dyDescent="0.25">
      <c r="A460" s="1" t="s">
        <v>834</v>
      </c>
      <c r="B460" s="3" t="e">
        <f>IF(ISTEXT(([0]!P_1_9.3.3 [0]!Qté)),0,([0]!P_1_9.3.3 [0]!Qté))</f>
        <v>#REF!</v>
      </c>
      <c r="C460" s="2" t="e">
        <f>([0]!P_1_9.3.3 [0]!PU)</f>
        <v>#REF!</v>
      </c>
      <c r="D460" s="2" t="e">
        <f>IF(ISTEXT(([0]!P_1_9.3.3 [0]!MT)),0,([0]!P_1_9.3.3 [0]!MT))</f>
        <v>#REF!</v>
      </c>
    </row>
    <row r="461" spans="1:4" x14ac:dyDescent="0.25">
      <c r="A461" s="1" t="s">
        <v>835</v>
      </c>
      <c r="B461" s="3" t="e">
        <f>IF(ISTEXT(([0]!P_1_9.3.4 [0]!Qté)),0,([0]!P_1_9.3.4 [0]!Qté))</f>
        <v>#REF!</v>
      </c>
      <c r="C461" s="2" t="e">
        <f>([0]!P_1_9.3.4 [0]!PU)</f>
        <v>#REF!</v>
      </c>
      <c r="D461" s="2" t="e">
        <f>IF(ISTEXT(([0]!P_1_9.3.4 [0]!MT)),0,([0]!P_1_9.3.4 [0]!MT))</f>
        <v>#REF!</v>
      </c>
    </row>
    <row r="462" spans="1:4" x14ac:dyDescent="0.25">
      <c r="A462" s="1" t="s">
        <v>836</v>
      </c>
      <c r="B462" s="3" t="e">
        <f>IF(ISTEXT(([0]!P_1_9.4.1 [0]!Qté)),0,([0]!P_1_9.4.1 [0]!Qté))</f>
        <v>#REF!</v>
      </c>
      <c r="C462" s="2" t="e">
        <f>([0]!P_1_9.4.1 [0]!PU)</f>
        <v>#REF!</v>
      </c>
      <c r="D462" s="2" t="e">
        <f>IF(ISTEXT(([0]!P_1_9.4.1 [0]!MT)),0,([0]!P_1_9.4.1 [0]!MT))</f>
        <v>#REF!</v>
      </c>
    </row>
    <row r="463" spans="1:4" x14ac:dyDescent="0.25">
      <c r="A463" s="1" t="s">
        <v>837</v>
      </c>
      <c r="B463" s="3" t="e">
        <f>IF(ISTEXT(([0]!P_1_9.4.2 [0]!Qté)),0,([0]!P_1_9.4.2 [0]!Qté))</f>
        <v>#REF!</v>
      </c>
      <c r="C463" s="2" t="e">
        <f>([0]!P_1_9.4.2 [0]!PU)</f>
        <v>#REF!</v>
      </c>
      <c r="D463" s="2" t="e">
        <f>IF(ISTEXT(([0]!P_1_9.4.2 [0]!MT)),0,([0]!P_1_9.4.2 [0]!MT))</f>
        <v>#REF!</v>
      </c>
    </row>
    <row r="464" spans="1:4" x14ac:dyDescent="0.25">
      <c r="A464" s="1" t="s">
        <v>838</v>
      </c>
      <c r="B464" s="3" t="e">
        <f>IF(ISTEXT(([0]!P_1_9.4.3 [0]!Qté)),0,([0]!P_1_9.4.3 [0]!Qté))</f>
        <v>#REF!</v>
      </c>
      <c r="C464" s="2" t="e">
        <f>([0]!P_1_9.4.3 [0]!PU)</f>
        <v>#REF!</v>
      </c>
      <c r="D464" s="2" t="e">
        <f>IF(ISTEXT(([0]!P_1_9.4.3 [0]!MT)),0,([0]!P_1_9.4.3 [0]!MT))</f>
        <v>#REF!</v>
      </c>
    </row>
    <row r="465" spans="1:4" x14ac:dyDescent="0.25">
      <c r="A465" s="1" t="s">
        <v>839</v>
      </c>
      <c r="B465" s="3" t="e">
        <f>IF(ISTEXT(([0]!P_1_9.4.4 [0]!Qté)),0,([0]!P_1_9.4.4 [0]!Qté))</f>
        <v>#REF!</v>
      </c>
      <c r="C465" s="2" t="e">
        <f>([0]!P_1_9.4.4 [0]!PU)</f>
        <v>#REF!</v>
      </c>
      <c r="D465" s="2" t="e">
        <f>IF(ISTEXT(([0]!P_1_9.4.4 [0]!MT)),0,([0]!P_1_9.4.4 [0]!MT))</f>
        <v>#REF!</v>
      </c>
    </row>
    <row r="466" spans="1:4" x14ac:dyDescent="0.25">
      <c r="A466" s="1" t="s">
        <v>840</v>
      </c>
      <c r="B466" s="3" t="e">
        <f>IF(ISTEXT(([0]!P_1_9.5.1 [0]!Qté)),0,([0]!P_1_9.5.1 [0]!Qté))</f>
        <v>#REF!</v>
      </c>
      <c r="C466" s="2" t="e">
        <f>([0]!P_1_9.5.1 [0]!PU)</f>
        <v>#REF!</v>
      </c>
      <c r="D466" s="2" t="e">
        <f>IF(ISTEXT(([0]!P_1_9.5.1 [0]!MT)),0,([0]!P_1_9.5.1 [0]!MT))</f>
        <v>#REF!</v>
      </c>
    </row>
    <row r="467" spans="1:4" x14ac:dyDescent="0.25">
      <c r="A467" s="1" t="s">
        <v>841</v>
      </c>
      <c r="B467" s="3" t="e">
        <f>IF(ISTEXT(([0]!P_1_9.5.2 [0]!Qté)),0,([0]!P_1_9.5.2 [0]!Qté))</f>
        <v>#REF!</v>
      </c>
      <c r="C467" s="2" t="e">
        <f>([0]!P_1_9.5.2 [0]!PU)</f>
        <v>#REF!</v>
      </c>
      <c r="D467" s="2" t="e">
        <f>IF(ISTEXT(([0]!P_1_9.5.2 [0]!MT)),0,([0]!P_1_9.5.2 [0]!MT))</f>
        <v>#REF!</v>
      </c>
    </row>
    <row r="468" spans="1:4" x14ac:dyDescent="0.25">
      <c r="A468" s="1" t="s">
        <v>842</v>
      </c>
      <c r="B468" s="3" t="e">
        <f>IF(ISTEXT(([0]!P_1_9.5.3 [0]!Qté)),0,([0]!P_1_9.5.3 [0]!Qté))</f>
        <v>#REF!</v>
      </c>
      <c r="C468" s="2" t="e">
        <f>([0]!P_1_9.5.3 [0]!PU)</f>
        <v>#REF!</v>
      </c>
      <c r="D468" s="2" t="e">
        <f>IF(ISTEXT(([0]!P_1_9.5.3 [0]!MT)),0,([0]!P_1_9.5.3 [0]!MT))</f>
        <v>#REF!</v>
      </c>
    </row>
    <row r="469" spans="1:4" x14ac:dyDescent="0.25">
      <c r="A469" s="1" t="s">
        <v>843</v>
      </c>
      <c r="B469" s="3" t="e">
        <f>IF(ISTEXT(([0]!P_1_9.5.4 [0]!Qté)),0,([0]!P_1_9.5.4 [0]!Qté))</f>
        <v>#REF!</v>
      </c>
      <c r="C469" s="2" t="e">
        <f>([0]!P_1_9.5.4 [0]!PU)</f>
        <v>#REF!</v>
      </c>
      <c r="D469" s="2" t="e">
        <f>IF(ISTEXT(([0]!P_1_9.5.4 [0]!MT)),0,([0]!P_1_9.5.4 [0]!MT))</f>
        <v>#REF!</v>
      </c>
    </row>
    <row r="470" spans="1:4" x14ac:dyDescent="0.25">
      <c r="A470" s="1" t="s">
        <v>844</v>
      </c>
      <c r="B470" s="3" t="e">
        <f>IF(ISTEXT(([0]!P_1_9.5.5 [0]!Qté)),0,([0]!P_1_9.5.5 [0]!Qté))</f>
        <v>#REF!</v>
      </c>
      <c r="C470" s="2" t="e">
        <f>([0]!P_1_9.5.5 [0]!PU)</f>
        <v>#REF!</v>
      </c>
      <c r="D470" s="2" t="e">
        <f>IF(ISTEXT(([0]!P_1_9.5.5 [0]!MT)),0,([0]!P_1_9.5.5 [0]!MT))</f>
        <v>#REF!</v>
      </c>
    </row>
    <row r="471" spans="1:4" x14ac:dyDescent="0.25">
      <c r="A471" s="1" t="s">
        <v>845</v>
      </c>
      <c r="B471" s="3" t="e">
        <f>IF(ISTEXT(([0]!P_1_9.5.6 [0]!Qté)),0,([0]!P_1_9.5.6 [0]!Qté))</f>
        <v>#REF!</v>
      </c>
      <c r="C471" s="2" t="e">
        <f>([0]!P_1_9.5.6 [0]!PU)</f>
        <v>#REF!</v>
      </c>
      <c r="D471" s="2" t="e">
        <f>IF(ISTEXT(([0]!P_1_9.5.6 [0]!MT)),0,([0]!P_1_9.5.6 [0]!MT))</f>
        <v>#REF!</v>
      </c>
    </row>
    <row r="472" spans="1:4" x14ac:dyDescent="0.25">
      <c r="A472" s="1" t="s">
        <v>846</v>
      </c>
      <c r="B472" s="3" t="e">
        <f>IF(ISTEXT(([0]!P_1_9.5.7 [0]!Qté)),0,([0]!P_1_9.5.7 [0]!Qté))</f>
        <v>#REF!</v>
      </c>
      <c r="C472" s="2" t="e">
        <f>([0]!P_1_9.5.7 [0]!PU)</f>
        <v>#REF!</v>
      </c>
      <c r="D472" s="2" t="e">
        <f>IF(ISTEXT(([0]!P_1_9.5.7 [0]!MT)),0,([0]!P_1_9.5.7 [0]!MT))</f>
        <v>#REF!</v>
      </c>
    </row>
    <row r="473" spans="1:4" x14ac:dyDescent="0.25">
      <c r="A473" s="1" t="s">
        <v>847</v>
      </c>
      <c r="B473" s="3" t="e">
        <f>IF(ISTEXT(([0]!P_1_9.5.8 [0]!Qté)),0,([0]!P_1_9.5.8 [0]!Qté))</f>
        <v>#REF!</v>
      </c>
      <c r="C473" s="2" t="e">
        <f>([0]!P_1_9.5.8 [0]!PU)</f>
        <v>#REF!</v>
      </c>
      <c r="D473" s="2" t="e">
        <f>IF(ISTEXT(([0]!P_1_9.5.8 [0]!MT)),0,([0]!P_1_9.5.8 [0]!MT))</f>
        <v>#REF!</v>
      </c>
    </row>
    <row r="474" spans="1:4" x14ac:dyDescent="0.25">
      <c r="A474" s="1" t="s">
        <v>849</v>
      </c>
      <c r="B474" s="3" t="e">
        <f>IF(ISTEXT(([0]!P_1_10.1.1 [0]!Qté)),0,([0]!P_1_10.1.1 [0]!Qté))</f>
        <v>#REF!</v>
      </c>
      <c r="C474" s="2" t="e">
        <f>([0]!P_1_10.1.1 [0]!PU)</f>
        <v>#REF!</v>
      </c>
      <c r="D474" s="2" t="e">
        <f>IF(ISTEXT(([0]!P_1_10.1.1 [0]!MT)),0,([0]!P_1_10.1.1 [0]!MT))</f>
        <v>#REF!</v>
      </c>
    </row>
    <row r="475" spans="1:4" x14ac:dyDescent="0.25">
      <c r="A475" s="1" t="s">
        <v>850</v>
      </c>
      <c r="B475" s="3" t="e">
        <f>IF(ISTEXT(([0]!P_1_10.1.2 [0]!Qté)),0,([0]!P_1_10.1.2 [0]!Qté))</f>
        <v>#REF!</v>
      </c>
      <c r="C475" s="2" t="e">
        <f>([0]!P_1_10.1.2 [0]!PU)</f>
        <v>#REF!</v>
      </c>
      <c r="D475" s="2" t="e">
        <f>IF(ISTEXT(([0]!P_1_10.1.2 [0]!MT)),0,([0]!P_1_10.1.2 [0]!MT))</f>
        <v>#REF!</v>
      </c>
    </row>
    <row r="476" spans="1:4" x14ac:dyDescent="0.25">
      <c r="A476" s="1" t="s">
        <v>851</v>
      </c>
      <c r="B476" s="3" t="e">
        <f>IF(ISTEXT(([0]!P_1_10.1.3 [0]!Qté)),0,([0]!P_1_10.1.3 [0]!Qté))</f>
        <v>#REF!</v>
      </c>
      <c r="C476" s="2" t="e">
        <f>([0]!P_1_10.1.3 [0]!PU)</f>
        <v>#REF!</v>
      </c>
      <c r="D476" s="2" t="e">
        <f>IF(ISTEXT(([0]!P_1_10.1.3 [0]!MT)),0,([0]!P_1_10.1.3 [0]!MT))</f>
        <v>#REF!</v>
      </c>
    </row>
    <row r="477" spans="1:4" x14ac:dyDescent="0.25">
      <c r="A477" s="1" t="s">
        <v>852</v>
      </c>
      <c r="B477" s="3" t="e">
        <f>IF(ISTEXT(([0]!P_1_10.1.4 [0]!Qté)),0,([0]!P_1_10.1.4 [0]!Qté))</f>
        <v>#REF!</v>
      </c>
      <c r="C477" s="2" t="e">
        <f>([0]!P_1_10.1.4 [0]!PU)</f>
        <v>#REF!</v>
      </c>
      <c r="D477" s="2" t="e">
        <f>IF(ISTEXT(([0]!P_1_10.1.4 [0]!MT)),0,([0]!P_1_10.1.4 [0]!MT))</f>
        <v>#REF!</v>
      </c>
    </row>
    <row r="478" spans="1:4" x14ac:dyDescent="0.25">
      <c r="A478" s="1" t="s">
        <v>853</v>
      </c>
      <c r="B478" s="3" t="e">
        <f>IF(ISTEXT(([0]!P_1_10.1.5 [0]!Qté)),0,([0]!P_1_10.1.5 [0]!Qté))</f>
        <v>#REF!</v>
      </c>
      <c r="C478" s="2" t="e">
        <f>([0]!P_1_10.1.5 [0]!PU)</f>
        <v>#REF!</v>
      </c>
      <c r="D478" s="2" t="e">
        <f>IF(ISTEXT(([0]!P_1_10.1.5 [0]!MT)),0,([0]!P_1_10.1.5 [0]!MT))</f>
        <v>#REF!</v>
      </c>
    </row>
    <row r="479" spans="1:4" x14ac:dyDescent="0.25">
      <c r="A479" s="1" t="s">
        <v>854</v>
      </c>
      <c r="B479" s="3" t="e">
        <f>IF(ISTEXT(([0]!P_1_10.1.6 [0]!Qté)),0,([0]!P_1_10.1.6 [0]!Qté))</f>
        <v>#REF!</v>
      </c>
      <c r="C479" s="2" t="e">
        <f>([0]!P_1_10.1.6 [0]!PU)</f>
        <v>#REF!</v>
      </c>
      <c r="D479" s="2" t="e">
        <f>IF(ISTEXT(([0]!P_1_10.1.6 [0]!MT)),0,([0]!P_1_10.1.6 [0]!MT))</f>
        <v>#REF!</v>
      </c>
    </row>
    <row r="480" spans="1:4" x14ac:dyDescent="0.25">
      <c r="A480" s="1" t="s">
        <v>855</v>
      </c>
      <c r="B480" s="3" t="e">
        <f>IF(ISTEXT(([0]!P_1_10.1.7 [0]!Qté)),0,([0]!P_1_10.1.7 [0]!Qté))</f>
        <v>#REF!</v>
      </c>
      <c r="C480" s="2" t="e">
        <f>([0]!P_1_10.1.7 [0]!PU)</f>
        <v>#REF!</v>
      </c>
      <c r="D480" s="2" t="e">
        <f>IF(ISTEXT(([0]!P_1_10.1.7 [0]!MT)),0,([0]!P_1_10.1.7 [0]!MT))</f>
        <v>#REF!</v>
      </c>
    </row>
    <row r="481" spans="1:4" x14ac:dyDescent="0.25">
      <c r="A481" s="1" t="s">
        <v>856</v>
      </c>
      <c r="B481" s="3" t="e">
        <f>IF(ISTEXT(([0]!P_1_10.1.8 [0]!Qté)),0,([0]!P_1_10.1.8 [0]!Qté))</f>
        <v>#REF!</v>
      </c>
      <c r="C481" s="2" t="e">
        <f>([0]!P_1_10.1.8 [0]!PU)</f>
        <v>#REF!</v>
      </c>
      <c r="D481" s="2" t="e">
        <f>IF(ISTEXT(([0]!P_1_10.1.8 [0]!MT)),0,([0]!P_1_10.1.8 [0]!MT))</f>
        <v>#REF!</v>
      </c>
    </row>
    <row r="482" spans="1:4" x14ac:dyDescent="0.25">
      <c r="A482" s="1" t="s">
        <v>857</v>
      </c>
      <c r="B482" s="3" t="e">
        <f>IF(ISTEXT(([0]!P_1_10.1.9 [0]!Qté)),0,([0]!P_1_10.1.9 [0]!Qté))</f>
        <v>#REF!</v>
      </c>
      <c r="C482" s="2" t="e">
        <f>([0]!P_1_10.1.9 [0]!PU)</f>
        <v>#REF!</v>
      </c>
      <c r="D482" s="2" t="e">
        <f>IF(ISTEXT(([0]!P_1_10.1.9 [0]!MT)),0,([0]!P_1_10.1.9 [0]!MT))</f>
        <v>#REF!</v>
      </c>
    </row>
    <row r="483" spans="1:4" x14ac:dyDescent="0.25">
      <c r="A483" s="1" t="s">
        <v>858</v>
      </c>
      <c r="B483" s="3" t="e">
        <f>IF(ISTEXT(([0]!P_1_10.1.10 [0]!Qté)),0,([0]!P_1_10.1.10 [0]!Qté))</f>
        <v>#REF!</v>
      </c>
      <c r="C483" s="2" t="e">
        <f>([0]!P_1_10.1.10 [0]!PU)</f>
        <v>#REF!</v>
      </c>
      <c r="D483" s="2" t="e">
        <f>IF(ISTEXT(([0]!P_1_10.1.10 [0]!MT)),0,([0]!P_1_10.1.10 [0]!MT))</f>
        <v>#REF!</v>
      </c>
    </row>
    <row r="484" spans="1:4" x14ac:dyDescent="0.25">
      <c r="A484" s="1" t="s">
        <v>859</v>
      </c>
      <c r="B484" s="3" t="e">
        <f>IF(ISTEXT(([0]!P_1_10.1.11 [0]!Qté)),0,([0]!P_1_10.1.11 [0]!Qté))</f>
        <v>#REF!</v>
      </c>
      <c r="C484" s="2" t="e">
        <f>([0]!P_1_10.1.11 [0]!PU)</f>
        <v>#REF!</v>
      </c>
      <c r="D484" s="2" t="e">
        <f>IF(ISTEXT(([0]!P_1_10.1.11 [0]!MT)),0,([0]!P_1_10.1.11 [0]!MT))</f>
        <v>#REF!</v>
      </c>
    </row>
    <row r="485" spans="1:4" x14ac:dyDescent="0.25">
      <c r="A485" s="1" t="s">
        <v>861</v>
      </c>
      <c r="B485" s="3" t="e">
        <f>IF(ISTEXT(([0]!P_1_10.2.1 [0]!Qté)),0,([0]!P_1_10.2.1 [0]!Qté))</f>
        <v>#REF!</v>
      </c>
      <c r="C485" s="2" t="e">
        <f>([0]!P_1_10.2.1 [0]!PU)</f>
        <v>#REF!</v>
      </c>
      <c r="D485" s="2" t="e">
        <f>IF(ISTEXT(([0]!P_1_10.2.1 [0]!MT)),0,([0]!P_1_10.2.1 [0]!MT))</f>
        <v>#REF!</v>
      </c>
    </row>
    <row r="486" spans="1:4" x14ac:dyDescent="0.25">
      <c r="A486" s="1" t="s">
        <v>862</v>
      </c>
      <c r="B486" s="3" t="e">
        <f>IF(ISTEXT(([0]!P_1_10.2.2 [0]!Qté)),0,([0]!P_1_10.2.2 [0]!Qté))</f>
        <v>#REF!</v>
      </c>
      <c r="C486" s="2" t="e">
        <f>([0]!P_1_10.2.2 [0]!PU)</f>
        <v>#REF!</v>
      </c>
      <c r="D486" s="2" t="e">
        <f>IF(ISTEXT(([0]!P_1_10.2.2 [0]!MT)),0,([0]!P_1_10.2.2 [0]!MT))</f>
        <v>#REF!</v>
      </c>
    </row>
    <row r="487" spans="1:4" x14ac:dyDescent="0.25">
      <c r="A487" s="1" t="s">
        <v>863</v>
      </c>
      <c r="B487" s="3" t="e">
        <f>IF(ISTEXT(([0]!P_1_10.2.3 [0]!Qté)),0,([0]!P_1_10.2.3 [0]!Qté))</f>
        <v>#REF!</v>
      </c>
      <c r="C487" s="2" t="e">
        <f>([0]!P_1_10.2.3 [0]!PU)</f>
        <v>#REF!</v>
      </c>
      <c r="D487" s="2" t="e">
        <f>IF(ISTEXT(([0]!P_1_10.2.3 [0]!MT)),0,([0]!P_1_10.2.3 [0]!MT))</f>
        <v>#REF!</v>
      </c>
    </row>
    <row r="488" spans="1:4" x14ac:dyDescent="0.25">
      <c r="A488" s="1" t="s">
        <v>864</v>
      </c>
      <c r="B488" s="3" t="e">
        <f>IF(ISTEXT(([0]!P_1_10.2.4.1 [0]!Qté)),0,([0]!P_1_10.2.4.1 [0]!Qté))</f>
        <v>#REF!</v>
      </c>
      <c r="C488" s="2" t="e">
        <f>([0]!P_1_10.2.4.1 [0]!PU)</f>
        <v>#REF!</v>
      </c>
      <c r="D488" s="2" t="e">
        <f>IF(ISTEXT(([0]!P_1_10.2.4.1 [0]!MT)),0,([0]!P_1_10.2.4.1 [0]!MT))</f>
        <v>#REF!</v>
      </c>
    </row>
    <row r="489" spans="1:4" x14ac:dyDescent="0.25">
      <c r="A489" s="1" t="s">
        <v>865</v>
      </c>
      <c r="B489" s="3" t="e">
        <f>IF(ISTEXT(([0]!P_1_10.2.4.2 [0]!Qté)),0,([0]!P_1_10.2.4.2 [0]!Qté))</f>
        <v>#REF!</v>
      </c>
      <c r="C489" s="2" t="e">
        <f>([0]!P_1_10.2.4.2 [0]!PU)</f>
        <v>#REF!</v>
      </c>
      <c r="D489" s="2" t="e">
        <f>IF(ISTEXT(([0]!P_1_10.2.4.2 [0]!MT)),0,([0]!P_1_10.2.4.2 [0]!MT))</f>
        <v>#REF!</v>
      </c>
    </row>
    <row r="490" spans="1:4" x14ac:dyDescent="0.25">
      <c r="A490" s="1" t="s">
        <v>866</v>
      </c>
      <c r="B490" s="3" t="e">
        <f>IF(ISTEXT(([0]!P_1_10.2.4.3 [0]!Qté)),0,([0]!P_1_10.2.4.3 [0]!Qté))</f>
        <v>#REF!</v>
      </c>
      <c r="C490" s="2" t="e">
        <f>([0]!P_1_10.2.4.3 [0]!PU)</f>
        <v>#REF!</v>
      </c>
      <c r="D490" s="2" t="e">
        <f>IF(ISTEXT(([0]!P_1_10.2.4.3 [0]!MT)),0,([0]!P_1_10.2.4.3 [0]!MT))</f>
        <v>#REF!</v>
      </c>
    </row>
    <row r="491" spans="1:4" x14ac:dyDescent="0.25">
      <c r="A491" s="1" t="s">
        <v>867</v>
      </c>
      <c r="B491" s="3" t="e">
        <f>IF(ISTEXT(([0]!P_1_10.2.4.4 [0]!Qté)),0,([0]!P_1_10.2.4.4 [0]!Qté))</f>
        <v>#REF!</v>
      </c>
      <c r="C491" s="2" t="e">
        <f>([0]!P_1_10.2.4.4 [0]!PU)</f>
        <v>#REF!</v>
      </c>
      <c r="D491" s="2" t="e">
        <f>IF(ISTEXT(([0]!P_1_10.2.4.4 [0]!MT)),0,([0]!P_1_10.2.4.4 [0]!MT))</f>
        <v>#REF!</v>
      </c>
    </row>
    <row r="492" spans="1:4" x14ac:dyDescent="0.25">
      <c r="A492" s="1" t="s">
        <v>868</v>
      </c>
      <c r="B492" s="3" t="e">
        <f>IF(ISTEXT(([0]!P_1_10.2.4.5 [0]!Qté)),0,([0]!P_1_10.2.4.5 [0]!Qté))</f>
        <v>#REF!</v>
      </c>
      <c r="C492" s="2" t="e">
        <f>([0]!P_1_10.2.4.5 [0]!PU)</f>
        <v>#REF!</v>
      </c>
      <c r="D492" s="2" t="e">
        <f>IF(ISTEXT(([0]!P_1_10.2.4.5 [0]!MT)),0,([0]!P_1_10.2.4.5 [0]!MT))</f>
        <v>#REF!</v>
      </c>
    </row>
    <row r="493" spans="1:4" x14ac:dyDescent="0.25">
      <c r="A493" s="1" t="s">
        <v>869</v>
      </c>
      <c r="B493" s="3" t="e">
        <f>IF(ISTEXT(([0]!P_1_10.2.4.6 [0]!Qté)),0,([0]!P_1_10.2.4.6 [0]!Qté))</f>
        <v>#REF!</v>
      </c>
      <c r="C493" s="2" t="e">
        <f>([0]!P_1_10.2.4.6 [0]!PU)</f>
        <v>#REF!</v>
      </c>
      <c r="D493" s="2" t="e">
        <f>IF(ISTEXT(([0]!P_1_10.2.4.6 [0]!MT)),0,([0]!P_1_10.2.4.6 [0]!MT))</f>
        <v>#REF!</v>
      </c>
    </row>
    <row r="494" spans="1:4" x14ac:dyDescent="0.25">
      <c r="A494" s="1" t="s">
        <v>442</v>
      </c>
      <c r="B494" s="3" t="e">
        <f>IF(ISTEXT(([0]!P_1_10.2.5.1 [0]!Qté)),0,([0]!P_1_10.2.5.1 [0]!Qté))</f>
        <v>#REF!</v>
      </c>
      <c r="C494" s="2" t="e">
        <f>([0]!P_1_10.2.5.1 [0]!PU)</f>
        <v>#REF!</v>
      </c>
      <c r="D494" s="2" t="e">
        <f>IF(ISTEXT(([0]!P_1_10.2.5.1 [0]!MT)),0,([0]!P_1_10.2.5.1 [0]!MT))</f>
        <v>#REF!</v>
      </c>
    </row>
    <row r="495" spans="1:4" x14ac:dyDescent="0.25">
      <c r="A495" s="1" t="s">
        <v>443</v>
      </c>
      <c r="B495" s="3" t="e">
        <f>IF(ISTEXT(([0]!P_1_10.2.5.2 [0]!Qté)),0,([0]!P_1_10.2.5.2 [0]!Qté))</f>
        <v>#REF!</v>
      </c>
      <c r="C495" s="2" t="e">
        <f>([0]!P_1_10.2.5.2 [0]!PU)</f>
        <v>#REF!</v>
      </c>
      <c r="D495" s="2" t="e">
        <f>IF(ISTEXT(([0]!P_1_10.2.5.2 [0]!MT)),0,([0]!P_1_10.2.5.2 [0]!MT))</f>
        <v>#REF!</v>
      </c>
    </row>
    <row r="496" spans="1:4" x14ac:dyDescent="0.25">
      <c r="A496" s="1" t="s">
        <v>444</v>
      </c>
      <c r="B496" s="3" t="e">
        <f>IF(ISTEXT(([0]!P_1_10.2.5.3 [0]!Qté)),0,([0]!P_1_10.2.5.3 [0]!Qté))</f>
        <v>#REF!</v>
      </c>
      <c r="C496" s="2" t="e">
        <f>([0]!P_1_10.2.5.3 [0]!PU)</f>
        <v>#REF!</v>
      </c>
      <c r="D496" s="2" t="e">
        <f>IF(ISTEXT(([0]!P_1_10.2.5.3 [0]!MT)),0,([0]!P_1_10.2.5.3 [0]!MT))</f>
        <v>#REF!</v>
      </c>
    </row>
    <row r="497" spans="1:4" x14ac:dyDescent="0.25">
      <c r="A497" s="1" t="s">
        <v>445</v>
      </c>
      <c r="B497" s="3" t="e">
        <f>IF(ISTEXT(([0]!P_1_10.2.5.4 [0]!Qté)),0,([0]!P_1_10.2.5.4 [0]!Qté))</f>
        <v>#REF!</v>
      </c>
      <c r="C497" s="2" t="e">
        <f>([0]!P_1_10.2.5.4 [0]!PU)</f>
        <v>#REF!</v>
      </c>
      <c r="D497" s="2" t="e">
        <f>IF(ISTEXT(([0]!P_1_10.2.5.4 [0]!MT)),0,([0]!P_1_10.2.5.4 [0]!MT))</f>
        <v>#REF!</v>
      </c>
    </row>
    <row r="498" spans="1:4" x14ac:dyDescent="0.25">
      <c r="A498" s="1" t="s">
        <v>135</v>
      </c>
      <c r="B498" s="3" t="e">
        <f>IF(ISTEXT(([0]!P_1_10.2.5.5 [0]!Qté)),0,([0]!P_1_10.2.5.5 [0]!Qté))</f>
        <v>#REF!</v>
      </c>
      <c r="C498" s="2" t="e">
        <f>([0]!P_1_10.2.5.5 [0]!PU)</f>
        <v>#REF!</v>
      </c>
      <c r="D498" s="2" t="e">
        <f>IF(ISTEXT(([0]!P_1_10.2.5.5 [0]!MT)),0,([0]!P_1_10.2.5.5 [0]!MT))</f>
        <v>#REF!</v>
      </c>
    </row>
    <row r="499" spans="1:4" x14ac:dyDescent="0.25">
      <c r="A499" s="1" t="s">
        <v>150</v>
      </c>
      <c r="B499" s="3" t="e">
        <f>IF(ISTEXT(([0]!P_1_10.2.5.6 [0]!Qté)),0,([0]!P_1_10.2.5.6 [0]!Qté))</f>
        <v>#REF!</v>
      </c>
      <c r="C499" s="2" t="e">
        <f>([0]!P_1_10.2.5.6 [0]!PU)</f>
        <v>#REF!</v>
      </c>
      <c r="D499" s="2" t="e">
        <f>IF(ISTEXT(([0]!P_1_10.2.5.6 [0]!MT)),0,([0]!P_1_10.2.5.6 [0]!MT))</f>
        <v>#REF!</v>
      </c>
    </row>
    <row r="500" spans="1:4" x14ac:dyDescent="0.25">
      <c r="A500" s="1" t="s">
        <v>446</v>
      </c>
      <c r="B500" s="3" t="e">
        <f>IF(ISTEXT(([0]!P_1_10.2.6.1 [0]!Qté)),0,([0]!P_1_10.2.6.1 [0]!Qté))</f>
        <v>#REF!</v>
      </c>
      <c r="C500" s="2" t="e">
        <f>([0]!P_1_10.2.6.1 [0]!PU)</f>
        <v>#REF!</v>
      </c>
      <c r="D500" s="2" t="e">
        <f>IF(ISTEXT(([0]!P_1_10.2.6.1 [0]!MT)),0,([0]!P_1_10.2.6.1 [0]!MT))</f>
        <v>#REF!</v>
      </c>
    </row>
    <row r="501" spans="1:4" x14ac:dyDescent="0.25">
      <c r="A501" s="1" t="s">
        <v>447</v>
      </c>
      <c r="B501" s="3" t="e">
        <f>IF(ISTEXT(([0]!P_1_10.2.6.2 [0]!Qté)),0,([0]!P_1_10.2.6.2 [0]!Qté))</f>
        <v>#REF!</v>
      </c>
      <c r="C501" s="2" t="e">
        <f>([0]!P_1_10.2.6.2 [0]!PU)</f>
        <v>#REF!</v>
      </c>
      <c r="D501" s="2" t="e">
        <f>IF(ISTEXT(([0]!P_1_10.2.6.2 [0]!MT)),0,([0]!P_1_10.2.6.2 [0]!MT))</f>
        <v>#REF!</v>
      </c>
    </row>
    <row r="502" spans="1:4" x14ac:dyDescent="0.25">
      <c r="A502" s="1" t="s">
        <v>448</v>
      </c>
      <c r="B502" s="3" t="e">
        <f>IF(ISTEXT(([0]!P_1_10.2.6.3 [0]!Qté)),0,([0]!P_1_10.2.6.3 [0]!Qté))</f>
        <v>#REF!</v>
      </c>
      <c r="C502" s="2" t="e">
        <f>([0]!P_1_10.2.6.3 [0]!PU)</f>
        <v>#REF!</v>
      </c>
      <c r="D502" s="2" t="e">
        <f>IF(ISTEXT(([0]!P_1_10.2.6.3 [0]!MT)),0,([0]!P_1_10.2.6.3 [0]!MT))</f>
        <v>#REF!</v>
      </c>
    </row>
    <row r="503" spans="1:4" x14ac:dyDescent="0.25">
      <c r="A503" s="1" t="s">
        <v>151</v>
      </c>
      <c r="B503" s="3" t="e">
        <f>IF(ISTEXT(([0]!P_1_10.2.7.1 [0]!Qté)),0,([0]!P_1_10.2.7.1 [0]!Qté))</f>
        <v>#REF!</v>
      </c>
      <c r="C503" s="2" t="e">
        <f>([0]!P_1_10.2.7.1 [0]!PU)</f>
        <v>#REF!</v>
      </c>
      <c r="D503" s="2" t="e">
        <f>IF(ISTEXT(([0]!P_1_10.2.7.1 [0]!MT)),0,([0]!P_1_10.2.7.1 [0]!MT))</f>
        <v>#REF!</v>
      </c>
    </row>
    <row r="504" spans="1:4" x14ac:dyDescent="0.25">
      <c r="A504" s="1" t="s">
        <v>449</v>
      </c>
      <c r="B504" s="3" t="e">
        <f>IF(ISTEXT(([0]!P_1_10.2.7.2 [0]!Qté)),0,([0]!P_1_10.2.7.2 [0]!Qté))</f>
        <v>#REF!</v>
      </c>
      <c r="C504" s="2" t="e">
        <f>([0]!P_1_10.2.7.2 [0]!PU)</f>
        <v>#REF!</v>
      </c>
      <c r="D504" s="2" t="e">
        <f>IF(ISTEXT(([0]!P_1_10.2.7.2 [0]!MT)),0,([0]!P_1_10.2.7.2 [0]!MT))</f>
        <v>#REF!</v>
      </c>
    </row>
    <row r="505" spans="1:4" x14ac:dyDescent="0.25">
      <c r="A505" s="1" t="s">
        <v>450</v>
      </c>
      <c r="B505" s="3" t="e">
        <f>IF(ISTEXT(([0]!P_1_10.2.7.3 [0]!Qté)),0,([0]!P_1_10.2.7.3 [0]!Qté))</f>
        <v>#REF!</v>
      </c>
      <c r="C505" s="2" t="e">
        <f>([0]!P_1_10.2.7.3 [0]!PU)</f>
        <v>#REF!</v>
      </c>
      <c r="D505" s="2" t="e">
        <f>IF(ISTEXT(([0]!P_1_10.2.7.3 [0]!MT)),0,([0]!P_1_10.2.7.3 [0]!MT))</f>
        <v>#REF!</v>
      </c>
    </row>
    <row r="506" spans="1:4" x14ac:dyDescent="0.25">
      <c r="A506" s="1" t="s">
        <v>152</v>
      </c>
      <c r="B506" s="3" t="e">
        <f>IF(ISTEXT(([0]!P_1_10.2.7.4 [0]!Qté)),0,([0]!P_1_10.2.7.4 [0]!Qté))</f>
        <v>#REF!</v>
      </c>
      <c r="C506" s="2" t="e">
        <f>([0]!P_1_10.2.7.4 [0]!PU)</f>
        <v>#REF!</v>
      </c>
      <c r="D506" s="2" t="e">
        <f>IF(ISTEXT(([0]!P_1_10.2.7.4 [0]!MT)),0,([0]!P_1_10.2.7.4 [0]!MT))</f>
        <v>#REF!</v>
      </c>
    </row>
    <row r="507" spans="1:4" x14ac:dyDescent="0.25">
      <c r="A507" s="1" t="s">
        <v>1097</v>
      </c>
      <c r="B507" s="3" t="e">
        <f>IF(ISTEXT(([0]!P_1_10.2.7.5 [0]!Qté)),0,([0]!P_1_10.2.7.5 [0]!Qté))</f>
        <v>#REF!</v>
      </c>
      <c r="C507" s="2" t="e">
        <f>([0]!P_1_10.2.7.5 [0]!PU)</f>
        <v>#REF!</v>
      </c>
      <c r="D507" s="2" t="e">
        <f>IF(ISTEXT(([0]!P_1_10.2.7.5 [0]!MT)),0,([0]!P_1_10.2.7.5 [0]!MT))</f>
        <v>#REF!</v>
      </c>
    </row>
    <row r="508" spans="1:4" x14ac:dyDescent="0.25">
      <c r="A508" s="1" t="s">
        <v>1098</v>
      </c>
      <c r="B508" s="3" t="e">
        <f>IF(ISTEXT(([0]!P_1_10.2.7.6 [0]!Qté)),0,([0]!P_1_10.2.7.6 [0]!Qté))</f>
        <v>#REF!</v>
      </c>
      <c r="C508" s="2" t="e">
        <f>([0]!P_1_10.2.7.6 [0]!PU)</f>
        <v>#REF!</v>
      </c>
      <c r="D508" s="2" t="e">
        <f>IF(ISTEXT(([0]!P_1_10.2.7.6 [0]!MT)),0,([0]!P_1_10.2.7.6 [0]!MT))</f>
        <v>#REF!</v>
      </c>
    </row>
    <row r="509" spans="1:4" x14ac:dyDescent="0.25">
      <c r="A509" s="1" t="s">
        <v>451</v>
      </c>
      <c r="B509" s="3" t="e">
        <f>IF(ISTEXT(([0]!P_1_10.2.8.1 [0]!Qté)),0,([0]!P_1_10.2.8.1 [0]!Qté))</f>
        <v>#REF!</v>
      </c>
      <c r="C509" s="2" t="e">
        <f>([0]!P_1_10.2.8.1 [0]!PU)</f>
        <v>#REF!</v>
      </c>
      <c r="D509" s="2" t="e">
        <f>IF(ISTEXT(([0]!P_1_10.2.8.1 [0]!MT)),0,([0]!P_1_10.2.8.1 [0]!MT))</f>
        <v>#REF!</v>
      </c>
    </row>
    <row r="510" spans="1:4" x14ac:dyDescent="0.25">
      <c r="A510" s="1" t="s">
        <v>452</v>
      </c>
      <c r="B510" s="3" t="e">
        <f>IF(ISTEXT(([0]!P_1_10.2.8.2 [0]!Qté)),0,([0]!P_1_10.2.8.2 [0]!Qté))</f>
        <v>#REF!</v>
      </c>
      <c r="C510" s="2" t="e">
        <f>([0]!P_1_10.2.8.2 [0]!PU)</f>
        <v>#REF!</v>
      </c>
      <c r="D510" s="2" t="e">
        <f>IF(ISTEXT(([0]!P_1_10.2.8.2 [0]!MT)),0,([0]!P_1_10.2.8.2 [0]!MT))</f>
        <v>#REF!</v>
      </c>
    </row>
    <row r="511" spans="1:4" x14ac:dyDescent="0.25">
      <c r="A511" s="1" t="s">
        <v>453</v>
      </c>
      <c r="B511" s="3" t="e">
        <f>IF(ISTEXT(([0]!P_1_10.2.8.3 [0]!Qté)),0,([0]!P_1_10.2.8.3 [0]!Qté))</f>
        <v>#REF!</v>
      </c>
      <c r="C511" s="2" t="e">
        <f>([0]!P_1_10.2.8.3 [0]!PU)</f>
        <v>#REF!</v>
      </c>
      <c r="D511" s="2" t="e">
        <f>IF(ISTEXT(([0]!P_1_10.2.8.3 [0]!MT)),0,([0]!P_1_10.2.8.3 [0]!MT))</f>
        <v>#REF!</v>
      </c>
    </row>
    <row r="512" spans="1:4" x14ac:dyDescent="0.25">
      <c r="A512" s="1" t="s">
        <v>454</v>
      </c>
      <c r="B512" s="3" t="e">
        <f>IF(ISTEXT(([0]!P_1_10.2.8.4 [0]!Qté)),0,([0]!P_1_10.2.8.4 [0]!Qté))</f>
        <v>#REF!</v>
      </c>
      <c r="C512" s="2" t="e">
        <f>([0]!P_1_10.2.8.4 [0]!PU)</f>
        <v>#REF!</v>
      </c>
      <c r="D512" s="2" t="e">
        <f>IF(ISTEXT(([0]!P_1_10.2.8.4 [0]!MT)),0,([0]!P_1_10.2.8.4 [0]!MT))</f>
        <v>#REF!</v>
      </c>
    </row>
    <row r="513" spans="1:4" x14ac:dyDescent="0.25">
      <c r="A513" s="1" t="s">
        <v>1099</v>
      </c>
      <c r="B513" s="3" t="e">
        <f>IF(ISTEXT(([0]!P_1_10.2.8.5 [0]!Qté)),0,([0]!P_1_10.2.8.5 [0]!Qté))</f>
        <v>#REF!</v>
      </c>
      <c r="C513" s="2" t="e">
        <f>([0]!P_1_10.2.8.5 [0]!PU)</f>
        <v>#REF!</v>
      </c>
      <c r="D513" s="2" t="e">
        <f>IF(ISTEXT(([0]!P_1_10.2.8.5 [0]!MT)),0,([0]!P_1_10.2.8.5 [0]!MT))</f>
        <v>#REF!</v>
      </c>
    </row>
    <row r="514" spans="1:4" x14ac:dyDescent="0.25">
      <c r="A514" s="1" t="s">
        <v>1100</v>
      </c>
      <c r="B514" s="3" t="e">
        <f>IF(ISTEXT(([0]!P_1_10.2.8.6 [0]!Qté)),0,([0]!P_1_10.2.8.6 [0]!Qté))</f>
        <v>#REF!</v>
      </c>
      <c r="C514" s="2" t="e">
        <f>([0]!P_1_10.2.8.6 [0]!PU)</f>
        <v>#REF!</v>
      </c>
      <c r="D514" s="2" t="e">
        <f>IF(ISTEXT(([0]!P_1_10.2.8.6 [0]!MT)),0,([0]!P_1_10.2.8.6 [0]!MT))</f>
        <v>#REF!</v>
      </c>
    </row>
    <row r="515" spans="1:4" x14ac:dyDescent="0.25">
      <c r="A515" s="1" t="s">
        <v>1101</v>
      </c>
      <c r="B515" s="3" t="e">
        <f>IF(ISTEXT(([0]!P_1_10.2.9.1 [0]!Qté)),0,([0]!P_1_10.2.9.1 [0]!Qté))</f>
        <v>#REF!</v>
      </c>
      <c r="C515" s="2" t="e">
        <f>([0]!P_1_10.2.9.1 [0]!PU)</f>
        <v>#REF!</v>
      </c>
      <c r="D515" s="2" t="e">
        <f>IF(ISTEXT(([0]!P_1_10.2.9.1 [0]!MT)),0,([0]!P_1_10.2.9.1 [0]!MT))</f>
        <v>#REF!</v>
      </c>
    </row>
    <row r="516" spans="1:4" x14ac:dyDescent="0.25">
      <c r="A516" s="1" t="s">
        <v>455</v>
      </c>
      <c r="B516" s="3" t="e">
        <f>IF(ISTEXT(([0]!P_1_10.2.9.2 [0]!Qté)),0,([0]!P_1_10.2.9.2 [0]!Qté))</f>
        <v>#REF!</v>
      </c>
      <c r="C516" s="2" t="e">
        <f>([0]!P_1_10.2.9.2 [0]!PU)</f>
        <v>#REF!</v>
      </c>
      <c r="D516" s="2" t="e">
        <f>IF(ISTEXT(([0]!P_1_10.2.9.2 [0]!MT)),0,([0]!P_1_10.2.9.2 [0]!MT))</f>
        <v>#REF!</v>
      </c>
    </row>
    <row r="517" spans="1:4" x14ac:dyDescent="0.25">
      <c r="A517" s="1" t="s">
        <v>456</v>
      </c>
      <c r="B517" s="3" t="e">
        <f>IF(ISTEXT(([0]!P_1_10.2.10.1 [0]!Qté)),0,([0]!P_1_10.2.10.1 [0]!Qté))</f>
        <v>#REF!</v>
      </c>
      <c r="C517" s="2" t="e">
        <f>([0]!P_1_10.2.10.1 [0]!PU)</f>
        <v>#REF!</v>
      </c>
      <c r="D517" s="2" t="e">
        <f>IF(ISTEXT(([0]!P_1_10.2.10.1 [0]!MT)),0,([0]!P_1_10.2.10.1 [0]!MT))</f>
        <v>#REF!</v>
      </c>
    </row>
    <row r="518" spans="1:4" x14ac:dyDescent="0.25">
      <c r="A518" s="1" t="s">
        <v>457</v>
      </c>
      <c r="B518" s="3" t="e">
        <f>IF(ISTEXT(([0]!P_1_10.2.10.2 [0]!Qté)),0,([0]!P_1_10.2.10.2 [0]!Qté))</f>
        <v>#REF!</v>
      </c>
      <c r="C518" s="2" t="e">
        <f>([0]!P_1_10.2.10.2 [0]!PU)</f>
        <v>#REF!</v>
      </c>
      <c r="D518" s="2" t="e">
        <f>IF(ISTEXT(([0]!P_1_10.2.10.2 [0]!MT)),0,([0]!P_1_10.2.10.2 [0]!MT))</f>
        <v>#REF!</v>
      </c>
    </row>
    <row r="519" spans="1:4" x14ac:dyDescent="0.25">
      <c r="A519" s="1" t="s">
        <v>458</v>
      </c>
      <c r="B519" s="3" t="e">
        <f>IF(ISTEXT(([0]!P_1_10.2.11.1 [0]!Qté)),0,([0]!P_1_10.2.11.1 [0]!Qté))</f>
        <v>#REF!</v>
      </c>
      <c r="C519" s="2" t="e">
        <f>([0]!P_1_10.2.11.1 [0]!PU)</f>
        <v>#REF!</v>
      </c>
      <c r="D519" s="2" t="e">
        <f>IF(ISTEXT(([0]!P_1_10.2.11.1 [0]!MT)),0,([0]!P_1_10.2.11.1 [0]!MT))</f>
        <v>#REF!</v>
      </c>
    </row>
    <row r="520" spans="1:4" x14ac:dyDescent="0.25">
      <c r="A520" s="1" t="s">
        <v>1102</v>
      </c>
      <c r="B520" s="3" t="e">
        <f>IF(ISTEXT(([0]!P_1_10.2.11.2 [0]!Qté)),0,([0]!P_1_10.2.11.2 [0]!Qté))</f>
        <v>#REF!</v>
      </c>
      <c r="C520" s="2" t="e">
        <f>([0]!P_1_10.2.11.2 [0]!PU)</f>
        <v>#REF!</v>
      </c>
      <c r="D520" s="2" t="e">
        <f>IF(ISTEXT(([0]!P_1_10.2.11.2 [0]!MT)),0,([0]!P_1_10.2.11.2 [0]!MT))</f>
        <v>#REF!</v>
      </c>
    </row>
    <row r="521" spans="1:4" x14ac:dyDescent="0.25">
      <c r="A521" s="1" t="s">
        <v>459</v>
      </c>
      <c r="B521" s="3" t="e">
        <f>IF(ISTEXT(([0]!P_1_10.2.12.1 [0]!Qté)),0,([0]!P_1_10.2.12.1 [0]!Qté))</f>
        <v>#REF!</v>
      </c>
      <c r="C521" s="2" t="e">
        <f>([0]!P_1_10.2.12.1 [0]!PU)</f>
        <v>#REF!</v>
      </c>
      <c r="D521" s="2" t="e">
        <f>IF(ISTEXT(([0]!P_1_10.2.12.1 [0]!MT)),0,([0]!P_1_10.2.12.1 [0]!MT))</f>
        <v>#REF!</v>
      </c>
    </row>
    <row r="522" spans="1:4" x14ac:dyDescent="0.25">
      <c r="A522" s="1" t="s">
        <v>460</v>
      </c>
      <c r="B522" s="3" t="e">
        <f>IF(ISTEXT(([0]!P_1_10.2.12.2 [0]!Qté)),0,([0]!P_1_10.2.12.2 [0]!Qté))</f>
        <v>#REF!</v>
      </c>
      <c r="C522" s="2" t="e">
        <f>([0]!P_1_10.2.12.2 [0]!PU)</f>
        <v>#REF!</v>
      </c>
      <c r="D522" s="2" t="e">
        <f>IF(ISTEXT(([0]!P_1_10.2.12.2 [0]!MT)),0,([0]!P_1_10.2.12.2 [0]!MT))</f>
        <v>#REF!</v>
      </c>
    </row>
    <row r="523" spans="1:4" x14ac:dyDescent="0.25">
      <c r="A523" s="1" t="s">
        <v>205</v>
      </c>
      <c r="B523" s="3" t="e">
        <f>IF(ISTEXT(([0]!P_1_10.2.13.1.1 [0]!Qté)),0,([0]!P_1_10.2.13.1.1 [0]!Qté))</f>
        <v>#REF!</v>
      </c>
      <c r="C523" s="2" t="e">
        <f>([0]!P_1_10.2.13.1.1 [0]!PU)</f>
        <v>#REF!</v>
      </c>
      <c r="D523" s="2" t="e">
        <f>IF(ISTEXT(([0]!P_1_10.2.13.1.1 [0]!MT)),0,([0]!P_1_10.2.13.1.1 [0]!MT))</f>
        <v>#REF!</v>
      </c>
    </row>
    <row r="524" spans="1:4" x14ac:dyDescent="0.25">
      <c r="A524" s="1" t="s">
        <v>206</v>
      </c>
      <c r="B524" s="3" t="e">
        <f>IF(ISTEXT(([0]!P_1_10.2.13.1.2 [0]!Qté)),0,([0]!P_1_10.2.13.1.2 [0]!Qté))</f>
        <v>#REF!</v>
      </c>
      <c r="C524" s="2" t="e">
        <f>([0]!P_1_10.2.13.1.2 [0]!PU)</f>
        <v>#REF!</v>
      </c>
      <c r="D524" s="2" t="e">
        <f>IF(ISTEXT(([0]!P_1_10.2.13.1.2 [0]!MT)),0,([0]!P_1_10.2.13.1.2 [0]!MT))</f>
        <v>#REF!</v>
      </c>
    </row>
    <row r="525" spans="1:4" x14ac:dyDescent="0.25">
      <c r="A525" s="1" t="s">
        <v>207</v>
      </c>
      <c r="B525" s="3" t="e">
        <f>IF(ISTEXT(([0]!P_1_10.2.13.1.3 [0]!Qté)),0,([0]!P_1_10.2.13.1.3 [0]!Qté))</f>
        <v>#REF!</v>
      </c>
      <c r="C525" s="2" t="e">
        <f>([0]!P_1_10.2.13.1.3 [0]!PU)</f>
        <v>#REF!</v>
      </c>
      <c r="D525" s="2" t="e">
        <f>IF(ISTEXT(([0]!P_1_10.2.13.1.3 [0]!MT)),0,([0]!P_1_10.2.13.1.3 [0]!MT))</f>
        <v>#REF!</v>
      </c>
    </row>
    <row r="526" spans="1:4" x14ac:dyDescent="0.25">
      <c r="A526" s="1" t="s">
        <v>461</v>
      </c>
      <c r="B526" s="3" t="e">
        <f>IF(ISTEXT(([0]!P_1_10.2.13.1.4 [0]!Qté)),0,([0]!P_1_10.2.13.1.4 [0]!Qté))</f>
        <v>#REF!</v>
      </c>
      <c r="C526" s="2" t="e">
        <f>([0]!P_1_10.2.13.1.4 [0]!PU)</f>
        <v>#REF!</v>
      </c>
      <c r="D526" s="2" t="e">
        <f>IF(ISTEXT(([0]!P_1_10.2.13.1.4 [0]!MT)),0,([0]!P_1_10.2.13.1.4 [0]!MT))</f>
        <v>#REF!</v>
      </c>
    </row>
    <row r="527" spans="1:4" x14ac:dyDescent="0.25">
      <c r="A527" s="1" t="s">
        <v>462</v>
      </c>
      <c r="B527" s="3" t="e">
        <f>IF(ISTEXT(([0]!P_1_10.2.13.1.5 [0]!Qté)),0,([0]!P_1_10.2.13.1.5 [0]!Qté))</f>
        <v>#REF!</v>
      </c>
      <c r="C527" s="2" t="e">
        <f>([0]!P_1_10.2.13.1.5 [0]!PU)</f>
        <v>#REF!</v>
      </c>
      <c r="D527" s="2" t="e">
        <f>IF(ISTEXT(([0]!P_1_10.2.13.1.5 [0]!MT)),0,([0]!P_1_10.2.13.1.5 [0]!MT))</f>
        <v>#REF!</v>
      </c>
    </row>
    <row r="528" spans="1:4" x14ac:dyDescent="0.25">
      <c r="A528" s="1" t="s">
        <v>463</v>
      </c>
      <c r="B528" s="3" t="e">
        <f>IF(ISTEXT(([0]!P_1_10.2.13.1.6 [0]!Qté)),0,([0]!P_1_10.2.13.1.6 [0]!Qté))</f>
        <v>#REF!</v>
      </c>
      <c r="C528" s="2" t="e">
        <f>([0]!P_1_10.2.13.1.6 [0]!PU)</f>
        <v>#REF!</v>
      </c>
      <c r="D528" s="2" t="e">
        <f>IF(ISTEXT(([0]!P_1_10.2.13.1.6 [0]!MT)),0,([0]!P_1_10.2.13.1.6 [0]!MT))</f>
        <v>#REF!</v>
      </c>
    </row>
    <row r="529" spans="1:4" x14ac:dyDescent="0.25">
      <c r="A529" s="1" t="s">
        <v>208</v>
      </c>
      <c r="B529" s="3" t="e">
        <f>IF(ISTEXT(([0]!P_1_10.2.13.2.1 [0]!Qté)),0,([0]!P_1_10.2.13.2.1 [0]!Qté))</f>
        <v>#REF!</v>
      </c>
      <c r="C529" s="2" t="e">
        <f>([0]!P_1_10.2.13.2.1 [0]!PU)</f>
        <v>#REF!</v>
      </c>
      <c r="D529" s="2" t="e">
        <f>IF(ISTEXT(([0]!P_1_10.2.13.2.1 [0]!MT)),0,([0]!P_1_10.2.13.2.1 [0]!MT))</f>
        <v>#REF!</v>
      </c>
    </row>
    <row r="530" spans="1:4" x14ac:dyDescent="0.25">
      <c r="A530" s="1" t="s">
        <v>209</v>
      </c>
      <c r="B530" s="3" t="e">
        <f>IF(ISTEXT(([0]!P_1_10.2.13.2.2 [0]!Qté)),0,([0]!P_1_10.2.13.2.2 [0]!Qté))</f>
        <v>#REF!</v>
      </c>
      <c r="C530" s="2" t="e">
        <f>([0]!P_1_10.2.13.2.2 [0]!PU)</f>
        <v>#REF!</v>
      </c>
      <c r="D530" s="2" t="e">
        <f>IF(ISTEXT(([0]!P_1_10.2.13.2.2 [0]!MT)),0,([0]!P_1_10.2.13.2.2 [0]!MT))</f>
        <v>#REF!</v>
      </c>
    </row>
    <row r="531" spans="1:4" x14ac:dyDescent="0.25">
      <c r="A531" s="1" t="s">
        <v>210</v>
      </c>
      <c r="B531" s="3" t="e">
        <f>IF(ISTEXT(([0]!P_1_10.2.13.2.3 [0]!Qté)),0,([0]!P_1_10.2.13.2.3 [0]!Qté))</f>
        <v>#REF!</v>
      </c>
      <c r="C531" s="2" t="e">
        <f>([0]!P_1_10.2.13.2.3 [0]!PU)</f>
        <v>#REF!</v>
      </c>
      <c r="D531" s="2" t="e">
        <f>IF(ISTEXT(([0]!P_1_10.2.13.2.3 [0]!MT)),0,([0]!P_1_10.2.13.2.3 [0]!MT))</f>
        <v>#REF!</v>
      </c>
    </row>
    <row r="532" spans="1:4" x14ac:dyDescent="0.25">
      <c r="A532" s="1" t="s">
        <v>211</v>
      </c>
      <c r="B532" s="3" t="e">
        <f>IF(ISTEXT(([0]!P_1_10.2.13.2.4 [0]!Qté)),0,([0]!P_1_10.2.13.2.4 [0]!Qté))</f>
        <v>#REF!</v>
      </c>
      <c r="C532" s="2" t="e">
        <f>([0]!P_1_10.2.13.2.4 [0]!PU)</f>
        <v>#REF!</v>
      </c>
      <c r="D532" s="2" t="e">
        <f>IF(ISTEXT(([0]!P_1_10.2.13.2.4 [0]!MT)),0,([0]!P_1_10.2.13.2.4 [0]!MT))</f>
        <v>#REF!</v>
      </c>
    </row>
    <row r="533" spans="1:4" x14ac:dyDescent="0.25">
      <c r="A533" s="1" t="s">
        <v>212</v>
      </c>
      <c r="B533" s="3" t="e">
        <f>IF(ISTEXT(([0]!P_1_10.2.13.2.5 [0]!Qté)),0,([0]!P_1_10.2.13.2.5 [0]!Qté))</f>
        <v>#REF!</v>
      </c>
      <c r="C533" s="2" t="e">
        <f>([0]!P_1_10.2.13.2.5 [0]!PU)</f>
        <v>#REF!</v>
      </c>
      <c r="D533" s="2" t="e">
        <f>IF(ISTEXT(([0]!P_1_10.2.13.2.5 [0]!MT)),0,([0]!P_1_10.2.13.2.5 [0]!MT))</f>
        <v>#REF!</v>
      </c>
    </row>
    <row r="534" spans="1:4" x14ac:dyDescent="0.25">
      <c r="A534" s="1" t="s">
        <v>464</v>
      </c>
      <c r="B534" s="3" t="e">
        <f>IF(ISTEXT(([0]!P_1_10.2.13.2.6 [0]!Qté)),0,([0]!P_1_10.2.13.2.6 [0]!Qté))</f>
        <v>#REF!</v>
      </c>
      <c r="C534" s="2" t="e">
        <f>([0]!P_1_10.2.13.2.6 [0]!PU)</f>
        <v>#REF!</v>
      </c>
      <c r="D534" s="2" t="e">
        <f>IF(ISTEXT(([0]!P_1_10.2.13.2.6 [0]!MT)),0,([0]!P_1_10.2.13.2.6 [0]!MT))</f>
        <v>#REF!</v>
      </c>
    </row>
    <row r="535" spans="1:4" x14ac:dyDescent="0.25">
      <c r="A535" s="1" t="s">
        <v>213</v>
      </c>
      <c r="B535" s="3" t="e">
        <f>IF(ISTEXT(([0]!P_1_10.2.13.3.1 [0]!Qté)),0,([0]!P_1_10.2.13.3.1 [0]!Qté))</f>
        <v>#REF!</v>
      </c>
      <c r="C535" s="2" t="e">
        <f>([0]!P_1_10.2.13.3.1 [0]!PU)</f>
        <v>#REF!</v>
      </c>
      <c r="D535" s="2" t="e">
        <f>IF(ISTEXT(([0]!P_1_10.2.13.3.1 [0]!MT)),0,([0]!P_1_10.2.13.3.1 [0]!MT))</f>
        <v>#REF!</v>
      </c>
    </row>
    <row r="536" spans="1:4" x14ac:dyDescent="0.25">
      <c r="A536" s="1" t="s">
        <v>214</v>
      </c>
      <c r="B536" s="3" t="e">
        <f>IF(ISTEXT(([0]!P_1_10.2.13.3.2 [0]!Qté)),0,([0]!P_1_10.2.13.3.2 [0]!Qté))</f>
        <v>#REF!</v>
      </c>
      <c r="C536" s="2" t="e">
        <f>([0]!P_1_10.2.13.3.2 [0]!PU)</f>
        <v>#REF!</v>
      </c>
      <c r="D536" s="2" t="e">
        <f>IF(ISTEXT(([0]!P_1_10.2.13.3.2 [0]!MT)),0,([0]!P_1_10.2.13.3.2 [0]!MT))</f>
        <v>#REF!</v>
      </c>
    </row>
    <row r="537" spans="1:4" x14ac:dyDescent="0.25">
      <c r="A537" s="1" t="s">
        <v>215</v>
      </c>
      <c r="B537" s="3" t="e">
        <f>IF(ISTEXT(([0]!P_1_10.2.13.3.3 [0]!Qté)),0,([0]!P_1_10.2.13.3.3 [0]!Qté))</f>
        <v>#REF!</v>
      </c>
      <c r="C537" s="2" t="e">
        <f>([0]!P_1_10.2.13.3.3 [0]!PU)</f>
        <v>#REF!</v>
      </c>
      <c r="D537" s="2" t="e">
        <f>IF(ISTEXT(([0]!P_1_10.2.13.3.3 [0]!MT)),0,([0]!P_1_10.2.13.3.3 [0]!MT))</f>
        <v>#REF!</v>
      </c>
    </row>
    <row r="538" spans="1:4" x14ac:dyDescent="0.25">
      <c r="A538" s="1" t="s">
        <v>216</v>
      </c>
      <c r="B538" s="3" t="e">
        <f>IF(ISTEXT(([0]!P_1_10.2.13.3.4 [0]!Qté)),0,([0]!P_1_10.2.13.3.4 [0]!Qté))</f>
        <v>#REF!</v>
      </c>
      <c r="C538" s="2" t="e">
        <f>([0]!P_1_10.2.13.3.4 [0]!PU)</f>
        <v>#REF!</v>
      </c>
      <c r="D538" s="2" t="e">
        <f>IF(ISTEXT(([0]!P_1_10.2.13.3.4 [0]!MT)),0,([0]!P_1_10.2.13.3.4 [0]!MT))</f>
        <v>#REF!</v>
      </c>
    </row>
    <row r="539" spans="1:4" x14ac:dyDescent="0.25">
      <c r="A539" s="1" t="s">
        <v>1124</v>
      </c>
      <c r="B539" s="3" t="e">
        <f>IF(ISTEXT(([0]!P_1_10.2.13.3.5 [0]!Qté)),0,([0]!P_1_10.2.13.3.5 [0]!Qté))</f>
        <v>#REF!</v>
      </c>
      <c r="C539" s="2" t="e">
        <f>([0]!P_1_10.2.13.3.5 [0]!PU)</f>
        <v>#REF!</v>
      </c>
      <c r="D539" s="2" t="e">
        <f>IF(ISTEXT(([0]!P_1_10.2.13.3.5 [0]!MT)),0,([0]!P_1_10.2.13.3.5 [0]!MT))</f>
        <v>#REF!</v>
      </c>
    </row>
    <row r="540" spans="1:4" x14ac:dyDescent="0.25">
      <c r="A540" s="1" t="s">
        <v>1125</v>
      </c>
      <c r="B540" s="3" t="e">
        <f>IF(ISTEXT(([0]!P_1_10.2.13.3.6 [0]!Qté)),0,([0]!P_1_10.2.13.3.6 [0]!Qté))</f>
        <v>#REF!</v>
      </c>
      <c r="C540" s="2" t="e">
        <f>([0]!P_1_10.2.13.3.6 [0]!PU)</f>
        <v>#REF!</v>
      </c>
      <c r="D540" s="2" t="e">
        <f>IF(ISTEXT(([0]!P_1_10.2.13.3.6 [0]!MT)),0,([0]!P_1_10.2.13.3.6 [0]!MT))</f>
        <v>#REF!</v>
      </c>
    </row>
    <row r="541" spans="1:4" x14ac:dyDescent="0.25">
      <c r="A541" s="1" t="s">
        <v>1126</v>
      </c>
      <c r="B541" s="3" t="e">
        <f>IF(ISTEXT(([0]!P_1_10.2.13.4.1 [0]!Qté)),0,([0]!P_1_10.2.13.4.1 [0]!Qté))</f>
        <v>#REF!</v>
      </c>
      <c r="C541" s="2" t="e">
        <f>([0]!P_1_10.2.13.4.1 [0]!PU)</f>
        <v>#REF!</v>
      </c>
      <c r="D541" s="2" t="e">
        <f>IF(ISTEXT(([0]!P_1_10.2.13.4.1 [0]!MT)),0,([0]!P_1_10.2.13.4.1 [0]!MT))</f>
        <v>#REF!</v>
      </c>
    </row>
    <row r="542" spans="1:4" x14ac:dyDescent="0.25">
      <c r="A542" s="1" t="s">
        <v>1127</v>
      </c>
      <c r="B542" s="3" t="e">
        <f>IF(ISTEXT(([0]!P_1_10.2.13.4.2 [0]!Qté)),0,([0]!P_1_10.2.13.4.2 [0]!Qté))</f>
        <v>#REF!</v>
      </c>
      <c r="C542" s="2" t="e">
        <f>([0]!P_1_10.2.13.4.2 [0]!PU)</f>
        <v>#REF!</v>
      </c>
      <c r="D542" s="2" t="e">
        <f>IF(ISTEXT(([0]!P_1_10.2.13.4.2 [0]!MT)),0,([0]!P_1_10.2.13.4.2 [0]!MT))</f>
        <v>#REF!</v>
      </c>
    </row>
    <row r="543" spans="1:4" x14ac:dyDescent="0.25">
      <c r="A543" s="1" t="s">
        <v>870</v>
      </c>
      <c r="B543" s="3" t="e">
        <f>IF(ISTEXT(([0]!P_1_10.2.13.4.3 [0]!Qté)),0,([0]!P_1_10.2.13.4.3 [0]!Qté))</f>
        <v>#REF!</v>
      </c>
      <c r="C543" s="2" t="e">
        <f>([0]!P_1_10.2.13.4.3 [0]!PU)</f>
        <v>#REF!</v>
      </c>
      <c r="D543" s="2" t="e">
        <f>IF(ISTEXT(([0]!P_1_10.2.13.4.3 [0]!MT)),0,([0]!P_1_10.2.13.4.3 [0]!MT))</f>
        <v>#REF!</v>
      </c>
    </row>
    <row r="544" spans="1:4" x14ac:dyDescent="0.25">
      <c r="A544" s="1" t="s">
        <v>871</v>
      </c>
      <c r="B544" s="3" t="e">
        <f>IF(ISTEXT(([0]!P_1_10.2.13.4.4 [0]!Qté)),0,([0]!P_1_10.2.13.4.4 [0]!Qté))</f>
        <v>#REF!</v>
      </c>
      <c r="C544" s="2" t="e">
        <f>([0]!P_1_10.2.13.4.4 [0]!PU)</f>
        <v>#REF!</v>
      </c>
      <c r="D544" s="2" t="e">
        <f>IF(ISTEXT(([0]!P_1_10.2.13.4.4 [0]!MT)),0,([0]!P_1_10.2.13.4.4 [0]!MT))</f>
        <v>#REF!</v>
      </c>
    </row>
    <row r="545" spans="1:4" x14ac:dyDescent="0.25">
      <c r="A545" s="1" t="s">
        <v>465</v>
      </c>
      <c r="B545" s="3" t="e">
        <f>IF(ISTEXT(([0]!P_1_10.2.13.4.5 [0]!Qté)),0,([0]!P_1_10.2.13.4.5 [0]!Qté))</f>
        <v>#REF!</v>
      </c>
      <c r="C545" s="2" t="e">
        <f>([0]!P_1_10.2.13.4.5 [0]!PU)</f>
        <v>#REF!</v>
      </c>
      <c r="D545" s="2" t="e">
        <f>IF(ISTEXT(([0]!P_1_10.2.13.4.5 [0]!MT)),0,([0]!P_1_10.2.13.4.5 [0]!MT))</f>
        <v>#REF!</v>
      </c>
    </row>
    <row r="546" spans="1:4" x14ac:dyDescent="0.25">
      <c r="A546" s="1" t="s">
        <v>872</v>
      </c>
      <c r="B546" s="3" t="e">
        <f>IF(ISTEXT(([0]!P_1_10.2.14.1.1 [0]!Qté)),0,([0]!P_1_10.2.14.1.1 [0]!Qté))</f>
        <v>#REF!</v>
      </c>
      <c r="C546" s="2" t="e">
        <f>([0]!P_1_10.2.14.1.1 [0]!PU)</f>
        <v>#REF!</v>
      </c>
      <c r="D546" s="2" t="e">
        <f>IF(ISTEXT(([0]!P_1_10.2.14.1.1 [0]!MT)),0,([0]!P_1_10.2.14.1.1 [0]!MT))</f>
        <v>#REF!</v>
      </c>
    </row>
    <row r="547" spans="1:4" x14ac:dyDescent="0.25">
      <c r="A547" s="1" t="s">
        <v>873</v>
      </c>
      <c r="B547" s="3" t="e">
        <f>IF(ISTEXT(([0]!P_1_10.2.14.1.2 [0]!Qté)),0,([0]!P_1_10.2.14.1.2 [0]!Qté))</f>
        <v>#REF!</v>
      </c>
      <c r="C547" s="2" t="e">
        <f>([0]!P_1_10.2.14.1.2 [0]!PU)</f>
        <v>#REF!</v>
      </c>
      <c r="D547" s="2" t="e">
        <f>IF(ISTEXT(([0]!P_1_10.2.14.1.2 [0]!MT)),0,([0]!P_1_10.2.14.1.2 [0]!MT))</f>
        <v>#REF!</v>
      </c>
    </row>
    <row r="548" spans="1:4" x14ac:dyDescent="0.25">
      <c r="A548" s="1" t="s">
        <v>874</v>
      </c>
      <c r="B548" s="3" t="e">
        <f>IF(ISTEXT(([0]!P_1_10.2.14.1.3 [0]!Qté)),0,([0]!P_1_10.2.14.1.3 [0]!Qté))</f>
        <v>#REF!</v>
      </c>
      <c r="C548" s="2" t="e">
        <f>([0]!P_1_10.2.14.1.3 [0]!PU)</f>
        <v>#REF!</v>
      </c>
      <c r="D548" s="2" t="e">
        <f>IF(ISTEXT(([0]!P_1_10.2.14.1.3 [0]!MT)),0,([0]!P_1_10.2.14.1.3 [0]!MT))</f>
        <v>#REF!</v>
      </c>
    </row>
    <row r="549" spans="1:4" x14ac:dyDescent="0.25">
      <c r="A549" s="1" t="s">
        <v>875</v>
      </c>
      <c r="B549" s="3" t="e">
        <f>IF(ISTEXT(([0]!P_1_10.2.14.1.4 [0]!Qté)),0,([0]!P_1_10.2.14.1.4 [0]!Qté))</f>
        <v>#REF!</v>
      </c>
      <c r="C549" s="2" t="e">
        <f>([0]!P_1_10.2.14.1.4 [0]!PU)</f>
        <v>#REF!</v>
      </c>
      <c r="D549" s="2" t="e">
        <f>IF(ISTEXT(([0]!P_1_10.2.14.1.4 [0]!MT)),0,([0]!P_1_10.2.14.1.4 [0]!MT))</f>
        <v>#REF!</v>
      </c>
    </row>
    <row r="550" spans="1:4" x14ac:dyDescent="0.25">
      <c r="A550" s="1" t="s">
        <v>466</v>
      </c>
      <c r="B550" s="3" t="e">
        <f>IF(ISTEXT(([0]!P_1_10.2.14.1.5 [0]!Qté)),0,([0]!P_1_10.2.14.1.5 [0]!Qté))</f>
        <v>#REF!</v>
      </c>
      <c r="C550" s="2" t="e">
        <f>([0]!P_1_10.2.14.1.5 [0]!PU)</f>
        <v>#REF!</v>
      </c>
      <c r="D550" s="2" t="e">
        <f>IF(ISTEXT(([0]!P_1_10.2.14.1.5 [0]!MT)),0,([0]!P_1_10.2.14.1.5 [0]!MT))</f>
        <v>#REF!</v>
      </c>
    </row>
    <row r="551" spans="1:4" x14ac:dyDescent="0.25">
      <c r="A551" s="1" t="s">
        <v>467</v>
      </c>
      <c r="B551" s="3" t="e">
        <f>IF(ISTEXT(([0]!P_1_10.2.14.1.6 [0]!Qté)),0,([0]!P_1_10.2.14.1.6 [0]!Qté))</f>
        <v>#REF!</v>
      </c>
      <c r="C551" s="2" t="e">
        <f>([0]!P_1_10.2.14.1.6 [0]!PU)</f>
        <v>#REF!</v>
      </c>
      <c r="D551" s="2" t="e">
        <f>IF(ISTEXT(([0]!P_1_10.2.14.1.6 [0]!MT)),0,([0]!P_1_10.2.14.1.6 [0]!MT))</f>
        <v>#REF!</v>
      </c>
    </row>
    <row r="552" spans="1:4" x14ac:dyDescent="0.25">
      <c r="A552" s="1" t="s">
        <v>876</v>
      </c>
      <c r="B552" s="3" t="e">
        <f>IF(ISTEXT(([0]!P_1_10.2.14.2.1 [0]!Qté)),0,([0]!P_1_10.2.14.2.1 [0]!Qté))</f>
        <v>#REF!</v>
      </c>
      <c r="C552" s="2" t="e">
        <f>([0]!P_1_10.2.14.2.1 [0]!PU)</f>
        <v>#REF!</v>
      </c>
      <c r="D552" s="2" t="e">
        <f>IF(ISTEXT(([0]!P_1_10.2.14.2.1 [0]!MT)),0,([0]!P_1_10.2.14.2.1 [0]!MT))</f>
        <v>#REF!</v>
      </c>
    </row>
    <row r="553" spans="1:4" x14ac:dyDescent="0.25">
      <c r="A553" s="1" t="s">
        <v>877</v>
      </c>
      <c r="B553" s="3" t="e">
        <f>IF(ISTEXT(([0]!P_1_10.2.14.2.2 [0]!Qté)),0,([0]!P_1_10.2.14.2.2 [0]!Qté))</f>
        <v>#REF!</v>
      </c>
      <c r="C553" s="2" t="e">
        <f>([0]!P_1_10.2.14.2.2 [0]!PU)</f>
        <v>#REF!</v>
      </c>
      <c r="D553" s="2" t="e">
        <f>IF(ISTEXT(([0]!P_1_10.2.14.2.2 [0]!MT)),0,([0]!P_1_10.2.14.2.2 [0]!MT))</f>
        <v>#REF!</v>
      </c>
    </row>
    <row r="554" spans="1:4" x14ac:dyDescent="0.25">
      <c r="A554" s="1" t="s">
        <v>878</v>
      </c>
      <c r="B554" s="3" t="e">
        <f>IF(ISTEXT(([0]!P_1_10.2.14.2.3 [0]!Qté)),0,([0]!P_1_10.2.14.2.3 [0]!Qté))</f>
        <v>#REF!</v>
      </c>
      <c r="C554" s="2" t="e">
        <f>([0]!P_1_10.2.14.2.3 [0]!PU)</f>
        <v>#REF!</v>
      </c>
      <c r="D554" s="2" t="e">
        <f>IF(ISTEXT(([0]!P_1_10.2.14.2.3 [0]!MT)),0,([0]!P_1_10.2.14.2.3 [0]!MT))</f>
        <v>#REF!</v>
      </c>
    </row>
    <row r="555" spans="1:4" x14ac:dyDescent="0.25">
      <c r="A555" s="1" t="s">
        <v>879</v>
      </c>
      <c r="B555" s="3" t="e">
        <f>IF(ISTEXT(([0]!P_1_10.2.14.2.4 [0]!Qté)),0,([0]!P_1_10.2.14.2.4 [0]!Qté))</f>
        <v>#REF!</v>
      </c>
      <c r="C555" s="2" t="e">
        <f>([0]!P_1_10.2.14.2.4 [0]!PU)</f>
        <v>#REF!</v>
      </c>
      <c r="D555" s="2" t="e">
        <f>IF(ISTEXT(([0]!P_1_10.2.14.2.4 [0]!MT)),0,([0]!P_1_10.2.14.2.4 [0]!MT))</f>
        <v>#REF!</v>
      </c>
    </row>
    <row r="556" spans="1:4" x14ac:dyDescent="0.25">
      <c r="A556" s="1" t="s">
        <v>468</v>
      </c>
      <c r="B556" s="3" t="e">
        <f>IF(ISTEXT(([0]!P_1_10.2.14.2.5 [0]!Qté)),0,([0]!P_1_10.2.14.2.5 [0]!Qté))</f>
        <v>#REF!</v>
      </c>
      <c r="C556" s="2" t="e">
        <f>([0]!P_1_10.2.14.2.5 [0]!PU)</f>
        <v>#REF!</v>
      </c>
      <c r="D556" s="2" t="e">
        <f>IF(ISTEXT(([0]!P_1_10.2.14.2.5 [0]!MT)),0,([0]!P_1_10.2.14.2.5 [0]!MT))</f>
        <v>#REF!</v>
      </c>
    </row>
    <row r="557" spans="1:4" x14ac:dyDescent="0.25">
      <c r="A557" s="1" t="s">
        <v>880</v>
      </c>
      <c r="B557" s="3" t="e">
        <f>IF(ISTEXT(([0]!P_1_10.2.14.2.6 [0]!Qté)),0,([0]!P_1_10.2.14.2.6 [0]!Qté))</f>
        <v>#REF!</v>
      </c>
      <c r="C557" s="2" t="e">
        <f>([0]!P_1_10.2.14.2.6 [0]!PU)</f>
        <v>#REF!</v>
      </c>
      <c r="D557" s="2" t="e">
        <f>IF(ISTEXT(([0]!P_1_10.2.14.2.6 [0]!MT)),0,([0]!P_1_10.2.14.2.6 [0]!MT))</f>
        <v>#REF!</v>
      </c>
    </row>
    <row r="558" spans="1:4" x14ac:dyDescent="0.25">
      <c r="A558" s="1" t="s">
        <v>881</v>
      </c>
      <c r="B558" s="3" t="e">
        <f>IF(ISTEXT(([0]!P_1_10.2.14.3.1 [0]!Qté)),0,([0]!P_1_10.2.14.3.1 [0]!Qté))</f>
        <v>#REF!</v>
      </c>
      <c r="C558" s="2" t="e">
        <f>([0]!P_1_10.2.14.3.1 [0]!PU)</f>
        <v>#REF!</v>
      </c>
      <c r="D558" s="2" t="e">
        <f>IF(ISTEXT(([0]!P_1_10.2.14.3.1 [0]!MT)),0,([0]!P_1_10.2.14.3.1 [0]!MT))</f>
        <v>#REF!</v>
      </c>
    </row>
    <row r="559" spans="1:4" x14ac:dyDescent="0.25">
      <c r="A559" s="1" t="s">
        <v>882</v>
      </c>
      <c r="B559" s="3" t="e">
        <f>IF(ISTEXT(([0]!P_1_10.2.14.3.2 [0]!Qté)),0,([0]!P_1_10.2.14.3.2 [0]!Qté))</f>
        <v>#REF!</v>
      </c>
      <c r="C559" s="2" t="e">
        <f>([0]!P_1_10.2.14.3.2 [0]!PU)</f>
        <v>#REF!</v>
      </c>
      <c r="D559" s="2" t="e">
        <f>IF(ISTEXT(([0]!P_1_10.2.14.3.2 [0]!MT)),0,([0]!P_1_10.2.14.3.2 [0]!MT))</f>
        <v>#REF!</v>
      </c>
    </row>
    <row r="560" spans="1:4" x14ac:dyDescent="0.25">
      <c r="A560" s="1" t="s">
        <v>883</v>
      </c>
      <c r="B560" s="3" t="e">
        <f>IF(ISTEXT(([0]!P_1_10.2.14.3.3 [0]!Qté)),0,([0]!P_1_10.2.14.3.3 [0]!Qté))</f>
        <v>#REF!</v>
      </c>
      <c r="C560" s="2" t="e">
        <f>([0]!P_1_10.2.14.3.3 [0]!PU)</f>
        <v>#REF!</v>
      </c>
      <c r="D560" s="2" t="e">
        <f>IF(ISTEXT(([0]!P_1_10.2.14.3.3 [0]!MT)),0,([0]!P_1_10.2.14.3.3 [0]!MT))</f>
        <v>#REF!</v>
      </c>
    </row>
    <row r="561" spans="1:4" x14ac:dyDescent="0.25">
      <c r="A561" s="1" t="s">
        <v>884</v>
      </c>
      <c r="B561" s="3" t="e">
        <f>IF(ISTEXT(([0]!P_1_10.2.14.3.4 [0]!Qté)),0,([0]!P_1_10.2.14.3.4 [0]!Qté))</f>
        <v>#REF!</v>
      </c>
      <c r="C561" s="2" t="e">
        <f>([0]!P_1_10.2.14.3.4 [0]!PU)</f>
        <v>#REF!</v>
      </c>
      <c r="D561" s="2" t="e">
        <f>IF(ISTEXT(([0]!P_1_10.2.14.3.4 [0]!MT)),0,([0]!P_1_10.2.14.3.4 [0]!MT))</f>
        <v>#REF!</v>
      </c>
    </row>
    <row r="562" spans="1:4" x14ac:dyDescent="0.25">
      <c r="A562" s="1" t="s">
        <v>469</v>
      </c>
      <c r="B562" s="3" t="e">
        <f>IF(ISTEXT(([0]!P_1_10.2.14.3.5 [0]!Qté)),0,([0]!P_1_10.2.14.3.5 [0]!Qté))</f>
        <v>#REF!</v>
      </c>
      <c r="C562" s="2" t="e">
        <f>([0]!P_1_10.2.14.3.5 [0]!PU)</f>
        <v>#REF!</v>
      </c>
      <c r="D562" s="2" t="e">
        <f>IF(ISTEXT(([0]!P_1_10.2.14.3.5 [0]!MT)),0,([0]!P_1_10.2.14.3.5 [0]!MT))</f>
        <v>#REF!</v>
      </c>
    </row>
    <row r="563" spans="1:4" x14ac:dyDescent="0.25">
      <c r="A563" s="1" t="s">
        <v>885</v>
      </c>
      <c r="B563" s="3" t="e">
        <f>IF(ISTEXT(([0]!P_1_10.2.14.3.6 [0]!Qté)),0,([0]!P_1_10.2.14.3.6 [0]!Qté))</f>
        <v>#REF!</v>
      </c>
      <c r="C563" s="2" t="e">
        <f>([0]!P_1_10.2.14.3.6 [0]!PU)</f>
        <v>#REF!</v>
      </c>
      <c r="D563" s="2" t="e">
        <f>IF(ISTEXT(([0]!P_1_10.2.14.3.6 [0]!MT)),0,([0]!P_1_10.2.14.3.6 [0]!MT))</f>
        <v>#REF!</v>
      </c>
    </row>
    <row r="564" spans="1:4" x14ac:dyDescent="0.25">
      <c r="A564" s="1" t="s">
        <v>886</v>
      </c>
      <c r="B564" s="3" t="e">
        <f>IF(ISTEXT(([0]!P_1_10.2.14.4.1 [0]!Qté)),0,([0]!P_1_10.2.14.4.1 [0]!Qté))</f>
        <v>#REF!</v>
      </c>
      <c r="C564" s="2" t="e">
        <f>([0]!P_1_10.2.14.4.1 [0]!PU)</f>
        <v>#REF!</v>
      </c>
      <c r="D564" s="2" t="e">
        <f>IF(ISTEXT(([0]!P_1_10.2.14.4.1 [0]!MT)),0,([0]!P_1_10.2.14.4.1 [0]!MT))</f>
        <v>#REF!</v>
      </c>
    </row>
    <row r="565" spans="1:4" x14ac:dyDescent="0.25">
      <c r="A565" s="1" t="s">
        <v>887</v>
      </c>
      <c r="B565" s="3" t="e">
        <f>IF(ISTEXT(([0]!P_1_10.2.14.4.2 [0]!Qté)),0,([0]!P_1_10.2.14.4.2 [0]!Qté))</f>
        <v>#REF!</v>
      </c>
      <c r="C565" s="2" t="e">
        <f>([0]!P_1_10.2.14.4.2 [0]!PU)</f>
        <v>#REF!</v>
      </c>
      <c r="D565" s="2" t="e">
        <f>IF(ISTEXT(([0]!P_1_10.2.14.4.2 [0]!MT)),0,([0]!P_1_10.2.14.4.2 [0]!MT))</f>
        <v>#REF!</v>
      </c>
    </row>
    <row r="566" spans="1:4" x14ac:dyDescent="0.25">
      <c r="A566" s="1" t="s">
        <v>888</v>
      </c>
      <c r="B566" s="3" t="e">
        <f>IF(ISTEXT(([0]!P_1_10.2.14.4.3 [0]!Qté)),0,([0]!P_1_10.2.14.4.3 [0]!Qté))</f>
        <v>#REF!</v>
      </c>
      <c r="C566" s="2" t="e">
        <f>([0]!P_1_10.2.14.4.3 [0]!PU)</f>
        <v>#REF!</v>
      </c>
      <c r="D566" s="2" t="e">
        <f>IF(ISTEXT(([0]!P_1_10.2.14.4.3 [0]!MT)),0,([0]!P_1_10.2.14.4.3 [0]!MT))</f>
        <v>#REF!</v>
      </c>
    </row>
    <row r="567" spans="1:4" x14ac:dyDescent="0.25">
      <c r="A567" s="1" t="s">
        <v>889</v>
      </c>
      <c r="B567" s="3" t="e">
        <f>IF(ISTEXT(([0]!P_1_10.2.14.4.4 [0]!Qté)),0,([0]!P_1_10.2.14.4.4 [0]!Qté))</f>
        <v>#REF!</v>
      </c>
      <c r="C567" s="2" t="e">
        <f>([0]!P_1_10.2.14.4.4 [0]!PU)</f>
        <v>#REF!</v>
      </c>
      <c r="D567" s="2" t="e">
        <f>IF(ISTEXT(([0]!P_1_10.2.14.4.4 [0]!MT)),0,([0]!P_1_10.2.14.4.4 [0]!MT))</f>
        <v>#REF!</v>
      </c>
    </row>
    <row r="568" spans="1:4" x14ac:dyDescent="0.25">
      <c r="A568" s="1" t="s">
        <v>890</v>
      </c>
      <c r="B568" s="3" t="e">
        <f>IF(ISTEXT(([0]!P_1_10.2.14.4.5 [0]!Qté)),0,([0]!P_1_10.2.14.4.5 [0]!Qté))</f>
        <v>#REF!</v>
      </c>
      <c r="C568" s="2" t="e">
        <f>([0]!P_1_10.2.14.4.5 [0]!PU)</f>
        <v>#REF!</v>
      </c>
      <c r="D568" s="2" t="e">
        <f>IF(ISTEXT(([0]!P_1_10.2.14.4.5 [0]!MT)),0,([0]!P_1_10.2.14.4.5 [0]!MT))</f>
        <v>#REF!</v>
      </c>
    </row>
    <row r="569" spans="1:4" x14ac:dyDescent="0.25">
      <c r="A569" s="1" t="s">
        <v>470</v>
      </c>
      <c r="B569" s="3" t="e">
        <f>IF(ISTEXT(([0]!P_1_10.2.14.4.6 [0]!Qté)),0,([0]!P_1_10.2.14.4.6 [0]!Qté))</f>
        <v>#REF!</v>
      </c>
      <c r="C569" s="2" t="e">
        <f>([0]!P_1_10.2.14.4.6 [0]!PU)</f>
        <v>#REF!</v>
      </c>
      <c r="D569" s="2" t="e">
        <f>IF(ISTEXT(([0]!P_1_10.2.14.4.6 [0]!MT)),0,([0]!P_1_10.2.14.4.6 [0]!MT))</f>
        <v>#REF!</v>
      </c>
    </row>
    <row r="570" spans="1:4" x14ac:dyDescent="0.25">
      <c r="A570" s="1" t="s">
        <v>891</v>
      </c>
      <c r="B570" s="3" t="e">
        <f>IF(ISTEXT(([0]!P_1_10.2.15.1 [0]!Qté)),0,([0]!P_1_10.2.15.1 [0]!Qté))</f>
        <v>#REF!</v>
      </c>
      <c r="C570" s="2" t="e">
        <f>([0]!P_1_10.2.15.1 [0]!PU)</f>
        <v>#REF!</v>
      </c>
      <c r="D570" s="2" t="e">
        <f>IF(ISTEXT(([0]!P_1_10.2.15.1 [0]!MT)),0,([0]!P_1_10.2.15.1 [0]!MT))</f>
        <v>#REF!</v>
      </c>
    </row>
    <row r="571" spans="1:4" x14ac:dyDescent="0.25">
      <c r="A571" s="1" t="s">
        <v>892</v>
      </c>
      <c r="B571" s="3" t="e">
        <f>IF(ISTEXT(([0]!P_1_10.2.15.2 [0]!Qté)),0,([0]!P_1_10.2.15.2 [0]!Qté))</f>
        <v>#REF!</v>
      </c>
      <c r="C571" s="2" t="e">
        <f>([0]!P_1_10.2.15.2 [0]!PU)</f>
        <v>#REF!</v>
      </c>
      <c r="D571" s="2" t="e">
        <f>IF(ISTEXT(([0]!P_1_10.2.15.2 [0]!MT)),0,([0]!P_1_10.2.15.2 [0]!MT))</f>
        <v>#REF!</v>
      </c>
    </row>
    <row r="572" spans="1:4" x14ac:dyDescent="0.25">
      <c r="A572" s="1" t="s">
        <v>893</v>
      </c>
      <c r="B572" s="3" t="e">
        <f>IF(ISTEXT(([0]!P_1_10.2.15.3 [0]!Qté)),0,([0]!P_1_10.2.15.3 [0]!Qté))</f>
        <v>#REF!</v>
      </c>
      <c r="C572" s="2" t="e">
        <f>([0]!P_1_10.2.15.3 [0]!PU)</f>
        <v>#REF!</v>
      </c>
      <c r="D572" s="2" t="e">
        <f>IF(ISTEXT(([0]!P_1_10.2.15.3 [0]!MT)),0,([0]!P_1_10.2.15.3 [0]!MT))</f>
        <v>#REF!</v>
      </c>
    </row>
    <row r="573" spans="1:4" x14ac:dyDescent="0.25">
      <c r="A573" s="1" t="s">
        <v>894</v>
      </c>
      <c r="B573" s="3" t="e">
        <f>IF(ISTEXT(([0]!P_1_10.2.15.4 [0]!Qté)),0,([0]!P_1_10.2.15.4 [0]!Qté))</f>
        <v>#REF!</v>
      </c>
      <c r="C573" s="2" t="e">
        <f>([0]!P_1_10.2.15.4 [0]!PU)</f>
        <v>#REF!</v>
      </c>
      <c r="D573" s="2" t="e">
        <f>IF(ISTEXT(([0]!P_1_10.2.15.4 [0]!MT)),0,([0]!P_1_10.2.15.4 [0]!MT))</f>
        <v>#REF!</v>
      </c>
    </row>
    <row r="574" spans="1:4" x14ac:dyDescent="0.25">
      <c r="A574" s="1" t="s">
        <v>472</v>
      </c>
      <c r="B574" s="3" t="e">
        <f>IF(ISTEXT(([0]!P_1_10.3.1 [0]!Qté)),0,([0]!P_1_10.3.1 [0]!Qté))</f>
        <v>#REF!</v>
      </c>
      <c r="C574" s="2" t="e">
        <f>([0]!P_1_10.3.1 [0]!PU)</f>
        <v>#REF!</v>
      </c>
      <c r="D574" s="2" t="e">
        <f>IF(ISTEXT(([0]!P_1_10.3.1 [0]!MT)),0,([0]!P_1_10.3.1 [0]!MT))</f>
        <v>#REF!</v>
      </c>
    </row>
    <row r="575" spans="1:4" x14ac:dyDescent="0.25">
      <c r="A575" s="1" t="s">
        <v>473</v>
      </c>
      <c r="B575" s="3" t="e">
        <f>IF(ISTEXT(([0]!P_1_10.3.2 [0]!Qté)),0,([0]!P_1_10.3.2 [0]!Qté))</f>
        <v>#REF!</v>
      </c>
      <c r="C575" s="2" t="e">
        <f>([0]!P_1_10.3.2 [0]!PU)</f>
        <v>#REF!</v>
      </c>
      <c r="D575" s="2" t="e">
        <f>IF(ISTEXT(([0]!P_1_10.3.2 [0]!MT)),0,([0]!P_1_10.3.2 [0]!MT))</f>
        <v>#REF!</v>
      </c>
    </row>
    <row r="576" spans="1:4" x14ac:dyDescent="0.25">
      <c r="A576" s="1" t="s">
        <v>474</v>
      </c>
      <c r="B576" s="3" t="e">
        <f>IF(ISTEXT(([0]!P_1_10.3.3 [0]!Qté)),0,([0]!P_1_10.3.3 [0]!Qté))</f>
        <v>#REF!</v>
      </c>
      <c r="C576" s="2" t="e">
        <f>([0]!P_1_10.3.3 [0]!PU)</f>
        <v>#REF!</v>
      </c>
      <c r="D576" s="2" t="e">
        <f>IF(ISTEXT(([0]!P_1_10.3.3 [0]!MT)),0,([0]!P_1_10.3.3 [0]!MT))</f>
        <v>#REF!</v>
      </c>
    </row>
    <row r="577" spans="1:4" x14ac:dyDescent="0.25">
      <c r="A577" s="1" t="s">
        <v>475</v>
      </c>
      <c r="B577" s="3" t="e">
        <f>IF(ISTEXT(([0]!P_1_10.3.4 [0]!Qté)),0,([0]!P_1_10.3.4 [0]!Qté))</f>
        <v>#REF!</v>
      </c>
      <c r="C577" s="2" t="e">
        <f>([0]!P_1_10.3.4 [0]!PU)</f>
        <v>#REF!</v>
      </c>
      <c r="D577" s="2" t="e">
        <f>IF(ISTEXT(([0]!P_1_10.3.4 [0]!MT)),0,([0]!P_1_10.3.4 [0]!MT))</f>
        <v>#REF!</v>
      </c>
    </row>
    <row r="578" spans="1:4" x14ac:dyDescent="0.25">
      <c r="A578" s="1" t="s">
        <v>476</v>
      </c>
      <c r="B578" s="3" t="e">
        <f>IF(ISTEXT(([0]!P_1_10.3.5 [0]!Qté)),0,([0]!P_1_10.3.5 [0]!Qté))</f>
        <v>#REF!</v>
      </c>
      <c r="C578" s="2" t="e">
        <f>([0]!P_1_10.3.5 [0]!PU)</f>
        <v>#REF!</v>
      </c>
      <c r="D578" s="2" t="e">
        <f>IF(ISTEXT(([0]!P_1_10.3.5 [0]!MT)),0,([0]!P_1_10.3.5 [0]!MT))</f>
        <v>#REF!</v>
      </c>
    </row>
    <row r="579" spans="1:4" x14ac:dyDescent="0.25">
      <c r="A579" s="1" t="s">
        <v>477</v>
      </c>
      <c r="B579" s="3" t="e">
        <f>IF(ISTEXT(([0]!P_1_10.3.6 [0]!Qté)),0,([0]!P_1_10.3.6 [0]!Qté))</f>
        <v>#REF!</v>
      </c>
      <c r="C579" s="2" t="e">
        <f>([0]!P_1_10.3.6 [0]!PU)</f>
        <v>#REF!</v>
      </c>
      <c r="D579" s="2" t="e">
        <f>IF(ISTEXT(([0]!P_1_10.3.6 [0]!MT)),0,([0]!P_1_10.3.6 [0]!MT))</f>
        <v>#REF!</v>
      </c>
    </row>
    <row r="580" spans="1:4" x14ac:dyDescent="0.25">
      <c r="A580" s="1" t="s">
        <v>478</v>
      </c>
      <c r="B580" s="3" t="e">
        <f>IF(ISTEXT(([0]!P_1_10.3.7 [0]!Qté)),0,([0]!P_1_10.3.7 [0]!Qté))</f>
        <v>#REF!</v>
      </c>
      <c r="C580" s="2" t="e">
        <f>([0]!P_1_10.3.7 [0]!PU)</f>
        <v>#REF!</v>
      </c>
      <c r="D580" s="2" t="e">
        <f>IF(ISTEXT(([0]!P_1_10.3.7 [0]!MT)),0,([0]!P_1_10.3.7 [0]!MT))</f>
        <v>#REF!</v>
      </c>
    </row>
    <row r="581" spans="1:4" x14ac:dyDescent="0.25">
      <c r="A581" s="1" t="s">
        <v>479</v>
      </c>
      <c r="B581" s="3" t="e">
        <f>IF(ISTEXT(([0]!P_1_10.3.8 [0]!Qté)),0,([0]!P_1_10.3.8 [0]!Qté))</f>
        <v>#REF!</v>
      </c>
      <c r="C581" s="2" t="e">
        <f>([0]!P_1_10.3.8 [0]!PU)</f>
        <v>#REF!</v>
      </c>
      <c r="D581" s="2" t="e">
        <f>IF(ISTEXT(([0]!P_1_10.3.8 [0]!MT)),0,([0]!P_1_10.3.8 [0]!MT))</f>
        <v>#REF!</v>
      </c>
    </row>
    <row r="582" spans="1:4" x14ac:dyDescent="0.25">
      <c r="A582" s="1" t="s">
        <v>480</v>
      </c>
      <c r="B582" s="3" t="e">
        <f>IF(ISTEXT(([0]!P_1_10.3.9 [0]!Qté)),0,([0]!P_1_10.3.9 [0]!Qté))</f>
        <v>#REF!</v>
      </c>
      <c r="C582" s="2" t="e">
        <f>([0]!P_1_10.3.9 [0]!PU)</f>
        <v>#REF!</v>
      </c>
      <c r="D582" s="2" t="e">
        <f>IF(ISTEXT(([0]!P_1_10.3.9 [0]!MT)),0,([0]!P_1_10.3.9 [0]!MT))</f>
        <v>#REF!</v>
      </c>
    </row>
    <row r="583" spans="1:4" x14ac:dyDescent="0.25">
      <c r="A583" s="1" t="s">
        <v>481</v>
      </c>
      <c r="B583" s="3" t="e">
        <f>IF(ISTEXT(([0]!P_1_10.3.10 [0]!Qté)),0,([0]!P_1_10.3.10 [0]!Qté))</f>
        <v>#REF!</v>
      </c>
      <c r="C583" s="2" t="e">
        <f>([0]!P_1_10.3.10 [0]!PU)</f>
        <v>#REF!</v>
      </c>
      <c r="D583" s="2" t="e">
        <f>IF(ISTEXT(([0]!P_1_10.3.10 [0]!MT)),0,([0]!P_1_10.3.10 [0]!MT))</f>
        <v>#REF!</v>
      </c>
    </row>
    <row r="584" spans="1:4" x14ac:dyDescent="0.25">
      <c r="A584" s="1" t="s">
        <v>482</v>
      </c>
      <c r="B584" s="3" t="e">
        <f>IF(ISTEXT(([0]!P_1_10.3.11 [0]!Qté)),0,([0]!P_1_10.3.11 [0]!Qté))</f>
        <v>#REF!</v>
      </c>
      <c r="C584" s="2" t="e">
        <f>([0]!P_1_10.3.11 [0]!PU)</f>
        <v>#REF!</v>
      </c>
      <c r="D584" s="2" t="e">
        <f>IF(ISTEXT(([0]!P_1_10.3.11 [0]!MT)),0,([0]!P_1_10.3.11 [0]!MT))</f>
        <v>#REF!</v>
      </c>
    </row>
    <row r="585" spans="1:4" x14ac:dyDescent="0.25">
      <c r="A585" s="1" t="s">
        <v>483</v>
      </c>
      <c r="B585" s="3" t="e">
        <f>IF(ISTEXT(([0]!P_1_10.3.12 [0]!Qté)),0,([0]!P_1_10.3.12 [0]!Qté))</f>
        <v>#REF!</v>
      </c>
      <c r="C585" s="2" t="e">
        <f>([0]!P_1_10.3.12 [0]!PU)</f>
        <v>#REF!</v>
      </c>
      <c r="D585" s="2" t="e">
        <f>IF(ISTEXT(([0]!P_1_10.3.12 [0]!MT)),0,([0]!P_1_10.3.12 [0]!MT))</f>
        <v>#REF!</v>
      </c>
    </row>
    <row r="586" spans="1:4" x14ac:dyDescent="0.25">
      <c r="A586" s="1" t="s">
        <v>484</v>
      </c>
      <c r="B586" s="3" t="e">
        <f>IF(ISTEXT(([0]!P_1_10.3.13 [0]!Qté)),0,([0]!P_1_10.3.13 [0]!Qté))</f>
        <v>#REF!</v>
      </c>
      <c r="C586" s="2" t="e">
        <f>([0]!P_1_10.3.13 [0]!PU)</f>
        <v>#REF!</v>
      </c>
      <c r="D586" s="2" t="e">
        <f>IF(ISTEXT(([0]!P_1_10.3.13 [0]!MT)),0,([0]!P_1_10.3.13 [0]!MT))</f>
        <v>#REF!</v>
      </c>
    </row>
    <row r="587" spans="1:4" x14ac:dyDescent="0.25">
      <c r="A587" s="1" t="s">
        <v>485</v>
      </c>
      <c r="B587" s="3" t="e">
        <f>IF(ISTEXT(([0]!P_1_10.3.14 [0]!Qté)),0,([0]!P_1_10.3.14 [0]!Qté))</f>
        <v>#REF!</v>
      </c>
      <c r="C587" s="2" t="e">
        <f>([0]!P_1_10.3.14 [0]!PU)</f>
        <v>#REF!</v>
      </c>
      <c r="D587" s="2" t="e">
        <f>IF(ISTEXT(([0]!P_1_10.3.14 [0]!MT)),0,([0]!P_1_10.3.14 [0]!MT))</f>
        <v>#REF!</v>
      </c>
    </row>
    <row r="588" spans="1:4" x14ac:dyDescent="0.25">
      <c r="A588" s="1" t="s">
        <v>486</v>
      </c>
      <c r="B588" s="3" t="e">
        <f>IF(ISTEXT(([0]!P_1_10.3.15 [0]!Qté)),0,([0]!P_1_10.3.15 [0]!Qté))</f>
        <v>#REF!</v>
      </c>
      <c r="C588" s="2" t="e">
        <f>([0]!P_1_10.3.15 [0]!PU)</f>
        <v>#REF!</v>
      </c>
      <c r="D588" s="2" t="e">
        <f>IF(ISTEXT(([0]!P_1_10.3.15 [0]!MT)),0,([0]!P_1_10.3.15 [0]!MT))</f>
        <v>#REF!</v>
      </c>
    </row>
    <row r="589" spans="1:4" x14ac:dyDescent="0.25">
      <c r="A589" s="1" t="s">
        <v>487</v>
      </c>
      <c r="B589" s="3" t="e">
        <f>IF(ISTEXT(([0]!P_1_10.3.16 [0]!Qté)),0,([0]!P_1_10.3.16 [0]!Qté))</f>
        <v>#REF!</v>
      </c>
      <c r="C589" s="2" t="e">
        <f>([0]!P_1_10.3.16 [0]!PU)</f>
        <v>#REF!</v>
      </c>
      <c r="D589" s="2" t="e">
        <f>IF(ISTEXT(([0]!P_1_10.3.16 [0]!MT)),0,([0]!P_1_10.3.16 [0]!MT))</f>
        <v>#REF!</v>
      </c>
    </row>
    <row r="590" spans="1:4" x14ac:dyDescent="0.25">
      <c r="A590" s="1" t="s">
        <v>488</v>
      </c>
      <c r="B590" s="3" t="e">
        <f>IF(ISTEXT(([0]!P_1_10.3.17 [0]!Qté)),0,([0]!P_1_10.3.17 [0]!Qté))</f>
        <v>#REF!</v>
      </c>
      <c r="C590" s="2" t="e">
        <f>([0]!P_1_10.3.17 [0]!PU)</f>
        <v>#REF!</v>
      </c>
      <c r="D590" s="2" t="e">
        <f>IF(ISTEXT(([0]!P_1_10.3.17 [0]!MT)),0,([0]!P_1_10.3.17 [0]!MT))</f>
        <v>#REF!</v>
      </c>
    </row>
    <row r="591" spans="1:4" x14ac:dyDescent="0.25">
      <c r="A591" s="1" t="s">
        <v>489</v>
      </c>
      <c r="B591" s="3" t="e">
        <f>IF(ISTEXT(([0]!P_1_10.3.18 [0]!Qté)),0,([0]!P_1_10.3.18 [0]!Qté))</f>
        <v>#REF!</v>
      </c>
      <c r="C591" s="2" t="e">
        <f>([0]!P_1_10.3.18 [0]!PU)</f>
        <v>#REF!</v>
      </c>
      <c r="D591" s="2" t="e">
        <f>IF(ISTEXT(([0]!P_1_10.3.18 [0]!MT)),0,([0]!P_1_10.3.18 [0]!MT))</f>
        <v>#REF!</v>
      </c>
    </row>
    <row r="592" spans="1:4" x14ac:dyDescent="0.25">
      <c r="A592" s="1" t="s">
        <v>490</v>
      </c>
      <c r="B592" s="3" t="e">
        <f>IF(ISTEXT(([0]!P_1_10.3.19 [0]!Qté)),0,([0]!P_1_10.3.19 [0]!Qté))</f>
        <v>#REF!</v>
      </c>
      <c r="C592" s="2" t="e">
        <f>([0]!P_1_10.3.19 [0]!PU)</f>
        <v>#REF!</v>
      </c>
      <c r="D592" s="2" t="e">
        <f>IF(ISTEXT(([0]!P_1_10.3.19 [0]!MT)),0,([0]!P_1_10.3.19 [0]!MT))</f>
        <v>#REF!</v>
      </c>
    </row>
    <row r="593" spans="1:4" x14ac:dyDescent="0.25">
      <c r="A593" s="1" t="s">
        <v>491</v>
      </c>
      <c r="B593" s="3" t="e">
        <f>IF(ISTEXT(([0]!P_1_10.3.20 [0]!Qté)),0,([0]!P_1_10.3.20 [0]!Qté))</f>
        <v>#REF!</v>
      </c>
      <c r="C593" s="2" t="e">
        <f>([0]!P_1_10.3.20 [0]!PU)</f>
        <v>#REF!</v>
      </c>
      <c r="D593" s="2" t="e">
        <f>IF(ISTEXT(([0]!P_1_10.3.20 [0]!MT)),0,([0]!P_1_10.3.20 [0]!MT))</f>
        <v>#REF!</v>
      </c>
    </row>
    <row r="594" spans="1:4" x14ac:dyDescent="0.25">
      <c r="A594" s="1" t="s">
        <v>492</v>
      </c>
      <c r="B594" s="3" t="e">
        <f>IF(ISTEXT(([0]!P_1_10.3.21 [0]!Qté)),0,([0]!P_1_10.3.21 [0]!Qté))</f>
        <v>#REF!</v>
      </c>
      <c r="C594" s="2" t="e">
        <f>([0]!P_1_10.3.21 [0]!PU)</f>
        <v>#REF!</v>
      </c>
      <c r="D594" s="2" t="e">
        <f>IF(ISTEXT(([0]!P_1_10.3.21 [0]!MT)),0,([0]!P_1_10.3.21 [0]!MT))</f>
        <v>#REF!</v>
      </c>
    </row>
    <row r="595" spans="1:4" x14ac:dyDescent="0.25">
      <c r="A595" s="1" t="s">
        <v>494</v>
      </c>
      <c r="B595" s="3" t="e">
        <f>IF(ISTEXT(([0]!P_1_10.4.1 [0]!Qté)),0,([0]!P_1_10.4.1 [0]!Qté))</f>
        <v>#REF!</v>
      </c>
      <c r="C595" s="2" t="e">
        <f>([0]!P_1_10.4.1 [0]!PU)</f>
        <v>#REF!</v>
      </c>
      <c r="D595" s="2" t="e">
        <f>IF(ISTEXT(([0]!P_1_10.4.1 [0]!MT)),0,([0]!P_1_10.4.1 [0]!MT))</f>
        <v>#REF!</v>
      </c>
    </row>
    <row r="596" spans="1:4" x14ac:dyDescent="0.25">
      <c r="A596" s="1" t="s">
        <v>495</v>
      </c>
      <c r="B596" s="3" t="e">
        <f>IF(ISTEXT(([0]!P_1_10.4.2 [0]!Qté)),0,([0]!P_1_10.4.2 [0]!Qté))</f>
        <v>#REF!</v>
      </c>
      <c r="C596" s="2" t="e">
        <f>([0]!P_1_10.4.2 [0]!PU)</f>
        <v>#REF!</v>
      </c>
      <c r="D596" s="2" t="e">
        <f>IF(ISTEXT(([0]!P_1_10.4.2 [0]!MT)),0,([0]!P_1_10.4.2 [0]!MT))</f>
        <v>#REF!</v>
      </c>
    </row>
    <row r="597" spans="1:4" x14ac:dyDescent="0.25">
      <c r="A597" s="1" t="s">
        <v>496</v>
      </c>
      <c r="B597" s="3" t="e">
        <f>IF(ISTEXT(([0]!P_1_10.4.3 [0]!Qté)),0,([0]!P_1_10.4.3 [0]!Qté))</f>
        <v>#REF!</v>
      </c>
      <c r="C597" s="2" t="e">
        <f>([0]!P_1_10.4.3 [0]!PU)</f>
        <v>#REF!</v>
      </c>
      <c r="D597" s="2" t="e">
        <f>IF(ISTEXT(([0]!P_1_10.4.3 [0]!MT)),0,([0]!P_1_10.4.3 [0]!MT))</f>
        <v>#REF!</v>
      </c>
    </row>
    <row r="598" spans="1:4" x14ac:dyDescent="0.25">
      <c r="A598" s="1" t="s">
        <v>497</v>
      </c>
      <c r="B598" s="3" t="e">
        <f>IF(ISTEXT(([0]!P_1_10.4.4 [0]!Qté)),0,([0]!P_1_10.4.4 [0]!Qté))</f>
        <v>#REF!</v>
      </c>
      <c r="C598" s="2" t="e">
        <f>([0]!P_1_10.4.4 [0]!PU)</f>
        <v>#REF!</v>
      </c>
      <c r="D598" s="2" t="e">
        <f>IF(ISTEXT(([0]!P_1_10.4.4 [0]!MT)),0,([0]!P_1_10.4.4 [0]!MT))</f>
        <v>#REF!</v>
      </c>
    </row>
    <row r="599" spans="1:4" x14ac:dyDescent="0.25">
      <c r="A599" s="1" t="s">
        <v>498</v>
      </c>
      <c r="B599" s="3" t="e">
        <f>IF(ISTEXT(([0]!P_1_10.4.5 [0]!Qté)),0,([0]!P_1_10.4.5 [0]!Qté))</f>
        <v>#REF!</v>
      </c>
      <c r="C599" s="2" t="e">
        <f>([0]!P_1_10.4.5 [0]!PU)</f>
        <v>#REF!</v>
      </c>
      <c r="D599" s="2" t="e">
        <f>IF(ISTEXT(([0]!P_1_10.4.5 [0]!MT)),0,([0]!P_1_10.4.5 [0]!MT))</f>
        <v>#REF!</v>
      </c>
    </row>
    <row r="600" spans="1:4" x14ac:dyDescent="0.25">
      <c r="A600" s="1" t="s">
        <v>499</v>
      </c>
      <c r="B600" s="3" t="e">
        <f>IF(ISTEXT(([0]!P_1_10.4.6 [0]!Qté)),0,([0]!P_1_10.4.6 [0]!Qté))</f>
        <v>#REF!</v>
      </c>
      <c r="C600" s="2" t="e">
        <f>([0]!P_1_10.4.6 [0]!PU)</f>
        <v>#REF!</v>
      </c>
      <c r="D600" s="2" t="e">
        <f>IF(ISTEXT(([0]!P_1_10.4.6 [0]!MT)),0,([0]!P_1_10.4.6 [0]!MT))</f>
        <v>#REF!</v>
      </c>
    </row>
    <row r="601" spans="1:4" x14ac:dyDescent="0.25">
      <c r="A601" s="1" t="s">
        <v>500</v>
      </c>
      <c r="B601" s="3" t="e">
        <f>IF(ISTEXT(([0]!P_1_10.4.7 [0]!Qté)),0,([0]!P_1_10.4.7 [0]!Qté))</f>
        <v>#REF!</v>
      </c>
      <c r="C601" s="2" t="e">
        <f>([0]!P_1_10.4.7 [0]!PU)</f>
        <v>#REF!</v>
      </c>
      <c r="D601" s="2" t="e">
        <f>IF(ISTEXT(([0]!P_1_10.4.7 [0]!MT)),0,([0]!P_1_10.4.7 [0]!MT))</f>
        <v>#REF!</v>
      </c>
    </row>
    <row r="602" spans="1:4" x14ac:dyDescent="0.25">
      <c r="A602" s="1" t="s">
        <v>501</v>
      </c>
      <c r="B602" s="3" t="e">
        <f>IF(ISTEXT(([0]!P_1_10.4.8 [0]!Qté)),0,([0]!P_1_10.4.8 [0]!Qté))</f>
        <v>#REF!</v>
      </c>
      <c r="C602" s="2" t="e">
        <f>([0]!P_1_10.4.8 [0]!PU)</f>
        <v>#REF!</v>
      </c>
      <c r="D602" s="2" t="e">
        <f>IF(ISTEXT(([0]!P_1_10.4.8 [0]!MT)),0,([0]!P_1_10.4.8 [0]!MT))</f>
        <v>#REF!</v>
      </c>
    </row>
    <row r="603" spans="1:4" x14ac:dyDescent="0.25">
      <c r="A603" s="1" t="s">
        <v>502</v>
      </c>
      <c r="B603" s="3" t="e">
        <f>IF(ISTEXT(([0]!P_1_10.4.9 [0]!Qté)),0,([0]!P_1_10.4.9 [0]!Qté))</f>
        <v>#REF!</v>
      </c>
      <c r="C603" s="2" t="e">
        <f>([0]!P_1_10.4.9 [0]!PU)</f>
        <v>#REF!</v>
      </c>
      <c r="D603" s="2" t="e">
        <f>IF(ISTEXT(([0]!P_1_10.4.9 [0]!MT)),0,([0]!P_1_10.4.9 [0]!MT))</f>
        <v>#REF!</v>
      </c>
    </row>
    <row r="604" spans="1:4" x14ac:dyDescent="0.25">
      <c r="A604" s="1" t="s">
        <v>503</v>
      </c>
      <c r="B604" s="3" t="e">
        <f>IF(ISTEXT(([0]!P_1_10.4.10 [0]!Qté)),0,([0]!P_1_10.4.10 [0]!Qté))</f>
        <v>#REF!</v>
      </c>
      <c r="C604" s="2" t="e">
        <f>([0]!P_1_10.4.10 [0]!PU)</f>
        <v>#REF!</v>
      </c>
      <c r="D604" s="2" t="e">
        <f>IF(ISTEXT(([0]!P_1_10.4.10 [0]!MT)),0,([0]!P_1_10.4.10 [0]!MT))</f>
        <v>#REF!</v>
      </c>
    </row>
    <row r="605" spans="1:4" x14ac:dyDescent="0.25">
      <c r="A605" s="1" t="s">
        <v>504</v>
      </c>
      <c r="B605" s="3" t="e">
        <f>IF(ISTEXT(([0]!P_1_10.4.11 [0]!Qté)),0,([0]!P_1_10.4.11 [0]!Qté))</f>
        <v>#REF!</v>
      </c>
      <c r="C605" s="2" t="e">
        <f>([0]!P_1_10.4.11 [0]!PU)</f>
        <v>#REF!</v>
      </c>
      <c r="D605" s="2" t="e">
        <f>IF(ISTEXT(([0]!P_1_10.4.11 [0]!MT)),0,([0]!P_1_10.4.11 [0]!MT))</f>
        <v>#REF!</v>
      </c>
    </row>
    <row r="606" spans="1:4" x14ac:dyDescent="0.25">
      <c r="A606" s="1" t="s">
        <v>1193</v>
      </c>
      <c r="B606" s="3" t="e">
        <f>IF(ISTEXT(([0]!P_1_10.4.12 [0]!Qté)),0,([0]!P_1_10.4.12 [0]!Qté))</f>
        <v>#REF!</v>
      </c>
      <c r="C606" s="2" t="e">
        <f>([0]!P_1_10.4.12 [0]!PU)</f>
        <v>#REF!</v>
      </c>
      <c r="D606" s="2" t="e">
        <f>IF(ISTEXT(([0]!P_1_10.4.12 [0]!MT)),0,([0]!P_1_10.4.12 [0]!MT))</f>
        <v>#REF!</v>
      </c>
    </row>
    <row r="607" spans="1:4" x14ac:dyDescent="0.25">
      <c r="A607" s="1" t="s">
        <v>1194</v>
      </c>
      <c r="B607" s="3" t="e">
        <f>IF(ISTEXT(([0]!P_1_10.4.13 [0]!Qté)),0,([0]!P_1_10.4.13 [0]!Qté))</f>
        <v>#REF!</v>
      </c>
      <c r="C607" s="2" t="e">
        <f>([0]!P_1_10.4.13 [0]!PU)</f>
        <v>#REF!</v>
      </c>
      <c r="D607" s="2" t="e">
        <f>IF(ISTEXT(([0]!P_1_10.4.13 [0]!MT)),0,([0]!P_1_10.4.13 [0]!MT))</f>
        <v>#REF!</v>
      </c>
    </row>
    <row r="608" spans="1:4" x14ac:dyDescent="0.25">
      <c r="A608" s="1" t="s">
        <v>1195</v>
      </c>
      <c r="B608" s="3" t="e">
        <f>IF(ISTEXT(([0]!P_1_10.4.14 [0]!Qté)),0,([0]!P_1_10.4.14 [0]!Qté))</f>
        <v>#REF!</v>
      </c>
      <c r="C608" s="2" t="e">
        <f>([0]!P_1_10.4.14 [0]!PU)</f>
        <v>#REF!</v>
      </c>
      <c r="D608" s="2" t="e">
        <f>IF(ISTEXT(([0]!P_1_10.4.14 [0]!MT)),0,([0]!P_1_10.4.14 [0]!MT))</f>
        <v>#REF!</v>
      </c>
    </row>
    <row r="609" spans="1:4" x14ac:dyDescent="0.25">
      <c r="A609" s="1" t="s">
        <v>1196</v>
      </c>
      <c r="B609" s="3" t="e">
        <f>IF(ISTEXT(([0]!P_1_10.4.15 [0]!Qté)),0,([0]!P_1_10.4.15 [0]!Qté))</f>
        <v>#REF!</v>
      </c>
      <c r="C609" s="2" t="e">
        <f>([0]!P_1_10.4.15 [0]!PU)</f>
        <v>#REF!</v>
      </c>
      <c r="D609" s="2" t="e">
        <f>IF(ISTEXT(([0]!P_1_10.4.15 [0]!MT)),0,([0]!P_1_10.4.15 [0]!MT))</f>
        <v>#REF!</v>
      </c>
    </row>
    <row r="610" spans="1:4" x14ac:dyDescent="0.25">
      <c r="A610" s="1" t="s">
        <v>895</v>
      </c>
      <c r="B610" s="3" t="e">
        <f>IF(ISTEXT(([0]!P_1_11.1.1.1 [0]!Qté)),0,([0]!P_1_11.1.1.1 [0]!Qté))</f>
        <v>#REF!</v>
      </c>
      <c r="C610" s="2" t="e">
        <f>([0]!P_1_11.1.1.1 [0]!PU)</f>
        <v>#REF!</v>
      </c>
      <c r="D610" s="2" t="e">
        <f>IF(ISTEXT(([0]!P_1_11.1.1.1 [0]!MT)),0,([0]!P_1_11.1.1.1 [0]!MT))</f>
        <v>#REF!</v>
      </c>
    </row>
    <row r="611" spans="1:4" x14ac:dyDescent="0.25">
      <c r="A611" s="1" t="s">
        <v>896</v>
      </c>
      <c r="B611" s="3" t="e">
        <f>IF(ISTEXT(([0]!P_1_11.1.1.2 [0]!Qté)),0,([0]!P_1_11.1.1.2 [0]!Qté))</f>
        <v>#REF!</v>
      </c>
      <c r="C611" s="2" t="e">
        <f>([0]!P_1_11.1.1.2 [0]!PU)</f>
        <v>#REF!</v>
      </c>
      <c r="D611" s="2" t="e">
        <f>IF(ISTEXT(([0]!P_1_11.1.1.2 [0]!MT)),0,([0]!P_1_11.1.1.2 [0]!MT))</f>
        <v>#REF!</v>
      </c>
    </row>
    <row r="612" spans="1:4" x14ac:dyDescent="0.25">
      <c r="A612" s="1" t="s">
        <v>897</v>
      </c>
      <c r="B612" s="3" t="e">
        <f>IF(ISTEXT(([0]!P_1_11.1.1.3 [0]!Qté)),0,([0]!P_1_11.1.1.3 [0]!Qté))</f>
        <v>#REF!</v>
      </c>
      <c r="C612" s="2" t="e">
        <f>([0]!P_1_11.1.1.3 [0]!PU)</f>
        <v>#REF!</v>
      </c>
      <c r="D612" s="2" t="e">
        <f>IF(ISTEXT(([0]!P_1_11.1.1.3 [0]!MT)),0,([0]!P_1_11.1.1.3 [0]!MT))</f>
        <v>#REF!</v>
      </c>
    </row>
    <row r="613" spans="1:4" x14ac:dyDescent="0.25">
      <c r="A613" s="1" t="s">
        <v>898</v>
      </c>
      <c r="B613" s="3" t="e">
        <f>IF(ISTEXT(([0]!P_1_11.1.1.4 [0]!Qté)),0,([0]!P_1_11.1.1.4 [0]!Qté))</f>
        <v>#REF!</v>
      </c>
      <c r="C613" s="2" t="e">
        <f>([0]!P_1_11.1.1.4 [0]!PU)</f>
        <v>#REF!</v>
      </c>
      <c r="D613" s="2" t="e">
        <f>IF(ISTEXT(([0]!P_1_11.1.1.4 [0]!MT)),0,([0]!P_1_11.1.1.4 [0]!MT))</f>
        <v>#REF!</v>
      </c>
    </row>
    <row r="614" spans="1:4" x14ac:dyDescent="0.25">
      <c r="A614" s="1" t="s">
        <v>900</v>
      </c>
      <c r="B614" s="3" t="e">
        <f>IF(ISTEXT(([0]!P_1_11.1.2.1 [0]!Qté)),0,([0]!P_1_11.1.2.1 [0]!Qté))</f>
        <v>#REF!</v>
      </c>
      <c r="C614" s="2" t="e">
        <f>([0]!P_1_11.1.2.1 [0]!PU)</f>
        <v>#REF!</v>
      </c>
      <c r="D614" s="2" t="e">
        <f>IF(ISTEXT(([0]!P_1_11.1.2.1 [0]!MT)),0,([0]!P_1_11.1.2.1 [0]!MT))</f>
        <v>#REF!</v>
      </c>
    </row>
    <row r="615" spans="1:4" x14ac:dyDescent="0.25">
      <c r="A615" s="1" t="s">
        <v>901</v>
      </c>
      <c r="B615" s="3" t="e">
        <f>IF(ISTEXT(([0]!P_1_11.1.2.2 [0]!Qté)),0,([0]!P_1_11.1.2.2 [0]!Qté))</f>
        <v>#REF!</v>
      </c>
      <c r="C615" s="2" t="e">
        <f>([0]!P_1_11.1.2.2 [0]!PU)</f>
        <v>#REF!</v>
      </c>
      <c r="D615" s="2" t="e">
        <f>IF(ISTEXT(([0]!P_1_11.1.2.2 [0]!MT)),0,([0]!P_1_11.1.2.2 [0]!MT))</f>
        <v>#REF!</v>
      </c>
    </row>
    <row r="616" spans="1:4" x14ac:dyDescent="0.25">
      <c r="A616" s="1" t="s">
        <v>902</v>
      </c>
      <c r="B616" s="3" t="e">
        <f>IF(ISTEXT(([0]!P_1_11.1.2.3 [0]!Qté)),0,([0]!P_1_11.1.2.3 [0]!Qté))</f>
        <v>#REF!</v>
      </c>
      <c r="C616" s="2" t="e">
        <f>([0]!P_1_11.1.2.3 [0]!PU)</f>
        <v>#REF!</v>
      </c>
      <c r="D616" s="2" t="e">
        <f>IF(ISTEXT(([0]!P_1_11.1.2.3 [0]!MT)),0,([0]!P_1_11.1.2.3 [0]!MT))</f>
        <v>#REF!</v>
      </c>
    </row>
    <row r="617" spans="1:4" x14ac:dyDescent="0.25">
      <c r="A617" s="1" t="s">
        <v>1198</v>
      </c>
      <c r="B617" s="3" t="e">
        <f>IF(ISTEXT(([0]!P_1_11.1.2.4 [0]!Qté)),0,([0]!P_1_11.1.2.4 [0]!Qté))</f>
        <v>#REF!</v>
      </c>
      <c r="C617" s="2" t="e">
        <f>([0]!P_1_11.1.2.4 [0]!PU)</f>
        <v>#REF!</v>
      </c>
      <c r="D617" s="2" t="e">
        <f>IF(ISTEXT(([0]!P_1_11.1.2.4 [0]!MT)),0,([0]!P_1_11.1.2.4 [0]!MT))</f>
        <v>#REF!</v>
      </c>
    </row>
    <row r="618" spans="1:4" x14ac:dyDescent="0.25">
      <c r="A618" s="1" t="s">
        <v>903</v>
      </c>
      <c r="B618" s="3" t="e">
        <f>IF(ISTEXT(([0]!P_1_11.1.3.1 [0]!Qté)),0,([0]!P_1_11.1.3.1 [0]!Qté))</f>
        <v>#REF!</v>
      </c>
      <c r="C618" s="2" t="e">
        <f>([0]!P_1_11.1.3.1 [0]!PU)</f>
        <v>#REF!</v>
      </c>
      <c r="D618" s="2" t="e">
        <f>IF(ISTEXT(([0]!P_1_11.1.3.1 [0]!MT)),0,([0]!P_1_11.1.3.1 [0]!MT))</f>
        <v>#REF!</v>
      </c>
    </row>
    <row r="619" spans="1:4" x14ac:dyDescent="0.25">
      <c r="A619" s="1" t="s">
        <v>1199</v>
      </c>
      <c r="B619" s="3" t="e">
        <f>IF(ISTEXT(([0]!P_1_11.1.3.2 [0]!Qté)),0,([0]!P_1_11.1.3.2 [0]!Qté))</f>
        <v>#REF!</v>
      </c>
      <c r="C619" s="2" t="e">
        <f>([0]!P_1_11.1.3.2 [0]!PU)</f>
        <v>#REF!</v>
      </c>
      <c r="D619" s="2" t="e">
        <f>IF(ISTEXT(([0]!P_1_11.1.3.2 [0]!MT)),0,([0]!P_1_11.1.3.2 [0]!MT))</f>
        <v>#REF!</v>
      </c>
    </row>
    <row r="620" spans="1:4" x14ac:dyDescent="0.25">
      <c r="A620" s="1" t="s">
        <v>1200</v>
      </c>
      <c r="B620" s="3" t="e">
        <f>IF(ISTEXT(([0]!P_1_11.1.3.3 [0]!Qté)),0,([0]!P_1_11.1.3.3 [0]!Qté))</f>
        <v>#REF!</v>
      </c>
      <c r="C620" s="2" t="e">
        <f>([0]!P_1_11.1.3.3 [0]!PU)</f>
        <v>#REF!</v>
      </c>
      <c r="D620" s="2" t="e">
        <f>IF(ISTEXT(([0]!P_1_11.1.3.3 [0]!MT)),0,([0]!P_1_11.1.3.3 [0]!MT))</f>
        <v>#REF!</v>
      </c>
    </row>
    <row r="621" spans="1:4" x14ac:dyDescent="0.25">
      <c r="A621" s="1" t="s">
        <v>1201</v>
      </c>
      <c r="B621" s="3" t="e">
        <f>IF(ISTEXT(([0]!P_1_11.1.3.4 [0]!Qté)),0,([0]!P_1_11.1.3.4 [0]!Qté))</f>
        <v>#REF!</v>
      </c>
      <c r="C621" s="2" t="e">
        <f>([0]!P_1_11.1.3.4 [0]!PU)</f>
        <v>#REF!</v>
      </c>
      <c r="D621" s="2" t="e">
        <f>IF(ISTEXT(([0]!P_1_11.1.3.4 [0]!MT)),0,([0]!P_1_11.1.3.4 [0]!MT))</f>
        <v>#REF!</v>
      </c>
    </row>
    <row r="622" spans="1:4" x14ac:dyDescent="0.25">
      <c r="A622" s="1" t="s">
        <v>323</v>
      </c>
      <c r="B622" s="3" t="e">
        <f>IF(ISTEXT(([0]!P_1_11.2.1 [0]!Qté)),0,([0]!P_1_11.2.1 [0]!Qté))</f>
        <v>#REF!</v>
      </c>
      <c r="C622" s="2" t="e">
        <f>([0]!P_1_11.2.1 [0]!PU)</f>
        <v>#REF!</v>
      </c>
      <c r="D622" s="2" t="e">
        <f>IF(ISTEXT(([0]!P_1_11.2.1 [0]!MT)),0,([0]!P_1_11.2.1 [0]!MT))</f>
        <v>#REF!</v>
      </c>
    </row>
    <row r="623" spans="1:4" x14ac:dyDescent="0.25">
      <c r="A623" s="1" t="s">
        <v>324</v>
      </c>
      <c r="B623" s="3" t="e">
        <f>IF(ISTEXT(([0]!P_1_11.2.2 [0]!Qté)),0,([0]!P_1_11.2.2 [0]!Qté))</f>
        <v>#REF!</v>
      </c>
      <c r="C623" s="2" t="e">
        <f>([0]!P_1_11.2.2 [0]!PU)</f>
        <v>#REF!</v>
      </c>
      <c r="D623" s="2" t="e">
        <f>IF(ISTEXT(([0]!P_1_11.2.2 [0]!MT)),0,([0]!P_1_11.2.2 [0]!MT))</f>
        <v>#REF!</v>
      </c>
    </row>
    <row r="624" spans="1:4" x14ac:dyDescent="0.25">
      <c r="A624" s="1" t="s">
        <v>325</v>
      </c>
      <c r="B624" s="3" t="e">
        <f>IF(ISTEXT(([0]!P_1_11.2.3 [0]!Qté)),0,([0]!P_1_11.2.3 [0]!Qté))</f>
        <v>#REF!</v>
      </c>
      <c r="C624" s="2" t="e">
        <f>([0]!P_1_11.2.3 [0]!PU)</f>
        <v>#REF!</v>
      </c>
      <c r="D624" s="2" t="e">
        <f>IF(ISTEXT(([0]!P_1_11.2.3 [0]!MT)),0,([0]!P_1_11.2.3 [0]!MT))</f>
        <v>#REF!</v>
      </c>
    </row>
    <row r="625" spans="1:4" x14ac:dyDescent="0.25">
      <c r="A625" s="1" t="s">
        <v>326</v>
      </c>
      <c r="B625" s="3" t="e">
        <f>IF(ISTEXT(([0]!P_1_11.2.4 [0]!Qté)),0,([0]!P_1_11.2.4 [0]!Qté))</f>
        <v>#REF!</v>
      </c>
      <c r="C625" s="2" t="e">
        <f>([0]!P_1_11.2.4 [0]!PU)</f>
        <v>#REF!</v>
      </c>
      <c r="D625" s="2" t="e">
        <f>IF(ISTEXT(([0]!P_1_11.2.4 [0]!MT)),0,([0]!P_1_11.2.4 [0]!MT))</f>
        <v>#REF!</v>
      </c>
    </row>
    <row r="626" spans="1:4" x14ac:dyDescent="0.25">
      <c r="A626" s="1" t="s">
        <v>327</v>
      </c>
      <c r="B626" s="3" t="e">
        <f>IF(ISTEXT(([0]!P_1_11.2.5 [0]!Qté)),0,([0]!P_1_11.2.5 [0]!Qté))</f>
        <v>#REF!</v>
      </c>
      <c r="C626" s="2" t="e">
        <f>([0]!P_1_11.2.5 [0]!PU)</f>
        <v>#REF!</v>
      </c>
      <c r="D626" s="2" t="e">
        <f>IF(ISTEXT(([0]!P_1_11.2.5 [0]!MT)),0,([0]!P_1_11.2.5 [0]!MT))</f>
        <v>#REF!</v>
      </c>
    </row>
    <row r="627" spans="1:4" x14ac:dyDescent="0.25">
      <c r="A627" s="1" t="s">
        <v>329</v>
      </c>
      <c r="B627" s="3" t="e">
        <f>IF(ISTEXT(([0]!P_1_11.3.1 [0]!Qté)),0,([0]!P_1_11.3.1 [0]!Qté))</f>
        <v>#REF!</v>
      </c>
      <c r="C627" s="2" t="e">
        <f>([0]!P_1_11.3.1 [0]!PU)</f>
        <v>#REF!</v>
      </c>
      <c r="D627" s="2" t="e">
        <f>IF(ISTEXT(([0]!P_1_11.3.1 [0]!MT)),0,([0]!P_1_11.3.1 [0]!MT))</f>
        <v>#REF!</v>
      </c>
    </row>
    <row r="628" spans="1:4" x14ac:dyDescent="0.25">
      <c r="A628" s="1" t="s">
        <v>330</v>
      </c>
      <c r="B628" s="3" t="e">
        <f>IF(ISTEXT(([0]!P_1_11.3.2 [0]!Qté)),0,([0]!P_1_11.3.2 [0]!Qté))</f>
        <v>#REF!</v>
      </c>
      <c r="C628" s="2" t="e">
        <f>([0]!P_1_11.3.2 [0]!PU)</f>
        <v>#REF!</v>
      </c>
      <c r="D628" s="2" t="e">
        <f>IF(ISTEXT(([0]!P_1_11.3.2 [0]!MT)),0,([0]!P_1_11.3.2 [0]!MT))</f>
        <v>#REF!</v>
      </c>
    </row>
    <row r="629" spans="1:4" x14ac:dyDescent="0.25">
      <c r="A629" s="1" t="s">
        <v>331</v>
      </c>
      <c r="B629" s="3" t="e">
        <f>IF(ISTEXT(([0]!P_1_11.3.3 [0]!Qté)),0,([0]!P_1_11.3.3 [0]!Qté))</f>
        <v>#REF!</v>
      </c>
      <c r="C629" s="2" t="e">
        <f>([0]!P_1_11.3.3 [0]!PU)</f>
        <v>#REF!</v>
      </c>
      <c r="D629" s="2" t="e">
        <f>IF(ISTEXT(([0]!P_1_11.3.3 [0]!MT)),0,([0]!P_1_11.3.3 [0]!MT))</f>
        <v>#REF!</v>
      </c>
    </row>
    <row r="630" spans="1:4" x14ac:dyDescent="0.25">
      <c r="A630" s="1" t="s">
        <v>332</v>
      </c>
      <c r="B630" s="3" t="e">
        <f>IF(ISTEXT(([0]!P_1_11.3.4 [0]!Qté)),0,([0]!P_1_11.3.4 [0]!Qté))</f>
        <v>#REF!</v>
      </c>
      <c r="C630" s="2" t="e">
        <f>([0]!P_1_11.3.4 [0]!PU)</f>
        <v>#REF!</v>
      </c>
      <c r="D630" s="2" t="e">
        <f>IF(ISTEXT(([0]!P_1_11.3.4 [0]!MT)),0,([0]!P_1_11.3.4 [0]!MT))</f>
        <v>#REF!</v>
      </c>
    </row>
    <row r="631" spans="1:4" x14ac:dyDescent="0.25">
      <c r="A631" s="1" t="s">
        <v>333</v>
      </c>
      <c r="B631" s="3" t="e">
        <f>IF(ISTEXT(([0]!P_1_11.3.5 [0]!Qté)),0,([0]!P_1_11.3.5 [0]!Qté))</f>
        <v>#REF!</v>
      </c>
      <c r="C631" s="2" t="e">
        <f>([0]!P_1_11.3.5 [0]!PU)</f>
        <v>#REF!</v>
      </c>
      <c r="D631" s="2" t="e">
        <f>IF(ISTEXT(([0]!P_1_11.3.5 [0]!MT)),0,([0]!P_1_11.3.5 [0]!MT))</f>
        <v>#REF!</v>
      </c>
    </row>
    <row r="632" spans="1:4" x14ac:dyDescent="0.25">
      <c r="A632" s="1" t="s">
        <v>1202</v>
      </c>
      <c r="B632" s="3" t="e">
        <f>IF(ISTEXT(([0]!P_1_11.3.6 [0]!Qté)),0,([0]!P_1_11.3.6 [0]!Qté))</f>
        <v>#REF!</v>
      </c>
      <c r="C632" s="2" t="e">
        <f>([0]!P_1_11.3.6 [0]!PU)</f>
        <v>#REF!</v>
      </c>
      <c r="D632" s="2" t="e">
        <f>IF(ISTEXT(([0]!P_1_11.3.6 [0]!MT)),0,([0]!P_1_11.3.6 [0]!MT))</f>
        <v>#REF!</v>
      </c>
    </row>
    <row r="633" spans="1:4" x14ac:dyDescent="0.25">
      <c r="A633" s="1" t="s">
        <v>904</v>
      </c>
      <c r="B633" s="3" t="e">
        <f>IF(ISTEXT(([0]!P_1_11.4.1 [0]!Qté)),0,([0]!P_1_11.4.1 [0]!Qté))</f>
        <v>#REF!</v>
      </c>
      <c r="C633" s="2" t="e">
        <f>([0]!P_1_11.4.1 [0]!PU)</f>
        <v>#REF!</v>
      </c>
      <c r="D633" s="2" t="e">
        <f>IF(ISTEXT(([0]!P_1_11.4.1 [0]!MT)),0,([0]!P_1_11.4.1 [0]!MT))</f>
        <v>#REF!</v>
      </c>
    </row>
    <row r="634" spans="1:4" x14ac:dyDescent="0.25">
      <c r="A634" s="1" t="s">
        <v>905</v>
      </c>
      <c r="B634" s="3" t="e">
        <f>IF(ISTEXT(([0]!P_1_11.4.2.1 [0]!Qté)),0,([0]!P_1_11.4.2.1 [0]!Qté))</f>
        <v>#REF!</v>
      </c>
      <c r="C634" s="2" t="e">
        <f>([0]!P_1_11.4.2.1 [0]!PU)</f>
        <v>#REF!</v>
      </c>
      <c r="D634" s="2" t="e">
        <f>IF(ISTEXT(([0]!P_1_11.4.2.1 [0]!MT)),0,([0]!P_1_11.4.2.1 [0]!MT))</f>
        <v>#REF!</v>
      </c>
    </row>
    <row r="635" spans="1:4" x14ac:dyDescent="0.25">
      <c r="A635" s="1" t="s">
        <v>1203</v>
      </c>
      <c r="B635" s="3" t="e">
        <f>IF(ISTEXT(([0]!P_1_11.4.2.2 [0]!Qté)),0,([0]!P_1_11.4.2.2 [0]!Qté))</f>
        <v>#REF!</v>
      </c>
      <c r="C635" s="2" t="e">
        <f>([0]!P_1_11.4.2.2 [0]!PU)</f>
        <v>#REF!</v>
      </c>
      <c r="D635" s="2" t="e">
        <f>IF(ISTEXT(([0]!P_1_11.4.2.2 [0]!MT)),0,([0]!P_1_11.4.2.2 [0]!MT))</f>
        <v>#REF!</v>
      </c>
    </row>
    <row r="636" spans="1:4" x14ac:dyDescent="0.25">
      <c r="A636" s="1" t="s">
        <v>1204</v>
      </c>
      <c r="B636" s="3" t="e">
        <f>IF(ISTEXT(([0]!P_1_11.4.2.3 [0]!Qté)),0,([0]!P_1_11.4.2.3 [0]!Qté))</f>
        <v>#REF!</v>
      </c>
      <c r="C636" s="2" t="e">
        <f>([0]!P_1_11.4.2.3 [0]!PU)</f>
        <v>#REF!</v>
      </c>
      <c r="D636" s="2" t="e">
        <f>IF(ISTEXT(([0]!P_1_11.4.2.3 [0]!MT)),0,([0]!P_1_11.4.2.3 [0]!MT))</f>
        <v>#REF!</v>
      </c>
    </row>
    <row r="637" spans="1:4" x14ac:dyDescent="0.25">
      <c r="A637" s="1" t="s">
        <v>1205</v>
      </c>
      <c r="B637" s="3" t="e">
        <f>IF(ISTEXT(([0]!P_1_11.4.2.4 [0]!Qté)),0,([0]!P_1_11.4.2.4 [0]!Qté))</f>
        <v>#REF!</v>
      </c>
      <c r="C637" s="2" t="e">
        <f>([0]!P_1_11.4.2.4 [0]!PU)</f>
        <v>#REF!</v>
      </c>
      <c r="D637" s="2" t="e">
        <f>IF(ISTEXT(([0]!P_1_11.4.2.4 [0]!MT)),0,([0]!P_1_11.4.2.4 [0]!MT))</f>
        <v>#REF!</v>
      </c>
    </row>
    <row r="638" spans="1:4" x14ac:dyDescent="0.25">
      <c r="A638" s="1" t="s">
        <v>906</v>
      </c>
      <c r="B638" s="3" t="e">
        <f>IF(ISTEXT(([0]!P_1_11.4.2.5 [0]!Qté)),0,([0]!P_1_11.4.2.5 [0]!Qté))</f>
        <v>#REF!</v>
      </c>
      <c r="C638" s="2" t="e">
        <f>([0]!P_1_11.4.2.5 [0]!PU)</f>
        <v>#REF!</v>
      </c>
      <c r="D638" s="2" t="e">
        <f>IF(ISTEXT(([0]!P_1_11.4.2.5 [0]!MT)),0,([0]!P_1_11.4.2.5 [0]!MT))</f>
        <v>#REF!</v>
      </c>
    </row>
    <row r="639" spans="1:4" x14ac:dyDescent="0.25">
      <c r="A639" s="1" t="s">
        <v>907</v>
      </c>
      <c r="B639" s="3" t="e">
        <f>IF(ISTEXT(([0]!P_1_11.4.3.1 [0]!Qté)),0,([0]!P_1_11.4.3.1 [0]!Qté))</f>
        <v>#REF!</v>
      </c>
      <c r="C639" s="2" t="e">
        <f>([0]!P_1_11.4.3.1 [0]!PU)</f>
        <v>#REF!</v>
      </c>
      <c r="D639" s="2" t="e">
        <f>IF(ISTEXT(([0]!P_1_11.4.3.1 [0]!MT)),0,([0]!P_1_11.4.3.1 [0]!MT))</f>
        <v>#REF!</v>
      </c>
    </row>
    <row r="640" spans="1:4" x14ac:dyDescent="0.25">
      <c r="A640" s="1" t="s">
        <v>1206</v>
      </c>
      <c r="B640" s="3" t="e">
        <f>IF(ISTEXT(([0]!P_1_11.4.3.2 [0]!Qté)),0,([0]!P_1_11.4.3.2 [0]!Qté))</f>
        <v>#REF!</v>
      </c>
      <c r="C640" s="2" t="e">
        <f>([0]!P_1_11.4.3.2 [0]!PU)</f>
        <v>#REF!</v>
      </c>
      <c r="D640" s="2" t="e">
        <f>IF(ISTEXT(([0]!P_1_11.4.3.2 [0]!MT)),0,([0]!P_1_11.4.3.2 [0]!MT))</f>
        <v>#REF!</v>
      </c>
    </row>
    <row r="641" spans="1:4" x14ac:dyDescent="0.25">
      <c r="A641" s="1" t="s">
        <v>1207</v>
      </c>
      <c r="B641" s="3" t="e">
        <f>IF(ISTEXT(([0]!P_1_11.4.3.3 [0]!Qté)),0,([0]!P_1_11.4.3.3 [0]!Qté))</f>
        <v>#REF!</v>
      </c>
      <c r="C641" s="2" t="e">
        <f>([0]!P_1_11.4.3.3 [0]!PU)</f>
        <v>#REF!</v>
      </c>
      <c r="D641" s="2" t="e">
        <f>IF(ISTEXT(([0]!P_1_11.4.3.3 [0]!MT)),0,([0]!P_1_11.4.3.3 [0]!MT))</f>
        <v>#REF!</v>
      </c>
    </row>
    <row r="642" spans="1:4" x14ac:dyDescent="0.25">
      <c r="A642" s="1" t="s">
        <v>1208</v>
      </c>
      <c r="B642" s="3" t="e">
        <f>IF(ISTEXT(([0]!P_1_11.4.3.4 [0]!Qté)),0,([0]!P_1_11.4.3.4 [0]!Qté))</f>
        <v>#REF!</v>
      </c>
      <c r="C642" s="2" t="e">
        <f>([0]!P_1_11.4.3.4 [0]!PU)</f>
        <v>#REF!</v>
      </c>
      <c r="D642" s="2" t="e">
        <f>IF(ISTEXT(([0]!P_1_11.4.3.4 [0]!MT)),0,([0]!P_1_11.4.3.4 [0]!MT))</f>
        <v>#REF!</v>
      </c>
    </row>
    <row r="643" spans="1:4" x14ac:dyDescent="0.25">
      <c r="A643" s="1" t="s">
        <v>908</v>
      </c>
      <c r="B643" s="3" t="e">
        <f>IF(ISTEXT(([0]!P_1_11.4.3.5 [0]!Qté)),0,([0]!P_1_11.4.3.5 [0]!Qté))</f>
        <v>#REF!</v>
      </c>
      <c r="C643" s="2" t="e">
        <f>([0]!P_1_11.4.3.5 [0]!PU)</f>
        <v>#REF!</v>
      </c>
      <c r="D643" s="2" t="e">
        <f>IF(ISTEXT(([0]!P_1_11.4.3.5 [0]!MT)),0,([0]!P_1_11.4.3.5 [0]!MT))</f>
        <v>#REF!</v>
      </c>
    </row>
    <row r="644" spans="1:4" x14ac:dyDescent="0.25">
      <c r="A644" s="1" t="s">
        <v>909</v>
      </c>
      <c r="B644" s="3" t="e">
        <f>IF(ISTEXT(([0]!P_1_11.4.4.1 [0]!Qté)),0,([0]!P_1_11.4.4.1 [0]!Qté))</f>
        <v>#REF!</v>
      </c>
      <c r="C644" s="2" t="e">
        <f>([0]!P_1_11.4.4.1 [0]!PU)</f>
        <v>#REF!</v>
      </c>
      <c r="D644" s="2" t="e">
        <f>IF(ISTEXT(([0]!P_1_11.4.4.1 [0]!MT)),0,([0]!P_1_11.4.4.1 [0]!MT))</f>
        <v>#REF!</v>
      </c>
    </row>
    <row r="645" spans="1:4" x14ac:dyDescent="0.25">
      <c r="A645" s="1" t="s">
        <v>1209</v>
      </c>
      <c r="B645" s="3" t="e">
        <f>IF(ISTEXT(([0]!P_1_11.4.4.2 [0]!Qté)),0,([0]!P_1_11.4.4.2 [0]!Qté))</f>
        <v>#REF!</v>
      </c>
      <c r="C645" s="2" t="e">
        <f>([0]!P_1_11.4.4.2 [0]!PU)</f>
        <v>#REF!</v>
      </c>
      <c r="D645" s="2" t="e">
        <f>IF(ISTEXT(([0]!P_1_11.4.4.2 [0]!MT)),0,([0]!P_1_11.4.4.2 [0]!MT))</f>
        <v>#REF!</v>
      </c>
    </row>
    <row r="646" spans="1:4" x14ac:dyDescent="0.25">
      <c r="A646" s="1" t="s">
        <v>1210</v>
      </c>
      <c r="B646" s="3" t="e">
        <f>IF(ISTEXT(([0]!P_1_11.4.4.3 [0]!Qté)),0,([0]!P_1_11.4.4.3 [0]!Qté))</f>
        <v>#REF!</v>
      </c>
      <c r="C646" s="2" t="e">
        <f>([0]!P_1_11.4.4.3 [0]!PU)</f>
        <v>#REF!</v>
      </c>
      <c r="D646" s="2" t="e">
        <f>IF(ISTEXT(([0]!P_1_11.4.4.3 [0]!MT)),0,([0]!P_1_11.4.4.3 [0]!MT))</f>
        <v>#REF!</v>
      </c>
    </row>
    <row r="647" spans="1:4" x14ac:dyDescent="0.25">
      <c r="A647" s="1" t="s">
        <v>1211</v>
      </c>
      <c r="B647" s="3" t="e">
        <f>IF(ISTEXT(([0]!P_1_11.4.4.4 [0]!Qté)),0,([0]!P_1_11.4.4.4 [0]!Qté))</f>
        <v>#REF!</v>
      </c>
      <c r="C647" s="2" t="e">
        <f>([0]!P_1_11.4.4.4 [0]!PU)</f>
        <v>#REF!</v>
      </c>
      <c r="D647" s="2" t="e">
        <f>IF(ISTEXT(([0]!P_1_11.4.4.4 [0]!MT)),0,([0]!P_1_11.4.4.4 [0]!MT))</f>
        <v>#REF!</v>
      </c>
    </row>
    <row r="648" spans="1:4" x14ac:dyDescent="0.25">
      <c r="A648" s="1" t="s">
        <v>910</v>
      </c>
      <c r="B648" s="3" t="e">
        <f>IF(ISTEXT(([0]!P_1_11.4.4.5 [0]!Qté)),0,([0]!P_1_11.4.4.5 [0]!Qté))</f>
        <v>#REF!</v>
      </c>
      <c r="C648" s="2" t="e">
        <f>([0]!P_1_11.4.4.5 [0]!PU)</f>
        <v>#REF!</v>
      </c>
      <c r="D648" s="2" t="e">
        <f>IF(ISTEXT(([0]!P_1_11.4.4.5 [0]!MT)),0,([0]!P_1_11.4.4.5 [0]!MT))</f>
        <v>#REF!</v>
      </c>
    </row>
    <row r="649" spans="1:4" x14ac:dyDescent="0.25">
      <c r="A649" s="1" t="s">
        <v>336</v>
      </c>
      <c r="B649" s="3" t="e">
        <f>IF(ISTEXT(([0]!P_1_11.5.1 [0]!Qté)),0,([0]!P_1_11.5.1 [0]!Qté))</f>
        <v>#REF!</v>
      </c>
      <c r="C649" s="2" t="e">
        <f>([0]!P_1_11.5.1 [0]!PU)</f>
        <v>#REF!</v>
      </c>
      <c r="D649" s="2" t="e">
        <f>IF(ISTEXT(([0]!P_1_11.5.1 [0]!MT)),0,([0]!P_1_11.5.1 [0]!MT))</f>
        <v>#REF!</v>
      </c>
    </row>
    <row r="650" spans="1:4" x14ac:dyDescent="0.25">
      <c r="A650" s="1" t="s">
        <v>337</v>
      </c>
      <c r="B650" s="3" t="e">
        <f>IF(ISTEXT(([0]!P_1_11.5.2 [0]!Qté)),0,([0]!P_1_11.5.2 [0]!Qté))</f>
        <v>#REF!</v>
      </c>
      <c r="C650" s="2" t="e">
        <f>([0]!P_1_11.5.2 [0]!PU)</f>
        <v>#REF!</v>
      </c>
      <c r="D650" s="2" t="e">
        <f>IF(ISTEXT(([0]!P_1_11.5.2 [0]!MT)),0,([0]!P_1_11.5.2 [0]!MT))</f>
        <v>#REF!</v>
      </c>
    </row>
    <row r="651" spans="1:4" x14ac:dyDescent="0.25">
      <c r="A651" s="1" t="s">
        <v>338</v>
      </c>
      <c r="B651" s="3" t="e">
        <f>IF(ISTEXT(([0]!P_1_11.5.3 [0]!Qté)),0,([0]!P_1_11.5.3 [0]!Qté))</f>
        <v>#REF!</v>
      </c>
      <c r="C651" s="2" t="e">
        <f>([0]!P_1_11.5.3 [0]!PU)</f>
        <v>#REF!</v>
      </c>
      <c r="D651" s="2" t="e">
        <f>IF(ISTEXT(([0]!P_1_11.5.3 [0]!MT)),0,([0]!P_1_11.5.3 [0]!MT))</f>
        <v>#REF!</v>
      </c>
    </row>
    <row r="652" spans="1:4" x14ac:dyDescent="0.25">
      <c r="A652" s="1" t="s">
        <v>339</v>
      </c>
      <c r="B652" s="3" t="e">
        <f>IF(ISTEXT(([0]!P_1_11.5.4 [0]!Qté)),0,([0]!P_1_11.5.4 [0]!Qté))</f>
        <v>#REF!</v>
      </c>
      <c r="C652" s="2" t="e">
        <f>([0]!P_1_11.5.4 [0]!PU)</f>
        <v>#REF!</v>
      </c>
      <c r="D652" s="2" t="e">
        <f>IF(ISTEXT(([0]!P_1_11.5.4 [0]!MT)),0,([0]!P_1_11.5.4 [0]!MT))</f>
        <v>#REF!</v>
      </c>
    </row>
    <row r="653" spans="1:4" x14ac:dyDescent="0.25">
      <c r="A653" s="1" t="s">
        <v>340</v>
      </c>
      <c r="B653" s="3" t="e">
        <f>IF(ISTEXT(([0]!P_1_11.5.5 [0]!Qté)),0,([0]!P_1_11.5.5 [0]!Qté))</f>
        <v>#REF!</v>
      </c>
      <c r="C653" s="2" t="e">
        <f>([0]!P_1_11.5.5 [0]!PU)</f>
        <v>#REF!</v>
      </c>
      <c r="D653" s="2" t="e">
        <f>IF(ISTEXT(([0]!P_1_11.5.5 [0]!MT)),0,([0]!P_1_11.5.5 [0]!MT))</f>
        <v>#REF!</v>
      </c>
    </row>
    <row r="654" spans="1:4" x14ac:dyDescent="0.25">
      <c r="A654" s="1" t="s">
        <v>1212</v>
      </c>
      <c r="B654" s="3" t="e">
        <f>IF(ISTEXT(([0]!P_1_11.5.6 [0]!Qté)),0,([0]!P_1_11.5.6 [0]!Qté))</f>
        <v>#REF!</v>
      </c>
      <c r="C654" s="2" t="e">
        <f>([0]!P_1_11.5.6 [0]!PU)</f>
        <v>#REF!</v>
      </c>
      <c r="D654" s="2" t="e">
        <f>IF(ISTEXT(([0]!P_1_11.5.6 [0]!MT)),0,([0]!P_1_11.5.6 [0]!MT))</f>
        <v>#REF!</v>
      </c>
    </row>
    <row r="655" spans="1:4" x14ac:dyDescent="0.25">
      <c r="A655" s="1" t="s">
        <v>1213</v>
      </c>
      <c r="B655" s="3" t="e">
        <f>IF(ISTEXT(([0]!P_1_11.5.7 [0]!Qté)),0,([0]!P_1_11.5.7 [0]!Qté))</f>
        <v>#REF!</v>
      </c>
      <c r="C655" s="2" t="e">
        <f>([0]!P_1_11.5.7 [0]!PU)</f>
        <v>#REF!</v>
      </c>
      <c r="D655" s="2" t="e">
        <f>IF(ISTEXT(([0]!P_1_11.5.7 [0]!MT)),0,([0]!P_1_11.5.7 [0]!MT))</f>
        <v>#REF!</v>
      </c>
    </row>
    <row r="656" spans="1:4" x14ac:dyDescent="0.25">
      <c r="A656" s="1" t="s">
        <v>911</v>
      </c>
      <c r="B656" s="3" t="e">
        <f>IF(ISTEXT(([0]!P_1_11.6.1.1 [0]!Qté)),0,([0]!P_1_11.6.1.1 [0]!Qté))</f>
        <v>#REF!</v>
      </c>
      <c r="C656" s="2" t="e">
        <f>([0]!P_1_11.6.1.1 [0]!PU)</f>
        <v>#REF!</v>
      </c>
      <c r="D656" s="2" t="e">
        <f>IF(ISTEXT(([0]!P_1_11.6.1.1 [0]!MT)),0,([0]!P_1_11.6.1.1 [0]!MT))</f>
        <v>#REF!</v>
      </c>
    </row>
    <row r="657" spans="1:4" x14ac:dyDescent="0.25">
      <c r="A657" s="1" t="s">
        <v>912</v>
      </c>
      <c r="B657" s="3" t="e">
        <f>IF(ISTEXT(([0]!P_1_11.6.1.2 [0]!Qté)),0,([0]!P_1_11.6.1.2 [0]!Qté))</f>
        <v>#REF!</v>
      </c>
      <c r="C657" s="2" t="e">
        <f>([0]!P_1_11.6.1.2 [0]!PU)</f>
        <v>#REF!</v>
      </c>
      <c r="D657" s="2" t="e">
        <f>IF(ISTEXT(([0]!P_1_11.6.1.2 [0]!MT)),0,([0]!P_1_11.6.1.2 [0]!MT))</f>
        <v>#REF!</v>
      </c>
    </row>
    <row r="658" spans="1:4" x14ac:dyDescent="0.25">
      <c r="A658" s="1" t="s">
        <v>913</v>
      </c>
      <c r="B658" s="3" t="e">
        <f>IF(ISTEXT(([0]!P_1_11.6.1.3 [0]!Qté)),0,([0]!P_1_11.6.1.3 [0]!Qté))</f>
        <v>#REF!</v>
      </c>
      <c r="C658" s="2" t="e">
        <f>([0]!P_1_11.6.1.3 [0]!PU)</f>
        <v>#REF!</v>
      </c>
      <c r="D658" s="2" t="e">
        <f>IF(ISTEXT(([0]!P_1_11.6.1.3 [0]!MT)),0,([0]!P_1_11.6.1.3 [0]!MT))</f>
        <v>#REF!</v>
      </c>
    </row>
    <row r="659" spans="1:4" x14ac:dyDescent="0.25">
      <c r="A659" s="1" t="s">
        <v>914</v>
      </c>
      <c r="B659" s="3" t="e">
        <f>IF(ISTEXT(([0]!P_1_11.6.1.4 [0]!Qté)),0,([0]!P_1_11.6.1.4 [0]!Qté))</f>
        <v>#REF!</v>
      </c>
      <c r="C659" s="2" t="e">
        <f>([0]!P_1_11.6.1.4 [0]!PU)</f>
        <v>#REF!</v>
      </c>
      <c r="D659" s="2" t="e">
        <f>IF(ISTEXT(([0]!P_1_11.6.1.4 [0]!MT)),0,([0]!P_1_11.6.1.4 [0]!MT))</f>
        <v>#REF!</v>
      </c>
    </row>
    <row r="660" spans="1:4" x14ac:dyDescent="0.25">
      <c r="A660" s="1" t="s">
        <v>915</v>
      </c>
      <c r="B660" s="3" t="e">
        <f>IF(ISTEXT(([0]!P_1_11.6.1.5 [0]!Qté)),0,([0]!P_1_11.6.1.5 [0]!Qté))</f>
        <v>#REF!</v>
      </c>
      <c r="C660" s="2" t="e">
        <f>([0]!P_1_11.6.1.5 [0]!PU)</f>
        <v>#REF!</v>
      </c>
      <c r="D660" s="2" t="e">
        <f>IF(ISTEXT(([0]!P_1_11.6.1.5 [0]!MT)),0,([0]!P_1_11.6.1.5 [0]!MT))</f>
        <v>#REF!</v>
      </c>
    </row>
    <row r="661" spans="1:4" x14ac:dyDescent="0.25">
      <c r="A661" s="1" t="s">
        <v>916</v>
      </c>
      <c r="B661" s="3" t="e">
        <f>IF(ISTEXT(([0]!P_1_11.6.1.6 [0]!Qté)),0,([0]!P_1_11.6.1.6 [0]!Qté))</f>
        <v>#REF!</v>
      </c>
      <c r="C661" s="2" t="e">
        <f>([0]!P_1_11.6.1.6 [0]!PU)</f>
        <v>#REF!</v>
      </c>
      <c r="D661" s="2" t="e">
        <f>IF(ISTEXT(([0]!P_1_11.6.1.6 [0]!MT)),0,([0]!P_1_11.6.1.6 [0]!MT))</f>
        <v>#REF!</v>
      </c>
    </row>
    <row r="662" spans="1:4" x14ac:dyDescent="0.25">
      <c r="A662" s="1" t="s">
        <v>917</v>
      </c>
      <c r="B662" s="3" t="e">
        <f>IF(ISTEXT(([0]!P_1_11.6.1.7 [0]!Qté)),0,([0]!P_1_11.6.1.7 [0]!Qté))</f>
        <v>#REF!</v>
      </c>
      <c r="C662" s="2" t="e">
        <f>([0]!P_1_11.6.1.7 [0]!PU)</f>
        <v>#REF!</v>
      </c>
      <c r="D662" s="2" t="e">
        <f>IF(ISTEXT(([0]!P_1_11.6.1.7 [0]!MT)),0,([0]!P_1_11.6.1.7 [0]!MT))</f>
        <v>#REF!</v>
      </c>
    </row>
    <row r="663" spans="1:4" x14ac:dyDescent="0.25">
      <c r="A663" s="1" t="s">
        <v>918</v>
      </c>
      <c r="B663" s="3" t="e">
        <f>IF(ISTEXT(([0]!P_1_11.6.1.8 [0]!Qté)),0,([0]!P_1_11.6.1.8 [0]!Qté))</f>
        <v>#REF!</v>
      </c>
      <c r="C663" s="2" t="e">
        <f>([0]!P_1_11.6.1.8 [0]!PU)</f>
        <v>#REF!</v>
      </c>
      <c r="D663" s="2" t="e">
        <f>IF(ISTEXT(([0]!P_1_11.6.1.8 [0]!MT)),0,([0]!P_1_11.6.1.8 [0]!MT))</f>
        <v>#REF!</v>
      </c>
    </row>
    <row r="664" spans="1:4" x14ac:dyDescent="0.25">
      <c r="A664" s="1" t="s">
        <v>919</v>
      </c>
      <c r="B664" s="3" t="e">
        <f>IF(ISTEXT(([0]!P_1_11.6.1.9 [0]!Qté)),0,([0]!P_1_11.6.1.9 [0]!Qté))</f>
        <v>#REF!</v>
      </c>
      <c r="C664" s="2" t="e">
        <f>([0]!P_1_11.6.1.9 [0]!PU)</f>
        <v>#REF!</v>
      </c>
      <c r="D664" s="2" t="e">
        <f>IF(ISTEXT(([0]!P_1_11.6.1.9 [0]!MT)),0,([0]!P_1_11.6.1.9 [0]!MT))</f>
        <v>#REF!</v>
      </c>
    </row>
    <row r="665" spans="1:4" x14ac:dyDescent="0.25">
      <c r="A665" s="1" t="s">
        <v>920</v>
      </c>
      <c r="B665" s="3" t="e">
        <f>IF(ISTEXT(([0]!P_1_11.6.1.10 [0]!Qté)),0,([0]!P_1_11.6.1.10 [0]!Qté))</f>
        <v>#REF!</v>
      </c>
      <c r="C665" s="2" t="e">
        <f>([0]!P_1_11.6.1.10 [0]!PU)</f>
        <v>#REF!</v>
      </c>
      <c r="D665" s="2" t="e">
        <f>IF(ISTEXT(([0]!P_1_11.6.1.10 [0]!MT)),0,([0]!P_1_11.6.1.10 [0]!MT))</f>
        <v>#REF!</v>
      </c>
    </row>
    <row r="666" spans="1:4" x14ac:dyDescent="0.25">
      <c r="A666" s="1" t="s">
        <v>921</v>
      </c>
      <c r="B666" s="3" t="e">
        <f>IF(ISTEXT(([0]!P_1_11.6.1.11 [0]!Qté)),0,([0]!P_1_11.6.1.11 [0]!Qté))</f>
        <v>#REF!</v>
      </c>
      <c r="C666" s="2" t="e">
        <f>([0]!P_1_11.6.1.11 [0]!PU)</f>
        <v>#REF!</v>
      </c>
      <c r="D666" s="2" t="e">
        <f>IF(ISTEXT(([0]!P_1_11.6.1.11 [0]!MT)),0,([0]!P_1_11.6.1.11 [0]!MT))</f>
        <v>#REF!</v>
      </c>
    </row>
    <row r="667" spans="1:4" x14ac:dyDescent="0.25">
      <c r="A667" s="1" t="s">
        <v>922</v>
      </c>
      <c r="B667" s="3" t="e">
        <f>IF(ISTEXT(([0]!P_1_11.6.1.12 [0]!Qté)),0,([0]!P_1_11.6.1.12 [0]!Qté))</f>
        <v>#REF!</v>
      </c>
      <c r="C667" s="2" t="e">
        <f>([0]!P_1_11.6.1.12 [0]!PU)</f>
        <v>#REF!</v>
      </c>
      <c r="D667" s="2" t="e">
        <f>IF(ISTEXT(([0]!P_1_11.6.1.12 [0]!MT)),0,([0]!P_1_11.6.1.12 [0]!MT))</f>
        <v>#REF!</v>
      </c>
    </row>
    <row r="668" spans="1:4" x14ac:dyDescent="0.25">
      <c r="A668" s="1" t="s">
        <v>923</v>
      </c>
      <c r="B668" s="3" t="e">
        <f>IF(ISTEXT(([0]!P_1_11.6.2.1 [0]!Qté)),0,([0]!P_1_11.6.2.1 [0]!Qté))</f>
        <v>#REF!</v>
      </c>
      <c r="C668" s="2" t="e">
        <f>([0]!P_1_11.6.2.1 [0]!PU)</f>
        <v>#REF!</v>
      </c>
      <c r="D668" s="2" t="e">
        <f>IF(ISTEXT(([0]!P_1_11.6.2.1 [0]!MT)),0,([0]!P_1_11.6.2.1 [0]!MT))</f>
        <v>#REF!</v>
      </c>
    </row>
    <row r="669" spans="1:4" x14ac:dyDescent="0.25">
      <c r="A669" s="1" t="s">
        <v>1214</v>
      </c>
      <c r="B669" s="3" t="e">
        <f>IF(ISTEXT(([0]!P_1_11.6.2.2 [0]!Qté)),0,([0]!P_1_11.6.2.2 [0]!Qté))</f>
        <v>#REF!</v>
      </c>
      <c r="C669" s="2" t="e">
        <f>([0]!P_1_11.6.2.2 [0]!PU)</f>
        <v>#REF!</v>
      </c>
      <c r="D669" s="2" t="e">
        <f>IF(ISTEXT(([0]!P_1_11.6.2.2 [0]!MT)),0,([0]!P_1_11.6.2.2 [0]!MT))</f>
        <v>#REF!</v>
      </c>
    </row>
    <row r="670" spans="1:4" x14ac:dyDescent="0.25">
      <c r="A670" s="1" t="s">
        <v>1226</v>
      </c>
      <c r="B670" s="3" t="e">
        <f>IF(ISTEXT(([0]!P_1_11.6.2.3 [0]!Qté)),0,([0]!P_1_11.6.2.3 [0]!Qté))</f>
        <v>#REF!</v>
      </c>
      <c r="C670" s="2" t="e">
        <f>([0]!P_1_11.6.2.3 [0]!PU)</f>
        <v>#REF!</v>
      </c>
      <c r="D670" s="2" t="e">
        <f>IF(ISTEXT(([0]!P_1_11.6.2.3 [0]!MT)),0,([0]!P_1_11.6.2.3 [0]!MT))</f>
        <v>#REF!</v>
      </c>
    </row>
    <row r="671" spans="1:4" x14ac:dyDescent="0.25">
      <c r="A671" s="1" t="s">
        <v>1215</v>
      </c>
      <c r="B671" s="3" t="e">
        <f>IF(ISTEXT(([0]!P_1_11.6.2.4 [0]!Qté)),0,([0]!P_1_11.6.2.4 [0]!Qté))</f>
        <v>#REF!</v>
      </c>
      <c r="C671" s="2" t="e">
        <f>([0]!P_1_11.6.2.4 [0]!PU)</f>
        <v>#REF!</v>
      </c>
      <c r="D671" s="2" t="e">
        <f>IF(ISTEXT(([0]!P_1_11.6.2.4 [0]!MT)),0,([0]!P_1_11.6.2.4 [0]!MT))</f>
        <v>#REF!</v>
      </c>
    </row>
    <row r="672" spans="1:4" x14ac:dyDescent="0.25">
      <c r="A672" s="1" t="s">
        <v>924</v>
      </c>
      <c r="B672" s="3" t="e">
        <f>IF(ISTEXT(([0]!P_1_11.6.2.5 [0]!Qté)),0,([0]!P_1_11.6.2.5 [0]!Qté))</f>
        <v>#REF!</v>
      </c>
      <c r="C672" s="2" t="e">
        <f>([0]!P_1_11.6.2.5 [0]!PU)</f>
        <v>#REF!</v>
      </c>
      <c r="D672" s="2" t="e">
        <f>IF(ISTEXT(([0]!P_1_11.6.2.5 [0]!MT)),0,([0]!P_1_11.6.2.5 [0]!MT))</f>
        <v>#REF!</v>
      </c>
    </row>
    <row r="673" spans="1:4" x14ac:dyDescent="0.25">
      <c r="A673" s="1" t="s">
        <v>925</v>
      </c>
      <c r="B673" s="3" t="e">
        <f>IF(ISTEXT(([0]!P_1_11.6.2.6 [0]!Qté)),0,([0]!P_1_11.6.2.6 [0]!Qté))</f>
        <v>#REF!</v>
      </c>
      <c r="C673" s="2" t="e">
        <f>([0]!P_1_11.6.2.6 [0]!PU)</f>
        <v>#REF!</v>
      </c>
      <c r="D673" s="2" t="e">
        <f>IF(ISTEXT(([0]!P_1_11.6.2.6 [0]!MT)),0,([0]!P_1_11.6.2.6 [0]!MT))</f>
        <v>#REF!</v>
      </c>
    </row>
    <row r="674" spans="1:4" x14ac:dyDescent="0.25">
      <c r="A674" s="1" t="s">
        <v>926</v>
      </c>
      <c r="B674" s="3" t="e">
        <f>IF(ISTEXT(([0]!P_1_11.6.2.7 [0]!Qté)),0,([0]!P_1_11.6.2.7 [0]!Qté))</f>
        <v>#REF!</v>
      </c>
      <c r="C674" s="2" t="e">
        <f>([0]!P_1_11.6.2.7 [0]!PU)</f>
        <v>#REF!</v>
      </c>
      <c r="D674" s="2" t="e">
        <f>IF(ISTEXT(([0]!P_1_11.6.2.7 [0]!MT)),0,([0]!P_1_11.6.2.7 [0]!MT))</f>
        <v>#REF!</v>
      </c>
    </row>
    <row r="675" spans="1:4" x14ac:dyDescent="0.25">
      <c r="A675" s="1" t="s">
        <v>927</v>
      </c>
      <c r="B675" s="3" t="e">
        <f>IF(ISTEXT(([0]!P_1_11.6.2.8 [0]!Qté)),0,([0]!P_1_11.6.2.8 [0]!Qté))</f>
        <v>#REF!</v>
      </c>
      <c r="C675" s="2" t="e">
        <f>([0]!P_1_11.6.2.8 [0]!PU)</f>
        <v>#REF!</v>
      </c>
      <c r="D675" s="2" t="e">
        <f>IF(ISTEXT(([0]!P_1_11.6.2.8 [0]!MT)),0,([0]!P_1_11.6.2.8 [0]!MT))</f>
        <v>#REF!</v>
      </c>
    </row>
    <row r="676" spans="1:4" x14ac:dyDescent="0.25">
      <c r="A676" s="1" t="s">
        <v>928</v>
      </c>
      <c r="B676" s="3" t="e">
        <f>IF(ISTEXT(([0]!P_1_11.6.2.9 [0]!Qté)),0,([0]!P_1_11.6.2.9 [0]!Qté))</f>
        <v>#REF!</v>
      </c>
      <c r="C676" s="2" t="e">
        <f>([0]!P_1_11.6.2.9 [0]!PU)</f>
        <v>#REF!</v>
      </c>
      <c r="D676" s="2" t="e">
        <f>IF(ISTEXT(([0]!P_1_11.6.2.9 [0]!MT)),0,([0]!P_1_11.6.2.9 [0]!MT))</f>
        <v>#REF!</v>
      </c>
    </row>
    <row r="677" spans="1:4" x14ac:dyDescent="0.25">
      <c r="A677" s="1" t="s">
        <v>1216</v>
      </c>
      <c r="B677" s="3" t="e">
        <f>IF(ISTEXT(([0]!P_1_11.6.2.10 [0]!Qté)),0,([0]!P_1_11.6.2.10 [0]!Qté))</f>
        <v>#REF!</v>
      </c>
      <c r="C677" s="2" t="e">
        <f>([0]!P_1_11.6.2.10 [0]!PU)</f>
        <v>#REF!</v>
      </c>
      <c r="D677" s="2" t="e">
        <f>IF(ISTEXT(([0]!P_1_11.6.2.10 [0]!MT)),0,([0]!P_1_11.6.2.10 [0]!MT))</f>
        <v>#REF!</v>
      </c>
    </row>
    <row r="678" spans="1:4" x14ac:dyDescent="0.25">
      <c r="A678" s="1" t="s">
        <v>1217</v>
      </c>
      <c r="B678" s="3" t="e">
        <f>IF(ISTEXT(([0]!P_1_11.6.2.11 [0]!Qté)),0,([0]!P_1_11.6.2.11 [0]!Qté))</f>
        <v>#REF!</v>
      </c>
      <c r="C678" s="2" t="e">
        <f>([0]!P_1_11.6.2.11 [0]!PU)</f>
        <v>#REF!</v>
      </c>
      <c r="D678" s="2" t="e">
        <f>IF(ISTEXT(([0]!P_1_11.6.2.11 [0]!MT)),0,([0]!P_1_11.6.2.11 [0]!MT))</f>
        <v>#REF!</v>
      </c>
    </row>
    <row r="679" spans="1:4" x14ac:dyDescent="0.25">
      <c r="A679" s="1" t="s">
        <v>1218</v>
      </c>
      <c r="B679" s="3" t="e">
        <f>IF(ISTEXT(([0]!P_1_11.6.2.12 [0]!Qté)),0,([0]!P_1_11.6.2.12 [0]!Qté))</f>
        <v>#REF!</v>
      </c>
      <c r="C679" s="2" t="e">
        <f>([0]!P_1_11.6.2.12 [0]!PU)</f>
        <v>#REF!</v>
      </c>
      <c r="D679" s="2" t="e">
        <f>IF(ISTEXT(([0]!P_1_11.6.2.12 [0]!MT)),0,([0]!P_1_11.6.2.12 [0]!MT))</f>
        <v>#REF!</v>
      </c>
    </row>
    <row r="680" spans="1:4" x14ac:dyDescent="0.25">
      <c r="A680" s="1" t="s">
        <v>929</v>
      </c>
      <c r="B680" s="3" t="e">
        <f>IF(ISTEXT(([0]!P_1_11.7.1 [0]!Qté)),0,([0]!P_1_11.7.1 [0]!Qté))</f>
        <v>#REF!</v>
      </c>
      <c r="C680" s="2" t="e">
        <f>([0]!P_1_11.7.1 [0]!PU)</f>
        <v>#REF!</v>
      </c>
      <c r="D680" s="2" t="e">
        <f>IF(ISTEXT(([0]!P_1_11.7.1 [0]!MT)),0,([0]!P_1_11.7.1 [0]!MT))</f>
        <v>#REF!</v>
      </c>
    </row>
    <row r="681" spans="1:4" x14ac:dyDescent="0.25">
      <c r="A681" s="1" t="s">
        <v>1219</v>
      </c>
      <c r="B681" s="3" t="e">
        <f>IF(ISTEXT(([0]!P_1_11.7.2 [0]!Qté)),0,([0]!P_1_11.7.2 [0]!Qté))</f>
        <v>#REF!</v>
      </c>
      <c r="C681" s="2" t="e">
        <f>([0]!P_1_11.7.2 [0]!PU)</f>
        <v>#REF!</v>
      </c>
      <c r="D681" s="2" t="e">
        <f>IF(ISTEXT(([0]!P_1_11.7.2 [0]!MT)),0,([0]!P_1_11.7.2 [0]!MT))</f>
        <v>#REF!</v>
      </c>
    </row>
    <row r="682" spans="1:4" x14ac:dyDescent="0.25">
      <c r="A682" s="1" t="s">
        <v>1220</v>
      </c>
      <c r="B682" s="3" t="e">
        <f>IF(ISTEXT(([0]!P_1_11.7.3 [0]!Qté)),0,([0]!P_1_11.7.3 [0]!Qté))</f>
        <v>#REF!</v>
      </c>
      <c r="C682" s="2" t="e">
        <f>([0]!P_1_11.7.3 [0]!PU)</f>
        <v>#REF!</v>
      </c>
      <c r="D682" s="2" t="e">
        <f>IF(ISTEXT(([0]!P_1_11.7.3 [0]!MT)),0,([0]!P_1_11.7.3 [0]!MT))</f>
        <v>#REF!</v>
      </c>
    </row>
    <row r="683" spans="1:4" x14ac:dyDescent="0.25">
      <c r="A683" s="1" t="s">
        <v>1221</v>
      </c>
      <c r="B683" s="3" t="e">
        <f>IF(ISTEXT(([0]!P_1_11.8.1 [0]!Qté)),0,([0]!P_1_11.8.1 [0]!Qté))</f>
        <v>#REF!</v>
      </c>
      <c r="C683" s="2" t="e">
        <f>([0]!P_1_11.8.1 [0]!PU)</f>
        <v>#REF!</v>
      </c>
      <c r="D683" s="2" t="e">
        <f>IF(ISTEXT(([0]!P_1_11.8.1 [0]!MT)),0,([0]!P_1_11.8.1 [0]!MT))</f>
        <v>#REF!</v>
      </c>
    </row>
    <row r="684" spans="1:4" x14ac:dyDescent="0.25">
      <c r="A684" s="1" t="s">
        <v>1222</v>
      </c>
      <c r="B684" s="3" t="e">
        <f>IF(ISTEXT(([0]!P_1_11.8.2 [0]!Qté)),0,([0]!P_1_11.8.2 [0]!Qté))</f>
        <v>#REF!</v>
      </c>
      <c r="C684" s="2" t="e">
        <f>([0]!P_1_11.8.2 [0]!PU)</f>
        <v>#REF!</v>
      </c>
      <c r="D684" s="2" t="e">
        <f>IF(ISTEXT(([0]!P_1_11.8.2 [0]!MT)),0,([0]!P_1_11.8.2 [0]!MT))</f>
        <v>#REF!</v>
      </c>
    </row>
    <row r="685" spans="1:4" x14ac:dyDescent="0.25">
      <c r="A685" s="1" t="s">
        <v>1223</v>
      </c>
      <c r="B685" s="3" t="e">
        <f>IF(ISTEXT(([0]!P_1_11.8.3 [0]!Qté)),0,([0]!P_1_11.8.3 [0]!Qté))</f>
        <v>#REF!</v>
      </c>
      <c r="C685" s="2" t="e">
        <f>([0]!P_1_11.8.3 [0]!PU)</f>
        <v>#REF!</v>
      </c>
      <c r="D685" s="2" t="e">
        <f>IF(ISTEXT(([0]!P_1_11.8.3 [0]!MT)),0,([0]!P_1_11.8.3 [0]!MT))</f>
        <v>#REF!</v>
      </c>
    </row>
    <row r="686" spans="1:4" x14ac:dyDescent="0.25">
      <c r="A686" s="1" t="s">
        <v>1224</v>
      </c>
      <c r="B686" s="3" t="e">
        <f>IF(ISTEXT(([0]!P_1_11.8.4 [0]!Qté)),0,([0]!P_1_11.8.4 [0]!Qté))</f>
        <v>#REF!</v>
      </c>
      <c r="C686" s="2" t="e">
        <f>([0]!P_1_11.8.4 [0]!PU)</f>
        <v>#REF!</v>
      </c>
      <c r="D686" s="2" t="e">
        <f>IF(ISTEXT(([0]!P_1_11.8.4 [0]!MT)),0,([0]!P_1_11.8.4 [0]!MT))</f>
        <v>#REF!</v>
      </c>
    </row>
    <row r="687" spans="1:4" x14ac:dyDescent="0.25">
      <c r="A687" s="1" t="s">
        <v>1225</v>
      </c>
      <c r="B687" s="3" t="e">
        <f>IF(ISTEXT(([0]!P_1_11.8.5 [0]!Qté)),0,([0]!P_1_11.8.5 [0]!Qté))</f>
        <v>#REF!</v>
      </c>
      <c r="C687" s="2" t="e">
        <f>([0]!P_1_11.8.5 [0]!PU)</f>
        <v>#REF!</v>
      </c>
      <c r="D687" s="2" t="e">
        <f>IF(ISTEXT(([0]!P_1_11.8.5 [0]!MT)),0,([0]!P_1_11.8.5 [0]!MT))</f>
        <v>#REF!</v>
      </c>
    </row>
    <row r="688" spans="1:4" x14ac:dyDescent="0.25">
      <c r="A688" s="1" t="s">
        <v>1228</v>
      </c>
      <c r="B688" s="3" t="e">
        <f>IF(ISTEXT(([0]!P_1_12.1.1 [0]!Qté)),0,([0]!P_1_12.1.1 [0]!Qté))</f>
        <v>#REF!</v>
      </c>
      <c r="C688" s="2" t="e">
        <f>([0]!P_1_12.1.1 [0]!PU)</f>
        <v>#REF!</v>
      </c>
      <c r="D688" s="2" t="e">
        <f>IF(ISTEXT(([0]!P_1_12.1.1 [0]!MT)),0,([0]!P_1_12.1.1 [0]!MT))</f>
        <v>#REF!</v>
      </c>
    </row>
    <row r="689" spans="1:4" x14ac:dyDescent="0.25">
      <c r="A689" s="1" t="s">
        <v>1229</v>
      </c>
      <c r="B689" s="3" t="e">
        <f>IF(ISTEXT(([0]!P_1_12.1.2 [0]!Qté)),0,([0]!P_1_12.1.2 [0]!Qté))</f>
        <v>#REF!</v>
      </c>
      <c r="C689" s="2" t="e">
        <f>([0]!P_1_12.1.2 [0]!PU)</f>
        <v>#REF!</v>
      </c>
      <c r="D689" s="2" t="e">
        <f>IF(ISTEXT(([0]!P_1_12.1.2 [0]!MT)),0,([0]!P_1_12.1.2 [0]!MT))</f>
        <v>#REF!</v>
      </c>
    </row>
    <row r="690" spans="1:4" x14ac:dyDescent="0.25">
      <c r="A690" s="1" t="s">
        <v>1230</v>
      </c>
      <c r="B690" s="3" t="e">
        <f>IF(ISTEXT(([0]!P_1_12.1.3 [0]!Qté)),0,([0]!P_1_12.1.3 [0]!Qté))</f>
        <v>#REF!</v>
      </c>
      <c r="C690" s="2" t="e">
        <f>([0]!P_1_12.1.3 [0]!PU)</f>
        <v>#REF!</v>
      </c>
      <c r="D690" s="2" t="e">
        <f>IF(ISTEXT(([0]!P_1_12.1.3 [0]!MT)),0,([0]!P_1_12.1.3 [0]!MT))</f>
        <v>#REF!</v>
      </c>
    </row>
    <row r="691" spans="1:4" x14ac:dyDescent="0.25">
      <c r="A691" s="1" t="s">
        <v>930</v>
      </c>
      <c r="B691" s="3" t="e">
        <f>IF(ISTEXT(([0]!P_1_12.1.4 [0]!Qté)),0,([0]!P_1_12.1.4 [0]!Qté))</f>
        <v>#REF!</v>
      </c>
      <c r="C691" s="2" t="e">
        <f>([0]!P_1_12.1.4 [0]!PU)</f>
        <v>#REF!</v>
      </c>
      <c r="D691" s="2" t="e">
        <f>IF(ISTEXT(([0]!P_1_12.1.4 [0]!MT)),0,([0]!P_1_12.1.4 [0]!MT))</f>
        <v>#REF!</v>
      </c>
    </row>
    <row r="692" spans="1:4" x14ac:dyDescent="0.25">
      <c r="A692" s="1" t="s">
        <v>1231</v>
      </c>
      <c r="B692" s="3" t="e">
        <f>IF(ISTEXT(([0]!P_1_12.2.1.1 [0]!Qté)),0,([0]!P_1_12.2.1.1 [0]!Qté))</f>
        <v>#REF!</v>
      </c>
      <c r="C692" s="2" t="e">
        <f>([0]!P_1_12.2.1.1 [0]!PU)</f>
        <v>#REF!</v>
      </c>
      <c r="D692" s="2" t="e">
        <f>IF(ISTEXT(([0]!P_1_12.2.1.1 [0]!MT)),0,([0]!P_1_12.2.1.1 [0]!MT))</f>
        <v>#REF!</v>
      </c>
    </row>
    <row r="693" spans="1:4" x14ac:dyDescent="0.25">
      <c r="A693" s="1" t="s">
        <v>931</v>
      </c>
      <c r="B693" s="3" t="e">
        <f>IF(ISTEXT(([0]!P_1_12.2.1.2 [0]!Qté)),0,([0]!P_1_12.2.1.2 [0]!Qté))</f>
        <v>#REF!</v>
      </c>
      <c r="C693" s="2" t="e">
        <f>([0]!P_1_12.2.1.2 [0]!PU)</f>
        <v>#REF!</v>
      </c>
      <c r="D693" s="2" t="e">
        <f>IF(ISTEXT(([0]!P_1_12.2.1.2 [0]!MT)),0,([0]!P_1_12.2.1.2 [0]!MT))</f>
        <v>#REF!</v>
      </c>
    </row>
    <row r="694" spans="1:4" x14ac:dyDescent="0.25">
      <c r="A694" s="1" t="s">
        <v>932</v>
      </c>
      <c r="B694" s="3" t="e">
        <f>IF(ISTEXT(([0]!P_1_12.2.1.3 [0]!Qté)),0,([0]!P_1_12.2.1.3 [0]!Qté))</f>
        <v>#REF!</v>
      </c>
      <c r="C694" s="2" t="e">
        <f>([0]!P_1_12.2.1.3 [0]!PU)</f>
        <v>#REF!</v>
      </c>
      <c r="D694" s="2" t="e">
        <f>IF(ISTEXT(([0]!P_1_12.2.1.3 [0]!MT)),0,([0]!P_1_12.2.1.3 [0]!MT))</f>
        <v>#REF!</v>
      </c>
    </row>
    <row r="695" spans="1:4" x14ac:dyDescent="0.25">
      <c r="A695" s="1" t="s">
        <v>933</v>
      </c>
      <c r="B695" s="3" t="e">
        <f>IF(ISTEXT(([0]!P_1_12.2.1.4 [0]!Qté)),0,([0]!P_1_12.2.1.4 [0]!Qté))</f>
        <v>#REF!</v>
      </c>
      <c r="C695" s="2" t="e">
        <f>([0]!P_1_12.2.1.4 [0]!PU)</f>
        <v>#REF!</v>
      </c>
      <c r="D695" s="2" t="e">
        <f>IF(ISTEXT(([0]!P_1_12.2.1.4 [0]!MT)),0,([0]!P_1_12.2.1.4 [0]!MT))</f>
        <v>#REF!</v>
      </c>
    </row>
    <row r="696" spans="1:4" x14ac:dyDescent="0.25">
      <c r="A696" s="1" t="s">
        <v>1232</v>
      </c>
      <c r="B696" s="3" t="e">
        <f>IF(ISTEXT(([0]!P_1_12.2.1.5 [0]!Qté)),0,([0]!P_1_12.2.1.5 [0]!Qté))</f>
        <v>#REF!</v>
      </c>
      <c r="C696" s="2" t="e">
        <f>([0]!P_1_12.2.1.5 [0]!PU)</f>
        <v>#REF!</v>
      </c>
      <c r="D696" s="2" t="e">
        <f>IF(ISTEXT(([0]!P_1_12.2.1.5 [0]!MT)),0,([0]!P_1_12.2.1.5 [0]!MT))</f>
        <v>#REF!</v>
      </c>
    </row>
    <row r="697" spans="1:4" x14ac:dyDescent="0.25">
      <c r="A697" s="1" t="s">
        <v>1233</v>
      </c>
      <c r="B697" s="3" t="e">
        <f>IF(ISTEXT(([0]!P_1_12.2.1.6 [0]!Qté)),0,([0]!P_1_12.2.1.6 [0]!Qté))</f>
        <v>#REF!</v>
      </c>
      <c r="C697" s="2" t="e">
        <f>([0]!P_1_12.2.1.6 [0]!PU)</f>
        <v>#REF!</v>
      </c>
      <c r="D697" s="2" t="e">
        <f>IF(ISTEXT(([0]!P_1_12.2.1.6 [0]!MT)),0,([0]!P_1_12.2.1.6 [0]!MT))</f>
        <v>#REF!</v>
      </c>
    </row>
    <row r="698" spans="1:4" x14ac:dyDescent="0.25">
      <c r="A698" s="1" t="s">
        <v>934</v>
      </c>
      <c r="B698" s="3" t="e">
        <f>IF(ISTEXT(([0]!P_1_12.2.1.7 [0]!Qté)),0,([0]!P_1_12.2.1.7 [0]!Qté))</f>
        <v>#REF!</v>
      </c>
      <c r="C698" s="2" t="e">
        <f>([0]!P_1_12.2.1.7 [0]!PU)</f>
        <v>#REF!</v>
      </c>
      <c r="D698" s="2" t="e">
        <f>IF(ISTEXT(([0]!P_1_12.2.1.7 [0]!MT)),0,([0]!P_1_12.2.1.7 [0]!MT))</f>
        <v>#REF!</v>
      </c>
    </row>
    <row r="699" spans="1:4" x14ac:dyDescent="0.25">
      <c r="A699" s="1" t="s">
        <v>1234</v>
      </c>
      <c r="B699" s="3" t="e">
        <f>IF(ISTEXT(([0]!P_1_12.2.1.8 [0]!Qté)),0,([0]!P_1_12.2.1.8 [0]!Qté))</f>
        <v>#REF!</v>
      </c>
      <c r="C699" s="2" t="e">
        <f>([0]!P_1_12.2.1.8 [0]!PU)</f>
        <v>#REF!</v>
      </c>
      <c r="D699" s="2" t="e">
        <f>IF(ISTEXT(([0]!P_1_12.2.1.8 [0]!MT)),0,([0]!P_1_12.2.1.8 [0]!MT))</f>
        <v>#REF!</v>
      </c>
    </row>
    <row r="700" spans="1:4" x14ac:dyDescent="0.25">
      <c r="A700" s="1" t="s">
        <v>1235</v>
      </c>
      <c r="B700" s="3" t="e">
        <f>IF(ISTEXT(([0]!P_1_12.2.1.9 [0]!Qté)),0,([0]!P_1_12.2.1.9 [0]!Qté))</f>
        <v>#REF!</v>
      </c>
      <c r="C700" s="2" t="e">
        <f>([0]!P_1_12.2.1.9 [0]!PU)</f>
        <v>#REF!</v>
      </c>
      <c r="D700" s="2" t="e">
        <f>IF(ISTEXT(([0]!P_1_12.2.1.9 [0]!MT)),0,([0]!P_1_12.2.1.9 [0]!MT))</f>
        <v>#REF!</v>
      </c>
    </row>
    <row r="701" spans="1:4" x14ac:dyDescent="0.25">
      <c r="A701" s="1" t="s">
        <v>1236</v>
      </c>
      <c r="B701" s="3" t="e">
        <f>IF(ISTEXT(([0]!P_1_12.2.2.1 [0]!Qté)),0,([0]!P_1_12.2.2.1 [0]!Qté))</f>
        <v>#REF!</v>
      </c>
      <c r="C701" s="2" t="e">
        <f>([0]!P_1_12.2.2.1 [0]!PU)</f>
        <v>#REF!</v>
      </c>
      <c r="D701" s="2" t="e">
        <f>IF(ISTEXT(([0]!P_1_12.2.2.1 [0]!MT)),0,([0]!P_1_12.2.2.1 [0]!MT))</f>
        <v>#REF!</v>
      </c>
    </row>
    <row r="702" spans="1:4" x14ac:dyDescent="0.25">
      <c r="A702" s="1" t="s">
        <v>1237</v>
      </c>
      <c r="B702" s="3" t="e">
        <f>IF(ISTEXT(([0]!P_1_12.2.2.2 [0]!Qté)),0,([0]!P_1_12.2.2.2 [0]!Qté))</f>
        <v>#REF!</v>
      </c>
      <c r="C702" s="2" t="e">
        <f>([0]!P_1_12.2.2.2 [0]!PU)</f>
        <v>#REF!</v>
      </c>
      <c r="D702" s="2" t="e">
        <f>IF(ISTEXT(([0]!P_1_12.2.2.2 [0]!MT)),0,([0]!P_1_12.2.2.2 [0]!MT))</f>
        <v>#REF!</v>
      </c>
    </row>
    <row r="703" spans="1:4" x14ac:dyDescent="0.25">
      <c r="A703" s="1" t="s">
        <v>1238</v>
      </c>
      <c r="B703" s="3" t="e">
        <f>IF(ISTEXT(([0]!P_1_12.2.2.3 [0]!Qté)),0,([0]!P_1_12.2.2.3 [0]!Qté))</f>
        <v>#REF!</v>
      </c>
      <c r="C703" s="2" t="e">
        <f>([0]!P_1_12.2.2.3 [0]!PU)</f>
        <v>#REF!</v>
      </c>
      <c r="D703" s="2" t="e">
        <f>IF(ISTEXT(([0]!P_1_12.2.2.3 [0]!MT)),0,([0]!P_1_12.2.2.3 [0]!MT))</f>
        <v>#REF!</v>
      </c>
    </row>
    <row r="704" spans="1:4" x14ac:dyDescent="0.25">
      <c r="A704" s="1" t="s">
        <v>1239</v>
      </c>
      <c r="B704" s="3" t="e">
        <f>IF(ISTEXT(([0]!P_1_12.2.2.4 [0]!Qté)),0,([0]!P_1_12.2.2.4 [0]!Qté))</f>
        <v>#REF!</v>
      </c>
      <c r="C704" s="2" t="e">
        <f>([0]!P_1_12.2.2.4 [0]!PU)</f>
        <v>#REF!</v>
      </c>
      <c r="D704" s="2" t="e">
        <f>IF(ISTEXT(([0]!P_1_12.2.2.4 [0]!MT)),0,([0]!P_1_12.2.2.4 [0]!MT))</f>
        <v>#REF!</v>
      </c>
    </row>
    <row r="705" spans="1:4" x14ac:dyDescent="0.25">
      <c r="A705" s="1" t="s">
        <v>958</v>
      </c>
      <c r="B705" s="3" t="e">
        <f>IF(ISTEXT(([0]!P_1_12.2.2.5 [0]!Qté)),0,([0]!P_1_12.2.2.5 [0]!Qté))</f>
        <v>#REF!</v>
      </c>
      <c r="C705" s="2" t="e">
        <f>([0]!P_1_12.2.2.5 [0]!PU)</f>
        <v>#REF!</v>
      </c>
      <c r="D705" s="2" t="e">
        <f>IF(ISTEXT(([0]!P_1_12.2.2.5 [0]!MT)),0,([0]!P_1_12.2.2.5 [0]!MT))</f>
        <v>#REF!</v>
      </c>
    </row>
    <row r="706" spans="1:4" x14ac:dyDescent="0.25">
      <c r="A706" s="1" t="s">
        <v>1240</v>
      </c>
      <c r="B706" s="3" t="e">
        <f>IF(ISTEXT(([0]!P_1_12.2.3 [0]!Qté)),0,([0]!P_1_12.2.3 [0]!Qté))</f>
        <v>#REF!</v>
      </c>
      <c r="C706" s="2" t="e">
        <f>([0]!P_1_12.2.3 [0]!PU)</f>
        <v>#REF!</v>
      </c>
      <c r="D706" s="2" t="e">
        <f>IF(ISTEXT(([0]!P_1_12.2.3 [0]!MT)),0,([0]!P_1_12.2.3 [0]!MT))</f>
        <v>#REF!</v>
      </c>
    </row>
    <row r="707" spans="1:4" x14ac:dyDescent="0.25">
      <c r="A707" s="1" t="s">
        <v>1241</v>
      </c>
      <c r="B707" s="3" t="e">
        <f>IF(ISTEXT(([0]!P_1_12.2.4 [0]!Qté)),0,([0]!P_1_12.2.4 [0]!Qté))</f>
        <v>#REF!</v>
      </c>
      <c r="C707" s="2" t="e">
        <f>([0]!P_1_12.2.4 [0]!PU)</f>
        <v>#REF!</v>
      </c>
      <c r="D707" s="2" t="e">
        <f>IF(ISTEXT(([0]!P_1_12.2.4 [0]!MT)),0,([0]!P_1_12.2.4 [0]!MT))</f>
        <v>#REF!</v>
      </c>
    </row>
    <row r="708" spans="1:4" x14ac:dyDescent="0.25">
      <c r="A708" s="1" t="s">
        <v>1242</v>
      </c>
      <c r="B708" s="3" t="e">
        <f>IF(ISTEXT(([0]!P_1_12.3.1 [0]!Qté)),0,([0]!P_1_12.3.1 [0]!Qté))</f>
        <v>#REF!</v>
      </c>
      <c r="C708" s="2" t="e">
        <f>([0]!P_1_12.3.1 [0]!PU)</f>
        <v>#REF!</v>
      </c>
      <c r="D708" s="2" t="e">
        <f>IF(ISTEXT(([0]!P_1_12.3.1 [0]!MT)),0,([0]!P_1_12.3.1 [0]!MT))</f>
        <v>#REF!</v>
      </c>
    </row>
    <row r="709" spans="1:4" x14ac:dyDescent="0.25">
      <c r="A709" s="1" t="s">
        <v>1243</v>
      </c>
      <c r="B709" s="3" t="e">
        <f>IF(ISTEXT(([0]!P_1_12.3.2 [0]!Qté)),0,([0]!P_1_12.3.2 [0]!Qté))</f>
        <v>#REF!</v>
      </c>
      <c r="C709" s="2" t="e">
        <f>([0]!P_1_12.3.2 [0]!PU)</f>
        <v>#REF!</v>
      </c>
      <c r="D709" s="2" t="e">
        <f>IF(ISTEXT(([0]!P_1_12.3.2 [0]!MT)),0,([0]!P_1_12.3.2 [0]!MT))</f>
        <v>#REF!</v>
      </c>
    </row>
    <row r="710" spans="1:4" x14ac:dyDescent="0.25">
      <c r="A710" s="1" t="s">
        <v>1244</v>
      </c>
      <c r="B710" s="3" t="e">
        <f>IF(ISTEXT(([0]!P_1_12.3.3 [0]!Qté)),0,([0]!P_1_12.3.3 [0]!Qté))</f>
        <v>#REF!</v>
      </c>
      <c r="C710" s="2" t="e">
        <f>([0]!P_1_12.3.3 [0]!PU)</f>
        <v>#REF!</v>
      </c>
      <c r="D710" s="2" t="e">
        <f>IF(ISTEXT(([0]!P_1_12.3.3 [0]!MT)),0,([0]!P_1_12.3.3 [0]!MT))</f>
        <v>#REF!</v>
      </c>
    </row>
    <row r="711" spans="1:4" x14ac:dyDescent="0.25">
      <c r="A711" s="1" t="s">
        <v>1245</v>
      </c>
      <c r="B711" s="3" t="e">
        <f>IF(ISTEXT(([0]!P_1_12.3.4 [0]!Qté)),0,([0]!P_1_12.3.4 [0]!Qté))</f>
        <v>#REF!</v>
      </c>
      <c r="C711" s="2" t="e">
        <f>([0]!P_1_12.3.4 [0]!PU)</f>
        <v>#REF!</v>
      </c>
      <c r="D711" s="2" t="e">
        <f>IF(ISTEXT(([0]!P_1_12.3.4 [0]!MT)),0,([0]!P_1_12.3.4 [0]!MT))</f>
        <v>#REF!</v>
      </c>
    </row>
    <row r="712" spans="1:4" x14ac:dyDescent="0.25">
      <c r="A712" s="1" t="s">
        <v>1246</v>
      </c>
      <c r="B712" s="3" t="e">
        <f>IF(ISTEXT(([0]!P_1_12.4.1 [0]!Qté)),0,([0]!P_1_12.4.1 [0]!Qté))</f>
        <v>#REF!</v>
      </c>
      <c r="C712" s="2" t="e">
        <f>([0]!P_1_12.4.1 [0]!PU)</f>
        <v>#REF!</v>
      </c>
      <c r="D712" s="2" t="e">
        <f>IF(ISTEXT(([0]!P_1_12.4.1 [0]!MT)),0,([0]!P_1_12.4.1 [0]!MT))</f>
        <v>#REF!</v>
      </c>
    </row>
    <row r="713" spans="1:4" x14ac:dyDescent="0.25">
      <c r="A713" s="1" t="s">
        <v>1247</v>
      </c>
      <c r="B713" s="3" t="e">
        <f>IF(ISTEXT(([0]!P_1_12.4.2 [0]!Qté)),0,([0]!P_1_12.4.2 [0]!Qté))</f>
        <v>#REF!</v>
      </c>
      <c r="C713" s="2" t="e">
        <f>([0]!P_1_12.4.2 [0]!PU)</f>
        <v>#REF!</v>
      </c>
      <c r="D713" s="2" t="e">
        <f>IF(ISTEXT(([0]!P_1_12.4.2 [0]!MT)),0,([0]!P_1_12.4.2 [0]!MT))</f>
        <v>#REF!</v>
      </c>
    </row>
    <row r="714" spans="1:4" x14ac:dyDescent="0.25">
      <c r="A714" s="1" t="s">
        <v>1248</v>
      </c>
      <c r="B714" s="3" t="e">
        <f>IF(ISTEXT(([0]!P_1_12.4.3 [0]!Qté)),0,([0]!P_1_12.4.3 [0]!Qté))</f>
        <v>#REF!</v>
      </c>
      <c r="C714" s="2" t="e">
        <f>([0]!P_1_12.4.3 [0]!PU)</f>
        <v>#REF!</v>
      </c>
      <c r="D714" s="2" t="e">
        <f>IF(ISTEXT(([0]!P_1_12.4.3 [0]!MT)),0,([0]!P_1_12.4.3 [0]!MT))</f>
        <v>#REF!</v>
      </c>
    </row>
    <row r="715" spans="1:4" x14ac:dyDescent="0.25">
      <c r="A715" s="1" t="s">
        <v>1249</v>
      </c>
      <c r="B715" s="3" t="e">
        <f>IF(ISTEXT(([0]!P_1_12.4.4 [0]!Qté)),0,([0]!P_1_12.4.4 [0]!Qté))</f>
        <v>#REF!</v>
      </c>
      <c r="C715" s="2" t="e">
        <f>([0]!P_1_12.4.4 [0]!PU)</f>
        <v>#REF!</v>
      </c>
      <c r="D715" s="2" t="e">
        <f>IF(ISTEXT(([0]!P_1_12.4.4 [0]!MT)),0,([0]!P_1_12.4.4 [0]!MT))</f>
        <v>#REF!</v>
      </c>
    </row>
    <row r="716" spans="1:4" x14ac:dyDescent="0.25">
      <c r="A716" s="1" t="s">
        <v>1250</v>
      </c>
      <c r="B716" s="3" t="e">
        <f>IF(ISTEXT(([0]!P_1_12.4.5 [0]!Qté)),0,([0]!P_1_12.4.5 [0]!Qté))</f>
        <v>#REF!</v>
      </c>
      <c r="C716" s="2" t="e">
        <f>([0]!P_1_12.4.5 [0]!PU)</f>
        <v>#REF!</v>
      </c>
      <c r="D716" s="2" t="e">
        <f>IF(ISTEXT(([0]!P_1_12.4.5 [0]!MT)),0,([0]!P_1_12.4.5 [0]!MT))</f>
        <v>#REF!</v>
      </c>
    </row>
    <row r="717" spans="1:4" x14ac:dyDescent="0.25">
      <c r="A717" s="1" t="s">
        <v>265</v>
      </c>
      <c r="B717" s="3" t="e">
        <f>IF(ISTEXT(([0]!P_1_12.4.6 [0]!Qté)),0,([0]!P_1_12.4.6 [0]!Qté))</f>
        <v>#REF!</v>
      </c>
      <c r="C717" s="2" t="e">
        <f>([0]!P_1_12.4.6 [0]!PU)</f>
        <v>#REF!</v>
      </c>
      <c r="D717" s="2" t="e">
        <f>IF(ISTEXT(([0]!P_1_12.4.6 [0]!MT)),0,([0]!P_1_12.4.6 [0]!MT))</f>
        <v>#REF!</v>
      </c>
    </row>
    <row r="718" spans="1:4" x14ac:dyDescent="0.25">
      <c r="A718" s="1" t="s">
        <v>1251</v>
      </c>
      <c r="B718" s="3" t="e">
        <f>IF(ISTEXT(([0]!P_1_12.4.7 [0]!Qté)),0,([0]!P_1_12.4.7 [0]!Qté))</f>
        <v>#REF!</v>
      </c>
      <c r="C718" s="2" t="e">
        <f>([0]!P_1_12.4.7 [0]!PU)</f>
        <v>#REF!</v>
      </c>
      <c r="D718" s="2" t="e">
        <f>IF(ISTEXT(([0]!P_1_12.4.7 [0]!MT)),0,([0]!P_1_12.4.7 [0]!MT))</f>
        <v>#REF!</v>
      </c>
    </row>
    <row r="719" spans="1:4" x14ac:dyDescent="0.25">
      <c r="A719" s="1" t="s">
        <v>1252</v>
      </c>
      <c r="B719" s="3" t="e">
        <f>IF(ISTEXT(([0]!P_1_12.4.8 [0]!Qté)),0,([0]!P_1_12.4.8 [0]!Qté))</f>
        <v>#REF!</v>
      </c>
      <c r="C719" s="2" t="e">
        <f>([0]!P_1_12.4.8 [0]!PU)</f>
        <v>#REF!</v>
      </c>
      <c r="D719" s="2" t="e">
        <f>IF(ISTEXT(([0]!P_1_12.4.8 [0]!MT)),0,([0]!P_1_12.4.8 [0]!MT))</f>
        <v>#REF!</v>
      </c>
    </row>
    <row r="720" spans="1:4" x14ac:dyDescent="0.25">
      <c r="A720" s="1" t="s">
        <v>1253</v>
      </c>
      <c r="B720" s="3" t="e">
        <f>IF(ISTEXT(([0]!P_1_12.5.1 [0]!Qté)),0,([0]!P_1_12.5.1 [0]!Qté))</f>
        <v>#REF!</v>
      </c>
      <c r="C720" s="2" t="e">
        <f>([0]!P_1_12.5.1 [0]!PU)</f>
        <v>#REF!</v>
      </c>
      <c r="D720" s="2" t="e">
        <f>IF(ISTEXT(([0]!P_1_12.5.1 [0]!MT)),0,([0]!P_1_12.5.1 [0]!MT))</f>
        <v>#REF!</v>
      </c>
    </row>
    <row r="721" spans="1:4" x14ac:dyDescent="0.25">
      <c r="A721" s="1" t="s">
        <v>1254</v>
      </c>
      <c r="B721" s="3" t="e">
        <f>IF(ISTEXT(([0]!P_1_12.5.2 [0]!Qté)),0,([0]!P_1_12.5.2 [0]!Qté))</f>
        <v>#REF!</v>
      </c>
      <c r="C721" s="2" t="e">
        <f>([0]!P_1_12.5.2 [0]!PU)</f>
        <v>#REF!</v>
      </c>
      <c r="D721" s="2" t="e">
        <f>IF(ISTEXT(([0]!P_1_12.5.2 [0]!MT)),0,([0]!P_1_12.5.2 [0]!MT))</f>
        <v>#REF!</v>
      </c>
    </row>
    <row r="722" spans="1:4" x14ac:dyDescent="0.25">
      <c r="A722" s="1" t="s">
        <v>1255</v>
      </c>
      <c r="B722" s="3" t="e">
        <f>IF(ISTEXT(([0]!P_1_12.5.3 [0]!Qté)),0,([0]!P_1_12.5.3 [0]!Qté))</f>
        <v>#REF!</v>
      </c>
      <c r="C722" s="2" t="e">
        <f>([0]!P_1_12.5.3 [0]!PU)</f>
        <v>#REF!</v>
      </c>
      <c r="D722" s="2" t="e">
        <f>IF(ISTEXT(([0]!P_1_12.5.3 [0]!MT)),0,([0]!P_1_12.5.3 [0]!MT))</f>
        <v>#REF!</v>
      </c>
    </row>
    <row r="723" spans="1:4" x14ac:dyDescent="0.25">
      <c r="A723" s="1" t="s">
        <v>1256</v>
      </c>
      <c r="B723" s="3" t="e">
        <f>IF(ISTEXT(([0]!P_1_12.5.4 [0]!Qté)),0,([0]!P_1_12.5.4 [0]!Qté))</f>
        <v>#REF!</v>
      </c>
      <c r="C723" s="2" t="e">
        <f>([0]!P_1_12.5.4 [0]!PU)</f>
        <v>#REF!</v>
      </c>
      <c r="D723" s="2" t="e">
        <f>IF(ISTEXT(([0]!P_1_12.5.4 [0]!MT)),0,([0]!P_1_12.5.4 [0]!MT))</f>
        <v>#REF!</v>
      </c>
    </row>
    <row r="724" spans="1:4" x14ac:dyDescent="0.25">
      <c r="A724" s="1" t="s">
        <v>1257</v>
      </c>
      <c r="B724" s="3" t="e">
        <f>IF(ISTEXT(([0]!P_1_12.5.5 [0]!Qté)),0,([0]!P_1_12.5.5 [0]!Qté))</f>
        <v>#REF!</v>
      </c>
      <c r="C724" s="2" t="e">
        <f>([0]!P_1_12.5.5 [0]!PU)</f>
        <v>#REF!</v>
      </c>
      <c r="D724" s="2" t="e">
        <f>IF(ISTEXT(([0]!P_1_12.5.5 [0]!MT)),0,([0]!P_1_12.5.5 [0]!MT))</f>
        <v>#REF!</v>
      </c>
    </row>
    <row r="725" spans="1:4" x14ac:dyDescent="0.25">
      <c r="A725" s="1" t="s">
        <v>1258</v>
      </c>
      <c r="B725" s="3" t="e">
        <f>IF(ISTEXT(([0]!P_1_12.5.6 [0]!Qté)),0,([0]!P_1_12.5.6 [0]!Qté))</f>
        <v>#REF!</v>
      </c>
      <c r="C725" s="2" t="e">
        <f>([0]!P_1_12.5.6 [0]!PU)</f>
        <v>#REF!</v>
      </c>
      <c r="D725" s="2" t="e">
        <f>IF(ISTEXT(([0]!P_1_12.5.6 [0]!MT)),0,([0]!P_1_12.5.6 [0]!MT))</f>
        <v>#REF!</v>
      </c>
    </row>
    <row r="726" spans="1:4" x14ac:dyDescent="0.25">
      <c r="A726" s="1" t="s">
        <v>1259</v>
      </c>
      <c r="B726" s="3" t="e">
        <f>IF(ISTEXT(([0]!P_1_12.6.1 [0]!Qté)),0,([0]!P_1_12.6.1 [0]!Qté))</f>
        <v>#REF!</v>
      </c>
      <c r="C726" s="2" t="e">
        <f>([0]!P_1_12.6.1 [0]!PU)</f>
        <v>#REF!</v>
      </c>
      <c r="D726" s="2" t="e">
        <f>IF(ISTEXT(([0]!P_1_12.6.1 [0]!MT)),0,([0]!P_1_12.6.1 [0]!MT))</f>
        <v>#REF!</v>
      </c>
    </row>
    <row r="727" spans="1:4" x14ac:dyDescent="0.25">
      <c r="A727" s="1" t="s">
        <v>1260</v>
      </c>
      <c r="B727" s="3" t="e">
        <f>IF(ISTEXT(([0]!P_1_12.6.2 [0]!Qté)),0,([0]!P_1_12.6.2 [0]!Qté))</f>
        <v>#REF!</v>
      </c>
      <c r="C727" s="2" t="e">
        <f>([0]!P_1_12.6.2 [0]!PU)</f>
        <v>#REF!</v>
      </c>
      <c r="D727" s="2" t="e">
        <f>IF(ISTEXT(([0]!P_1_12.6.2 [0]!MT)),0,([0]!P_1_12.6.2 [0]!MT))</f>
        <v>#REF!</v>
      </c>
    </row>
    <row r="728" spans="1:4" x14ac:dyDescent="0.25">
      <c r="A728" s="1" t="s">
        <v>935</v>
      </c>
      <c r="B728" s="3" t="e">
        <f>IF(ISTEXT(([0]!P_1_12.6.3.1 [0]!Qté)),0,([0]!P_1_12.6.3.1 [0]!Qté))</f>
        <v>#REF!</v>
      </c>
      <c r="C728" s="2" t="e">
        <f>([0]!P_1_12.6.3.1 [0]!PU)</f>
        <v>#REF!</v>
      </c>
      <c r="D728" s="2" t="e">
        <f>IF(ISTEXT(([0]!P_1_12.6.3.1 [0]!MT)),0,([0]!P_1_12.6.3.1 [0]!MT))</f>
        <v>#REF!</v>
      </c>
    </row>
    <row r="729" spans="1:4" x14ac:dyDescent="0.25">
      <c r="A729" s="1" t="s">
        <v>1261</v>
      </c>
      <c r="B729" s="3" t="e">
        <f>IF(ISTEXT(([0]!P_1_12.6.3.2 [0]!Qté)),0,([0]!P_1_12.6.3.2 [0]!Qté))</f>
        <v>#REF!</v>
      </c>
      <c r="C729" s="2" t="e">
        <f>([0]!P_1_12.6.3.2 [0]!PU)</f>
        <v>#REF!</v>
      </c>
      <c r="D729" s="2" t="e">
        <f>IF(ISTEXT(([0]!P_1_12.6.3.2 [0]!MT)),0,([0]!P_1_12.6.3.2 [0]!MT))</f>
        <v>#REF!</v>
      </c>
    </row>
    <row r="730" spans="1:4" x14ac:dyDescent="0.25">
      <c r="A730" s="1" t="s">
        <v>1262</v>
      </c>
      <c r="B730" s="3" t="e">
        <f>IF(ISTEXT(([0]!P_1_12.6.3.3 [0]!Qté)),0,([0]!P_1_12.6.3.3 [0]!Qté))</f>
        <v>#REF!</v>
      </c>
      <c r="C730" s="2" t="e">
        <f>([0]!P_1_12.6.3.3 [0]!PU)</f>
        <v>#REF!</v>
      </c>
      <c r="D730" s="2" t="e">
        <f>IF(ISTEXT(([0]!P_1_12.6.3.3 [0]!MT)),0,([0]!P_1_12.6.3.3 [0]!MT))</f>
        <v>#REF!</v>
      </c>
    </row>
    <row r="731" spans="1:4" x14ac:dyDescent="0.25">
      <c r="A731" s="1" t="s">
        <v>1263</v>
      </c>
      <c r="B731" s="3" t="e">
        <f>IF(ISTEXT(([0]!P_1_12.6.3.4 [0]!Qté)),0,([0]!P_1_12.6.3.4 [0]!Qté))</f>
        <v>#REF!</v>
      </c>
      <c r="C731" s="2" t="e">
        <f>([0]!P_1_12.6.3.4 [0]!PU)</f>
        <v>#REF!</v>
      </c>
      <c r="D731" s="2" t="e">
        <f>IF(ISTEXT(([0]!P_1_12.6.3.4 [0]!MT)),0,([0]!P_1_12.6.3.4 [0]!MT))</f>
        <v>#REF!</v>
      </c>
    </row>
    <row r="732" spans="1:4" x14ac:dyDescent="0.25">
      <c r="A732" s="1" t="s">
        <v>936</v>
      </c>
      <c r="B732" s="3" t="e">
        <f>IF(ISTEXT(([0]!P_1_12.6.3.5 [0]!Qté)),0,([0]!P_1_12.6.3.5 [0]!Qté))</f>
        <v>#REF!</v>
      </c>
      <c r="C732" s="2" t="e">
        <f>([0]!P_1_12.6.3.5 [0]!PU)</f>
        <v>#REF!</v>
      </c>
      <c r="D732" s="2" t="e">
        <f>IF(ISTEXT(([0]!P_1_12.6.3.5 [0]!MT)),0,([0]!P_1_12.6.3.5 [0]!MT))</f>
        <v>#REF!</v>
      </c>
    </row>
    <row r="733" spans="1:4" x14ac:dyDescent="0.25">
      <c r="A733" s="1" t="s">
        <v>937</v>
      </c>
      <c r="B733" s="3" t="e">
        <f>IF(ISTEXT(([0]!P_1_12.6.3.6 [0]!Qté)),0,([0]!P_1_12.6.3.6 [0]!Qté))</f>
        <v>#REF!</v>
      </c>
      <c r="C733" s="2" t="e">
        <f>([0]!P_1_12.6.3.6 [0]!PU)</f>
        <v>#REF!</v>
      </c>
      <c r="D733" s="2" t="e">
        <f>IF(ISTEXT(([0]!P_1_12.6.3.6 [0]!MT)),0,([0]!P_1_12.6.3.6 [0]!MT))</f>
        <v>#REF!</v>
      </c>
    </row>
    <row r="734" spans="1:4" x14ac:dyDescent="0.25">
      <c r="A734" s="1" t="s">
        <v>938</v>
      </c>
      <c r="B734" s="3" t="e">
        <f>IF(ISTEXT(([0]!P_1_12.6.3.7 [0]!Qté)),0,([0]!P_1_12.6.3.7 [0]!Qté))</f>
        <v>#REF!</v>
      </c>
      <c r="C734" s="2" t="e">
        <f>([0]!P_1_12.6.3.7 [0]!PU)</f>
        <v>#REF!</v>
      </c>
      <c r="D734" s="2" t="e">
        <f>IF(ISTEXT(([0]!P_1_12.6.3.7 [0]!MT)),0,([0]!P_1_12.6.3.7 [0]!MT))</f>
        <v>#REF!</v>
      </c>
    </row>
    <row r="735" spans="1:4" x14ac:dyDescent="0.25">
      <c r="A735" s="1" t="s">
        <v>266</v>
      </c>
      <c r="B735" s="3" t="e">
        <f>IF(ISTEXT(([0]!P_1_12.7.1 [0]!Qté)),0,([0]!P_1_12.7.1 [0]!Qté))</f>
        <v>#REF!</v>
      </c>
      <c r="C735" s="2" t="e">
        <f>([0]!P_1_12.7.1 [0]!PU)</f>
        <v>#REF!</v>
      </c>
      <c r="D735" s="2" t="e">
        <f>IF(ISTEXT(([0]!P_1_12.7.1 [0]!MT)),0,([0]!P_1_12.7.1 [0]!MT))</f>
        <v>#REF!</v>
      </c>
    </row>
    <row r="736" spans="1:4" x14ac:dyDescent="0.25">
      <c r="A736" s="1" t="s">
        <v>1264</v>
      </c>
      <c r="B736" s="3" t="e">
        <f>IF(ISTEXT(([0]!P_1_12.7.2 [0]!Qté)),0,([0]!P_1_12.7.2 [0]!Qté))</f>
        <v>#REF!</v>
      </c>
      <c r="C736" s="2" t="e">
        <f>([0]!P_1_12.7.2 [0]!PU)</f>
        <v>#REF!</v>
      </c>
      <c r="D736" s="2" t="e">
        <f>IF(ISTEXT(([0]!P_1_12.7.2 [0]!MT)),0,([0]!P_1_12.7.2 [0]!MT))</f>
        <v>#REF!</v>
      </c>
    </row>
    <row r="737" spans="1:4" x14ac:dyDescent="0.25">
      <c r="A737" s="1" t="s">
        <v>1265</v>
      </c>
      <c r="B737" s="3" t="e">
        <f>IF(ISTEXT(([0]!P_1_12.7.3 [0]!Qté)),0,([0]!P_1_12.7.3 [0]!Qté))</f>
        <v>#REF!</v>
      </c>
      <c r="C737" s="2" t="e">
        <f>([0]!P_1_12.7.3 [0]!PU)</f>
        <v>#REF!</v>
      </c>
      <c r="D737" s="2" t="e">
        <f>IF(ISTEXT(([0]!P_1_12.7.3 [0]!MT)),0,([0]!P_1_12.7.3 [0]!MT))</f>
        <v>#REF!</v>
      </c>
    </row>
    <row r="738" spans="1:4" x14ac:dyDescent="0.25">
      <c r="A738" s="1" t="s">
        <v>939</v>
      </c>
      <c r="B738" s="3" t="e">
        <f>IF(ISTEXT(([0]!P_1_12.7.4 [0]!Qté)),0,([0]!P_1_12.7.4 [0]!Qté))</f>
        <v>#REF!</v>
      </c>
      <c r="C738" s="2" t="e">
        <f>([0]!P_1_12.7.4 [0]!PU)</f>
        <v>#REF!</v>
      </c>
      <c r="D738" s="2" t="e">
        <f>IF(ISTEXT(([0]!P_1_12.7.4 [0]!MT)),0,([0]!P_1_12.7.4 [0]!MT))</f>
        <v>#REF!</v>
      </c>
    </row>
    <row r="739" spans="1:4" x14ac:dyDescent="0.25">
      <c r="A739" s="1" t="s">
        <v>1266</v>
      </c>
      <c r="B739" s="3" t="e">
        <f>IF(ISTEXT(([0]!P_1_12.7.5 [0]!Qté)),0,([0]!P_1_12.7.5 [0]!Qté))</f>
        <v>#REF!</v>
      </c>
      <c r="C739" s="2" t="e">
        <f>([0]!P_1_12.7.5 [0]!PU)</f>
        <v>#REF!</v>
      </c>
      <c r="D739" s="2" t="e">
        <f>IF(ISTEXT(([0]!P_1_12.7.5 [0]!MT)),0,([0]!P_1_12.7.5 [0]!MT))</f>
        <v>#REF!</v>
      </c>
    </row>
    <row r="740" spans="1:4" x14ac:dyDescent="0.25">
      <c r="A740" s="1" t="s">
        <v>940</v>
      </c>
      <c r="B740" s="3" t="e">
        <f>IF(ISTEXT(([0]!P_1_12.7.6 [0]!Qté)),0,([0]!P_1_12.7.6 [0]!Qté))</f>
        <v>#REF!</v>
      </c>
      <c r="C740" s="2" t="e">
        <f>([0]!P_1_12.7.6 [0]!PU)</f>
        <v>#REF!</v>
      </c>
      <c r="D740" s="2" t="e">
        <f>IF(ISTEXT(([0]!P_1_12.7.6 [0]!MT)),0,([0]!P_1_12.7.6 [0]!MT))</f>
        <v>#REF!</v>
      </c>
    </row>
    <row r="741" spans="1:4" x14ac:dyDescent="0.25">
      <c r="A741" s="1" t="s">
        <v>941</v>
      </c>
      <c r="B741" s="3" t="e">
        <f>IF(ISTEXT(([0]!P_1_12.7.7 [0]!Qté)),0,([0]!P_1_12.7.7 [0]!Qté))</f>
        <v>#REF!</v>
      </c>
      <c r="C741" s="2" t="e">
        <f>([0]!P_1_12.7.7 [0]!PU)</f>
        <v>#REF!</v>
      </c>
      <c r="D741" s="2" t="e">
        <f>IF(ISTEXT(([0]!P_1_12.7.7 [0]!MT)),0,([0]!P_1_12.7.7 [0]!MT))</f>
        <v>#REF!</v>
      </c>
    </row>
    <row r="742" spans="1:4" x14ac:dyDescent="0.25">
      <c r="A742" s="1" t="s">
        <v>1267</v>
      </c>
      <c r="B742" s="3" t="e">
        <f>IF(ISTEXT(([0]!P_1_12.7.8 [0]!Qté)),0,([0]!P_1_12.7.8 [0]!Qté))</f>
        <v>#REF!</v>
      </c>
      <c r="C742" s="2" t="e">
        <f>([0]!P_1_12.7.8 [0]!PU)</f>
        <v>#REF!</v>
      </c>
      <c r="D742" s="2" t="e">
        <f>IF(ISTEXT(([0]!P_1_12.7.8 [0]!MT)),0,([0]!P_1_12.7.8 [0]!MT))</f>
        <v>#REF!</v>
      </c>
    </row>
    <row r="743" spans="1:4" x14ac:dyDescent="0.25">
      <c r="A743" s="1" t="s">
        <v>1268</v>
      </c>
      <c r="B743" s="3" t="e">
        <f>IF(ISTEXT(([0]!P_1_12.7.9 [0]!Qté)),0,([0]!P_1_12.7.9 [0]!Qté))</f>
        <v>#REF!</v>
      </c>
      <c r="C743" s="2" t="e">
        <f>([0]!P_1_12.7.9 [0]!PU)</f>
        <v>#REF!</v>
      </c>
      <c r="D743" s="2" t="e">
        <f>IF(ISTEXT(([0]!P_1_12.7.9 [0]!MT)),0,([0]!P_1_12.7.9 [0]!MT))</f>
        <v>#REF!</v>
      </c>
    </row>
    <row r="744" spans="1:4" x14ac:dyDescent="0.25">
      <c r="A744" s="1" t="s">
        <v>1269</v>
      </c>
      <c r="B744" s="3" t="e">
        <f>IF(ISTEXT(([0]!P_1_12.7.10 [0]!Qté)),0,([0]!P_1_12.7.10 [0]!Qté))</f>
        <v>#REF!</v>
      </c>
      <c r="C744" s="2" t="e">
        <f>([0]!P_1_12.7.10 [0]!PU)</f>
        <v>#REF!</v>
      </c>
      <c r="D744" s="2" t="e">
        <f>IF(ISTEXT(([0]!P_1_12.7.10 [0]!MT)),0,([0]!P_1_12.7.10 [0]!MT))</f>
        <v>#REF!</v>
      </c>
    </row>
    <row r="745" spans="1:4" x14ac:dyDescent="0.25">
      <c r="A745" s="1" t="s">
        <v>1270</v>
      </c>
      <c r="B745" s="3" t="e">
        <f>IF(ISTEXT(([0]!P_1_12.8.1 [0]!Qté)),0,([0]!P_1_12.8.1 [0]!Qté))</f>
        <v>#REF!</v>
      </c>
      <c r="C745" s="2" t="e">
        <f>([0]!P_1_12.8.1 [0]!PU)</f>
        <v>#REF!</v>
      </c>
      <c r="D745" s="2" t="e">
        <f>IF(ISTEXT(([0]!P_1_12.8.1 [0]!MT)),0,([0]!P_1_12.8.1 [0]!MT))</f>
        <v>#REF!</v>
      </c>
    </row>
    <row r="746" spans="1:4" x14ac:dyDescent="0.25">
      <c r="A746" s="1" t="s">
        <v>1271</v>
      </c>
      <c r="B746" s="3" t="e">
        <f>IF(ISTEXT(([0]!P_1_12.8.2 [0]!Qté)),0,([0]!P_1_12.8.2 [0]!Qté))</f>
        <v>#REF!</v>
      </c>
      <c r="C746" s="2" t="e">
        <f>([0]!P_1_12.8.2 [0]!PU)</f>
        <v>#REF!</v>
      </c>
      <c r="D746" s="2" t="e">
        <f>IF(ISTEXT(([0]!P_1_12.8.2 [0]!MT)),0,([0]!P_1_12.8.2 [0]!MT))</f>
        <v>#REF!</v>
      </c>
    </row>
    <row r="747" spans="1:4" x14ac:dyDescent="0.25">
      <c r="A747" s="1" t="s">
        <v>1272</v>
      </c>
      <c r="B747" s="3" t="e">
        <f>IF(ISTEXT(([0]!P_1_12.8.3 [0]!Qté)),0,([0]!P_1_12.8.3 [0]!Qté))</f>
        <v>#REF!</v>
      </c>
      <c r="C747" s="2" t="e">
        <f>([0]!P_1_12.8.3 [0]!PU)</f>
        <v>#REF!</v>
      </c>
      <c r="D747" s="2" t="e">
        <f>IF(ISTEXT(([0]!P_1_12.8.3 [0]!MT)),0,([0]!P_1_12.8.3 [0]!MT))</f>
        <v>#REF!</v>
      </c>
    </row>
    <row r="748" spans="1:4" x14ac:dyDescent="0.25">
      <c r="A748" s="1" t="s">
        <v>1273</v>
      </c>
      <c r="B748" s="3" t="e">
        <f>IF(ISTEXT(([0]!P_1_12.8.4 [0]!Qté)),0,([0]!P_1_12.8.4 [0]!Qté))</f>
        <v>#REF!</v>
      </c>
      <c r="C748" s="2" t="e">
        <f>([0]!P_1_12.8.4 [0]!PU)</f>
        <v>#REF!</v>
      </c>
      <c r="D748" s="2" t="e">
        <f>IF(ISTEXT(([0]!P_1_12.8.4 [0]!MT)),0,([0]!P_1_12.8.4 [0]!MT))</f>
        <v>#REF!</v>
      </c>
    </row>
    <row r="749" spans="1:4" x14ac:dyDescent="0.25">
      <c r="A749" s="1" t="s">
        <v>1274</v>
      </c>
      <c r="B749" s="3" t="e">
        <f>IF(ISTEXT(([0]!P_1_12.9.1.1 [0]!Qté)),0,([0]!P_1_12.9.1.1 [0]!Qté))</f>
        <v>#REF!</v>
      </c>
      <c r="C749" s="2" t="e">
        <f>([0]!P_1_12.9.1.1 [0]!PU)</f>
        <v>#REF!</v>
      </c>
      <c r="D749" s="2" t="e">
        <f>IF(ISTEXT(([0]!P_1_12.9.1.1 [0]!MT)),0,([0]!P_1_12.9.1.1 [0]!MT))</f>
        <v>#REF!</v>
      </c>
    </row>
    <row r="750" spans="1:4" x14ac:dyDescent="0.25">
      <c r="A750" s="1" t="s">
        <v>942</v>
      </c>
      <c r="B750" s="3" t="e">
        <f>IF(ISTEXT(([0]!P_1_12.9.1.2 [0]!Qté)),0,([0]!P_1_12.9.1.2 [0]!Qté))</f>
        <v>#REF!</v>
      </c>
      <c r="C750" s="2" t="e">
        <f>([0]!P_1_12.9.1.2 [0]!PU)</f>
        <v>#REF!</v>
      </c>
      <c r="D750" s="2" t="e">
        <f>IF(ISTEXT(([0]!P_1_12.9.1.2 [0]!MT)),0,([0]!P_1_12.9.1.2 [0]!MT))</f>
        <v>#REF!</v>
      </c>
    </row>
    <row r="751" spans="1:4" x14ac:dyDescent="0.25">
      <c r="A751" s="1" t="s">
        <v>943</v>
      </c>
      <c r="B751" s="3" t="e">
        <f>IF(ISTEXT(([0]!P_1_12.9.1.3 [0]!Qté)),0,([0]!P_1_12.9.1.3 [0]!Qté))</f>
        <v>#REF!</v>
      </c>
      <c r="C751" s="2" t="e">
        <f>([0]!P_1_12.9.1.3 [0]!PU)</f>
        <v>#REF!</v>
      </c>
      <c r="D751" s="2" t="e">
        <f>IF(ISTEXT(([0]!P_1_12.9.1.3 [0]!MT)),0,([0]!P_1_12.9.1.3 [0]!MT))</f>
        <v>#REF!</v>
      </c>
    </row>
    <row r="752" spans="1:4" x14ac:dyDescent="0.25">
      <c r="A752" s="1" t="s">
        <v>1275</v>
      </c>
      <c r="B752" s="3" t="e">
        <f>IF(ISTEXT(([0]!P_1_12.9.1.4 [0]!Qté)),0,([0]!P_1_12.9.1.4 [0]!Qté))</f>
        <v>#REF!</v>
      </c>
      <c r="C752" s="2" t="e">
        <f>([0]!P_1_12.9.1.4 [0]!PU)</f>
        <v>#REF!</v>
      </c>
      <c r="D752" s="2" t="e">
        <f>IF(ISTEXT(([0]!P_1_12.9.1.4 [0]!MT)),0,([0]!P_1_12.9.1.4 [0]!MT))</f>
        <v>#REF!</v>
      </c>
    </row>
    <row r="753" spans="1:4" x14ac:dyDescent="0.25">
      <c r="A753" s="1" t="s">
        <v>1276</v>
      </c>
      <c r="B753" s="3" t="e">
        <f>IF(ISTEXT(([0]!P_1_12.9.1.5 [0]!Qté)),0,([0]!P_1_12.9.1.5 [0]!Qté))</f>
        <v>#REF!</v>
      </c>
      <c r="C753" s="2" t="e">
        <f>([0]!P_1_12.9.1.5 [0]!PU)</f>
        <v>#REF!</v>
      </c>
      <c r="D753" s="2" t="e">
        <f>IF(ISTEXT(([0]!P_1_12.9.1.5 [0]!MT)),0,([0]!P_1_12.9.1.5 [0]!MT))</f>
        <v>#REF!</v>
      </c>
    </row>
    <row r="754" spans="1:4" x14ac:dyDescent="0.25">
      <c r="A754" s="1" t="s">
        <v>944</v>
      </c>
      <c r="B754" s="3" t="e">
        <f>IF(ISTEXT(([0]!P_1_12.9.2.1 [0]!Qté)),0,([0]!P_1_12.9.2.1 [0]!Qté))</f>
        <v>#REF!</v>
      </c>
      <c r="C754" s="2" t="e">
        <f>([0]!P_1_12.9.2.1 [0]!PU)</f>
        <v>#REF!</v>
      </c>
      <c r="D754" s="2" t="e">
        <f>IF(ISTEXT(([0]!P_1_12.9.2.1 [0]!MT)),0,([0]!P_1_12.9.2.1 [0]!MT))</f>
        <v>#REF!</v>
      </c>
    </row>
    <row r="755" spans="1:4" x14ac:dyDescent="0.25">
      <c r="A755" s="1" t="s">
        <v>1277</v>
      </c>
      <c r="B755" s="3" t="e">
        <f>IF(ISTEXT(([0]!P_1_12.9.2.2 [0]!Qté)),0,([0]!P_1_12.9.2.2 [0]!Qté))</f>
        <v>#REF!</v>
      </c>
      <c r="C755" s="2" t="e">
        <f>([0]!P_1_12.9.2.2 [0]!PU)</f>
        <v>#REF!</v>
      </c>
      <c r="D755" s="2" t="e">
        <f>IF(ISTEXT(([0]!P_1_12.9.2.2 [0]!MT)),0,([0]!P_1_12.9.2.2 [0]!MT))</f>
        <v>#REF!</v>
      </c>
    </row>
    <row r="756" spans="1:4" x14ac:dyDescent="0.25">
      <c r="A756" s="1" t="s">
        <v>1278</v>
      </c>
      <c r="B756" s="3" t="e">
        <f>IF(ISTEXT(([0]!P_1_12.9.2.3 [0]!Qté)),0,([0]!P_1_12.9.2.3 [0]!Qté))</f>
        <v>#REF!</v>
      </c>
      <c r="C756" s="2" t="e">
        <f>([0]!P_1_12.9.2.3 [0]!PU)</f>
        <v>#REF!</v>
      </c>
      <c r="D756" s="2" t="e">
        <f>IF(ISTEXT(([0]!P_1_12.9.2.3 [0]!MT)),0,([0]!P_1_12.9.2.3 [0]!MT))</f>
        <v>#REF!</v>
      </c>
    </row>
    <row r="757" spans="1:4" x14ac:dyDescent="0.25">
      <c r="A757" s="1" t="s">
        <v>1279</v>
      </c>
      <c r="B757" s="3" t="e">
        <f>IF(ISTEXT(([0]!P_1_12.9.2.4 [0]!Qté)),0,([0]!P_1_12.9.2.4 [0]!Qté))</f>
        <v>#REF!</v>
      </c>
      <c r="C757" s="2" t="e">
        <f>([0]!P_1_12.9.2.4 [0]!PU)</f>
        <v>#REF!</v>
      </c>
      <c r="D757" s="2" t="e">
        <f>IF(ISTEXT(([0]!P_1_12.9.2.4 [0]!MT)),0,([0]!P_1_12.9.2.4 [0]!MT))</f>
        <v>#REF!</v>
      </c>
    </row>
    <row r="758" spans="1:4" x14ac:dyDescent="0.25">
      <c r="A758" s="1" t="s">
        <v>945</v>
      </c>
      <c r="B758" s="3" t="e">
        <f>IF(ISTEXT(([0]!P_1_12.9.2.5 [0]!Qté)),0,([0]!P_1_12.9.2.5 [0]!Qté))</f>
        <v>#REF!</v>
      </c>
      <c r="C758" s="2" t="e">
        <f>([0]!P_1_12.9.2.5 [0]!PU)</f>
        <v>#REF!</v>
      </c>
      <c r="D758" s="2" t="e">
        <f>IF(ISTEXT(([0]!P_1_12.9.2.5 [0]!MT)),0,([0]!P_1_12.9.2.5 [0]!MT))</f>
        <v>#REF!</v>
      </c>
    </row>
    <row r="759" spans="1:4" x14ac:dyDescent="0.25">
      <c r="A759" s="1" t="s">
        <v>946</v>
      </c>
      <c r="B759" s="3" t="e">
        <f>IF(ISTEXT(([0]!P_1_12.9.2.6 [0]!Qté)),0,([0]!P_1_12.9.2.6 [0]!Qté))</f>
        <v>#REF!</v>
      </c>
      <c r="C759" s="2" t="e">
        <f>([0]!P_1_12.9.2.6 [0]!PU)</f>
        <v>#REF!</v>
      </c>
      <c r="D759" s="2" t="e">
        <f>IF(ISTEXT(([0]!P_1_12.9.2.6 [0]!MT)),0,([0]!P_1_12.9.2.6 [0]!MT))</f>
        <v>#REF!</v>
      </c>
    </row>
    <row r="760" spans="1:4" x14ac:dyDescent="0.25">
      <c r="A760" s="1" t="s">
        <v>947</v>
      </c>
      <c r="B760" s="3" t="e">
        <f>IF(ISTEXT(([0]!P_1_12.9.2.7 [0]!Qté)),0,([0]!P_1_12.9.2.7 [0]!Qté))</f>
        <v>#REF!</v>
      </c>
      <c r="C760" s="2" t="e">
        <f>([0]!P_1_12.9.2.7 [0]!PU)</f>
        <v>#REF!</v>
      </c>
      <c r="D760" s="2" t="e">
        <f>IF(ISTEXT(([0]!P_1_12.9.2.7 [0]!MT)),0,([0]!P_1_12.9.2.7 [0]!MT))</f>
        <v>#REF!</v>
      </c>
    </row>
    <row r="761" spans="1:4" x14ac:dyDescent="0.25">
      <c r="A761" s="1" t="s">
        <v>1034</v>
      </c>
      <c r="B761" s="3" t="e">
        <f>IF(ISTEXT(([0]!P_1_12.9.2.8 [0]!Qté)),0,([0]!P_1_12.9.2.8 [0]!Qté))</f>
        <v>#REF!</v>
      </c>
      <c r="C761" s="2" t="e">
        <f>([0]!P_1_12.9.2.8 [0]!PU)</f>
        <v>#REF!</v>
      </c>
      <c r="D761" s="2" t="e">
        <f>IF(ISTEXT(([0]!P_1_12.9.2.8 [0]!MT)),0,([0]!P_1_12.9.2.8 [0]!MT))</f>
        <v>#REF!</v>
      </c>
    </row>
    <row r="762" spans="1:4" x14ac:dyDescent="0.25">
      <c r="A762" s="1" t="s">
        <v>1035</v>
      </c>
      <c r="B762" s="3" t="e">
        <f>IF(ISTEXT(([0]!P_1_12.9.3.1 [0]!Qté)),0,([0]!P_1_12.9.3.1 [0]!Qté))</f>
        <v>#REF!</v>
      </c>
      <c r="C762" s="2" t="e">
        <f>([0]!P_1_12.9.3.1 [0]!PU)</f>
        <v>#REF!</v>
      </c>
      <c r="D762" s="2" t="e">
        <f>IF(ISTEXT(([0]!P_1_12.9.3.1 [0]!MT)),0,([0]!P_1_12.9.3.1 [0]!MT))</f>
        <v>#REF!</v>
      </c>
    </row>
    <row r="763" spans="1:4" x14ac:dyDescent="0.25">
      <c r="A763" s="1" t="s">
        <v>1280</v>
      </c>
      <c r="B763" s="3" t="e">
        <f>IF(ISTEXT(([0]!P_1_12.9.3.2 [0]!Qté)),0,([0]!P_1_12.9.3.2 [0]!Qté))</f>
        <v>#REF!</v>
      </c>
      <c r="C763" s="2" t="e">
        <f>([0]!P_1_12.9.3.2 [0]!PU)</f>
        <v>#REF!</v>
      </c>
      <c r="D763" s="2" t="e">
        <f>IF(ISTEXT(([0]!P_1_12.9.3.2 [0]!MT)),0,([0]!P_1_12.9.3.2 [0]!MT))</f>
        <v>#REF!</v>
      </c>
    </row>
    <row r="764" spans="1:4" x14ac:dyDescent="0.25">
      <c r="A764" s="1" t="s">
        <v>1281</v>
      </c>
      <c r="B764" s="3" t="e">
        <f>IF(ISTEXT(([0]!P_1_12.9.3.3 [0]!Qté)),0,([0]!P_1_12.9.3.3 [0]!Qté))</f>
        <v>#REF!</v>
      </c>
      <c r="C764" s="2" t="e">
        <f>([0]!P_1_12.9.3.3 [0]!PU)</f>
        <v>#REF!</v>
      </c>
      <c r="D764" s="2" t="e">
        <f>IF(ISTEXT(([0]!P_1_12.9.3.3 [0]!MT)),0,([0]!P_1_12.9.3.3 [0]!MT))</f>
        <v>#REF!</v>
      </c>
    </row>
    <row r="765" spans="1:4" x14ac:dyDescent="0.25">
      <c r="A765" s="1" t="s">
        <v>1036</v>
      </c>
      <c r="B765" s="3" t="e">
        <f>IF(ISTEXT(([0]!P_1_12.9.4.1 [0]!Qté)),0,([0]!P_1_12.9.4.1 [0]!Qté))</f>
        <v>#REF!</v>
      </c>
      <c r="C765" s="2" t="e">
        <f>([0]!P_1_12.9.4.1 [0]!PU)</f>
        <v>#REF!</v>
      </c>
      <c r="D765" s="2" t="e">
        <f>IF(ISTEXT(([0]!P_1_12.9.4.1 [0]!MT)),0,([0]!P_1_12.9.4.1 [0]!MT))</f>
        <v>#REF!</v>
      </c>
    </row>
    <row r="766" spans="1:4" x14ac:dyDescent="0.25">
      <c r="A766" s="1" t="s">
        <v>1282</v>
      </c>
      <c r="B766" s="3" t="e">
        <f>IF(ISTEXT(([0]!P_1_12.9.4.2 [0]!Qté)),0,([0]!P_1_12.9.4.2 [0]!Qté))</f>
        <v>#REF!</v>
      </c>
      <c r="C766" s="2" t="e">
        <f>([0]!P_1_12.9.4.2 [0]!PU)</f>
        <v>#REF!</v>
      </c>
      <c r="D766" s="2" t="e">
        <f>IF(ISTEXT(([0]!P_1_12.9.4.2 [0]!MT)),0,([0]!P_1_12.9.4.2 [0]!MT))</f>
        <v>#REF!</v>
      </c>
    </row>
    <row r="767" spans="1:4" x14ac:dyDescent="0.25">
      <c r="A767" s="1" t="s">
        <v>1283</v>
      </c>
      <c r="B767" s="3" t="e">
        <f>IF(ISTEXT(([0]!P_1_12.9.4.3 [0]!Qté)),0,([0]!P_1_12.9.4.3 [0]!Qté))</f>
        <v>#REF!</v>
      </c>
      <c r="C767" s="2" t="e">
        <f>([0]!P_1_12.9.4.3 [0]!PU)</f>
        <v>#REF!</v>
      </c>
      <c r="D767" s="2" t="e">
        <f>IF(ISTEXT(([0]!P_1_12.9.4.3 [0]!MT)),0,([0]!P_1_12.9.4.3 [0]!MT))</f>
        <v>#REF!</v>
      </c>
    </row>
    <row r="768" spans="1:4" x14ac:dyDescent="0.25">
      <c r="A768" s="1" t="s">
        <v>1284</v>
      </c>
      <c r="B768" s="3" t="e">
        <f>IF(ISTEXT(([0]!P_1_12.9.4.4 [0]!Qté)),0,([0]!P_1_12.9.4.4 [0]!Qté))</f>
        <v>#REF!</v>
      </c>
      <c r="C768" s="2" t="e">
        <f>([0]!P_1_12.9.4.4 [0]!PU)</f>
        <v>#REF!</v>
      </c>
      <c r="D768" s="2" t="e">
        <f>IF(ISTEXT(([0]!P_1_12.9.4.4 [0]!MT)),0,([0]!P_1_12.9.4.4 [0]!MT))</f>
        <v>#REF!</v>
      </c>
    </row>
    <row r="769" spans="1:4" x14ac:dyDescent="0.25">
      <c r="A769" s="1" t="s">
        <v>1037</v>
      </c>
      <c r="B769" s="3" t="e">
        <f>IF(ISTEXT(([0]!P_1_12.9.4.5 [0]!Qté)),0,([0]!P_1_12.9.4.5 [0]!Qté))</f>
        <v>#REF!</v>
      </c>
      <c r="C769" s="2" t="e">
        <f>([0]!P_1_12.9.4.5 [0]!PU)</f>
        <v>#REF!</v>
      </c>
      <c r="D769" s="2" t="e">
        <f>IF(ISTEXT(([0]!P_1_12.9.4.5 [0]!MT)),0,([0]!P_1_12.9.4.5 [0]!MT))</f>
        <v>#REF!</v>
      </c>
    </row>
    <row r="770" spans="1:4" x14ac:dyDescent="0.25">
      <c r="A770" s="1" t="s">
        <v>1038</v>
      </c>
      <c r="B770" s="3" t="e">
        <f>IF(ISTEXT(([0]!P_1_12.9.4.6 [0]!Qté)),0,([0]!P_1_12.9.4.6 [0]!Qté))</f>
        <v>#REF!</v>
      </c>
      <c r="C770" s="2" t="e">
        <f>([0]!P_1_12.9.4.6 [0]!PU)</f>
        <v>#REF!</v>
      </c>
      <c r="D770" s="2" t="e">
        <f>IF(ISTEXT(([0]!P_1_12.9.4.6 [0]!MT)),0,([0]!P_1_12.9.4.6 [0]!MT))</f>
        <v>#REF!</v>
      </c>
    </row>
    <row r="771" spans="1:4" x14ac:dyDescent="0.25">
      <c r="A771" s="1" t="s">
        <v>1039</v>
      </c>
      <c r="B771" s="3" t="e">
        <f>IF(ISTEXT(([0]!P_1_12.9.4.7 [0]!Qté)),0,([0]!P_1_12.9.4.7 [0]!Qté))</f>
        <v>#REF!</v>
      </c>
      <c r="C771" s="2" t="e">
        <f>([0]!P_1_12.9.4.7 [0]!PU)</f>
        <v>#REF!</v>
      </c>
      <c r="D771" s="2" t="e">
        <f>IF(ISTEXT(([0]!P_1_12.9.4.7 [0]!MT)),0,([0]!P_1_12.9.4.7 [0]!MT))</f>
        <v>#REF!</v>
      </c>
    </row>
    <row r="772" spans="1:4" x14ac:dyDescent="0.25">
      <c r="A772" s="1" t="s">
        <v>1040</v>
      </c>
      <c r="B772" s="3" t="e">
        <f>IF(ISTEXT(([0]!P_1_12.9.4.8 [0]!Qté)),0,([0]!P_1_12.9.4.8 [0]!Qté))</f>
        <v>#REF!</v>
      </c>
      <c r="C772" s="2" t="e">
        <f>([0]!P_1_12.9.4.8 [0]!PU)</f>
        <v>#REF!</v>
      </c>
      <c r="D772" s="2" t="e">
        <f>IF(ISTEXT(([0]!P_1_12.9.4.8 [0]!MT)),0,([0]!P_1_12.9.4.8 [0]!MT))</f>
        <v>#REF!</v>
      </c>
    </row>
    <row r="773" spans="1:4" x14ac:dyDescent="0.25">
      <c r="A773" s="1" t="s">
        <v>1041</v>
      </c>
      <c r="B773" s="3" t="e">
        <f>IF(ISTEXT(([0]!P_1_12.9.4.9 [0]!Qté)),0,([0]!P_1_12.9.4.9 [0]!Qté))</f>
        <v>#REF!</v>
      </c>
      <c r="C773" s="2" t="e">
        <f>([0]!P_1_12.9.4.9 [0]!PU)</f>
        <v>#REF!</v>
      </c>
      <c r="D773" s="2" t="e">
        <f>IF(ISTEXT(([0]!P_1_12.9.4.9 [0]!MT)),0,([0]!P_1_12.9.4.9 [0]!MT))</f>
        <v>#REF!</v>
      </c>
    </row>
    <row r="774" spans="1:4" x14ac:dyDescent="0.25">
      <c r="A774" s="1" t="s">
        <v>1285</v>
      </c>
      <c r="B774" s="3" t="e">
        <f>IF(ISTEXT(([0]!P_1_12.9.4.10 [0]!Qté)),0,([0]!P_1_12.9.4.10 [0]!Qté))</f>
        <v>#REF!</v>
      </c>
      <c r="C774" s="2" t="e">
        <f>([0]!P_1_12.9.4.10 [0]!PU)</f>
        <v>#REF!</v>
      </c>
      <c r="D774" s="2" t="e">
        <f>IF(ISTEXT(([0]!P_1_12.9.4.10 [0]!MT)),0,([0]!P_1_12.9.4.10 [0]!MT))</f>
        <v>#REF!</v>
      </c>
    </row>
    <row r="775" spans="1:4" x14ac:dyDescent="0.25">
      <c r="A775" s="1" t="s">
        <v>1286</v>
      </c>
      <c r="B775" s="3" t="e">
        <f>IF(ISTEXT(([0]!P_1_12.9.4.11 [0]!Qté)),0,([0]!P_1_12.9.4.11 [0]!Qté))</f>
        <v>#REF!</v>
      </c>
      <c r="C775" s="2" t="e">
        <f>([0]!P_1_12.9.4.11 [0]!PU)</f>
        <v>#REF!</v>
      </c>
      <c r="D775" s="2" t="e">
        <f>IF(ISTEXT(([0]!P_1_12.9.4.11 [0]!MT)),0,([0]!P_1_12.9.4.11 [0]!MT))</f>
        <v>#REF!</v>
      </c>
    </row>
    <row r="776" spans="1:4" x14ac:dyDescent="0.25">
      <c r="A776" s="1" t="s">
        <v>1287</v>
      </c>
      <c r="B776" s="3" t="e">
        <f>IF(ISTEXT(([0]!P_1_12.9.4.12 [0]!Qté)),0,([0]!P_1_12.9.4.12 [0]!Qté))</f>
        <v>#REF!</v>
      </c>
      <c r="C776" s="2" t="e">
        <f>([0]!P_1_12.9.4.12 [0]!PU)</f>
        <v>#REF!</v>
      </c>
      <c r="D776" s="2" t="e">
        <f>IF(ISTEXT(([0]!P_1_12.9.4.12 [0]!MT)),0,([0]!P_1_12.9.4.12 [0]!MT))</f>
        <v>#REF!</v>
      </c>
    </row>
    <row r="777" spans="1:4" x14ac:dyDescent="0.25">
      <c r="A777" s="1" t="s">
        <v>1288</v>
      </c>
      <c r="B777" s="3" t="e">
        <f>IF(ISTEXT(([0]!P_1_12.9.4.13 [0]!Qté)),0,([0]!P_1_12.9.4.13 [0]!Qté))</f>
        <v>#REF!</v>
      </c>
      <c r="C777" s="2" t="e">
        <f>([0]!P_1_12.9.4.13 [0]!PU)</f>
        <v>#REF!</v>
      </c>
      <c r="D777" s="2" t="e">
        <f>IF(ISTEXT(([0]!P_1_12.9.4.13 [0]!MT)),0,([0]!P_1_12.9.4.13 [0]!MT))</f>
        <v>#REF!</v>
      </c>
    </row>
    <row r="778" spans="1:4" x14ac:dyDescent="0.25">
      <c r="A778" s="1" t="s">
        <v>1289</v>
      </c>
      <c r="B778" s="3" t="e">
        <f>IF(ISTEXT(([0]!P_1_12.9.4.14 [0]!Qté)),0,([0]!P_1_12.9.4.14 [0]!Qté))</f>
        <v>#REF!</v>
      </c>
      <c r="C778" s="2" t="e">
        <f>([0]!P_1_12.9.4.14 [0]!PU)</f>
        <v>#REF!</v>
      </c>
      <c r="D778" s="2" t="e">
        <f>IF(ISTEXT(([0]!P_1_12.9.4.14 [0]!MT)),0,([0]!P_1_12.9.4.14 [0]!MT))</f>
        <v>#REF!</v>
      </c>
    </row>
    <row r="779" spans="1:4" x14ac:dyDescent="0.25">
      <c r="A779" s="1" t="s">
        <v>1290</v>
      </c>
      <c r="B779" s="3" t="e">
        <f>IF(ISTEXT(([0]!P_1_12.9.4.15 [0]!Qté)),0,([0]!P_1_12.9.4.15 [0]!Qté))</f>
        <v>#REF!</v>
      </c>
      <c r="C779" s="2" t="e">
        <f>([0]!P_1_12.9.4.15 [0]!PU)</f>
        <v>#REF!</v>
      </c>
      <c r="D779" s="2" t="e">
        <f>IF(ISTEXT(([0]!P_1_12.9.4.15 [0]!MT)),0,([0]!P_1_12.9.4.15 [0]!MT))</f>
        <v>#REF!</v>
      </c>
    </row>
    <row r="780" spans="1:4" x14ac:dyDescent="0.25">
      <c r="A780" s="1" t="s">
        <v>1291</v>
      </c>
      <c r="B780" s="3" t="e">
        <f>IF(ISTEXT(([0]!P_1_12.9.4.16 [0]!Qté)),0,([0]!P_1_12.9.4.16 [0]!Qté))</f>
        <v>#REF!</v>
      </c>
      <c r="C780" s="2" t="e">
        <f>([0]!P_1_12.9.4.16 [0]!PU)</f>
        <v>#REF!</v>
      </c>
      <c r="D780" s="2" t="e">
        <f>IF(ISTEXT(([0]!P_1_12.9.4.16 [0]!MT)),0,([0]!P_1_12.9.4.16 [0]!MT))</f>
        <v>#REF!</v>
      </c>
    </row>
    <row r="781" spans="1:4" x14ac:dyDescent="0.25">
      <c r="A781" s="1" t="s">
        <v>1292</v>
      </c>
      <c r="B781" s="3" t="e">
        <f>IF(ISTEXT(([0]!P_1_12.9.4.17 [0]!Qté)),0,([0]!P_1_12.9.4.17 [0]!Qté))</f>
        <v>#REF!</v>
      </c>
      <c r="C781" s="2" t="e">
        <f>([0]!P_1_12.9.4.17 [0]!PU)</f>
        <v>#REF!</v>
      </c>
      <c r="D781" s="2" t="e">
        <f>IF(ISTEXT(([0]!P_1_12.9.4.17 [0]!MT)),0,([0]!P_1_12.9.4.17 [0]!MT))</f>
        <v>#REF!</v>
      </c>
    </row>
    <row r="782" spans="1:4" x14ac:dyDescent="0.25">
      <c r="A782" s="1" t="s">
        <v>1293</v>
      </c>
      <c r="B782" s="3" t="e">
        <f>IF(ISTEXT(([0]!P_1_12.9.4.18 [0]!Qté)),0,([0]!P_1_12.9.4.18 [0]!Qté))</f>
        <v>#REF!</v>
      </c>
      <c r="C782" s="2" t="e">
        <f>([0]!P_1_12.9.4.18 [0]!PU)</f>
        <v>#REF!</v>
      </c>
      <c r="D782" s="2" t="e">
        <f>IF(ISTEXT(([0]!P_1_12.9.4.18 [0]!MT)),0,([0]!P_1_12.9.4.18 [0]!MT))</f>
        <v>#REF!</v>
      </c>
    </row>
    <row r="783" spans="1:4" x14ac:dyDescent="0.25">
      <c r="A783" s="1" t="s">
        <v>1294</v>
      </c>
      <c r="B783" s="3" t="e">
        <f>IF(ISTEXT(([0]!P_1_12.9.4.19 [0]!Qté)),0,([0]!P_1_12.9.4.19 [0]!Qté))</f>
        <v>#REF!</v>
      </c>
      <c r="C783" s="2" t="e">
        <f>([0]!P_1_12.9.4.19 [0]!PU)</f>
        <v>#REF!</v>
      </c>
      <c r="D783" s="2" t="e">
        <f>IF(ISTEXT(([0]!P_1_12.9.4.19 [0]!MT)),0,([0]!P_1_12.9.4.19 [0]!MT))</f>
        <v>#REF!</v>
      </c>
    </row>
    <row r="784" spans="1:4" x14ac:dyDescent="0.25">
      <c r="A784" s="1" t="s">
        <v>1295</v>
      </c>
      <c r="B784" s="3" t="e">
        <f>IF(ISTEXT(([0]!P_1_12.9.4.20 [0]!Qté)),0,([0]!P_1_12.9.4.20 [0]!Qté))</f>
        <v>#REF!</v>
      </c>
      <c r="C784" s="2" t="e">
        <f>([0]!P_1_12.9.4.20 [0]!PU)</f>
        <v>#REF!</v>
      </c>
      <c r="D784" s="2" t="e">
        <f>IF(ISTEXT(([0]!P_1_12.9.4.20 [0]!MT)),0,([0]!P_1_12.9.4.20 [0]!MT))</f>
        <v>#REF!</v>
      </c>
    </row>
    <row r="785" spans="1:4" x14ac:dyDescent="0.25">
      <c r="A785" s="1" t="s">
        <v>1296</v>
      </c>
      <c r="B785" s="3" t="e">
        <f>IF(ISTEXT(([0]!P_1_12.9.4.21 [0]!Qté)),0,([0]!P_1_12.9.4.21 [0]!Qté))</f>
        <v>#REF!</v>
      </c>
      <c r="C785" s="2" t="e">
        <f>([0]!P_1_12.9.4.21 [0]!PU)</f>
        <v>#REF!</v>
      </c>
      <c r="D785" s="2" t="e">
        <f>IF(ISTEXT(([0]!P_1_12.9.4.21 [0]!MT)),0,([0]!P_1_12.9.4.21 [0]!MT))</f>
        <v>#REF!</v>
      </c>
    </row>
    <row r="786" spans="1:4" x14ac:dyDescent="0.25">
      <c r="A786" s="1" t="s">
        <v>1297</v>
      </c>
      <c r="B786" s="3" t="e">
        <f>IF(ISTEXT(([0]!P_1_12.9.4.22 [0]!Qté)),0,([0]!P_1_12.9.4.22 [0]!Qté))</f>
        <v>#REF!</v>
      </c>
      <c r="C786" s="2" t="e">
        <f>([0]!P_1_12.9.4.22 [0]!PU)</f>
        <v>#REF!</v>
      </c>
      <c r="D786" s="2" t="e">
        <f>IF(ISTEXT(([0]!P_1_12.9.4.22 [0]!MT)),0,([0]!P_1_12.9.4.22 [0]!MT))</f>
        <v>#REF!</v>
      </c>
    </row>
    <row r="787" spans="1:4" x14ac:dyDescent="0.25">
      <c r="A787" s="1" t="s">
        <v>1298</v>
      </c>
      <c r="B787" s="3" t="e">
        <f>IF(ISTEXT(([0]!P_1_12.9.4.23 [0]!Qté)),0,([0]!P_1_12.9.4.23 [0]!Qté))</f>
        <v>#REF!</v>
      </c>
      <c r="C787" s="2" t="e">
        <f>([0]!P_1_12.9.4.23 [0]!PU)</f>
        <v>#REF!</v>
      </c>
      <c r="D787" s="2" t="e">
        <f>IF(ISTEXT(([0]!P_1_12.9.4.23 [0]!MT)),0,([0]!P_1_12.9.4.23 [0]!MT))</f>
        <v>#REF!</v>
      </c>
    </row>
    <row r="788" spans="1:4" x14ac:dyDescent="0.25">
      <c r="A788" s="1" t="s">
        <v>98</v>
      </c>
      <c r="B788" s="3" t="e">
        <f>IF(ISTEXT(([0]!P_1_12.9.4.24 [0]!Qté)),0,([0]!P_1_12.9.4.24 [0]!Qté))</f>
        <v>#REF!</v>
      </c>
      <c r="C788" s="2" t="e">
        <f>([0]!P_1_12.9.4.24 [0]!PU)</f>
        <v>#REF!</v>
      </c>
      <c r="D788" s="2" t="e">
        <f>IF(ISTEXT(([0]!P_1_12.9.4.24 [0]!MT)),0,([0]!P_1_12.9.4.24 [0]!MT))</f>
        <v>#REF!</v>
      </c>
    </row>
    <row r="789" spans="1:4" x14ac:dyDescent="0.25">
      <c r="A789" s="1" t="s">
        <v>99</v>
      </c>
      <c r="B789" s="3" t="e">
        <f>IF(ISTEXT(([0]!P_1_12.9.4.25 [0]!Qté)),0,([0]!P_1_12.9.4.25 [0]!Qté))</f>
        <v>#REF!</v>
      </c>
      <c r="C789" s="2" t="e">
        <f>([0]!P_1_12.9.4.25 [0]!PU)</f>
        <v>#REF!</v>
      </c>
      <c r="D789" s="2" t="e">
        <f>IF(ISTEXT(([0]!P_1_12.9.4.25 [0]!MT)),0,([0]!P_1_12.9.4.25 [0]!MT))</f>
        <v>#REF!</v>
      </c>
    </row>
    <row r="790" spans="1:4" x14ac:dyDescent="0.25">
      <c r="A790" s="1" t="s">
        <v>100</v>
      </c>
      <c r="B790" s="3" t="e">
        <f>IF(ISTEXT(([0]!P_1_12.9.4.26 [0]!Qté)),0,([0]!P_1_12.9.4.26 [0]!Qté))</f>
        <v>#REF!</v>
      </c>
      <c r="C790" s="2" t="e">
        <f>([0]!P_1_12.9.4.26 [0]!PU)</f>
        <v>#REF!</v>
      </c>
      <c r="D790" s="2" t="e">
        <f>IF(ISTEXT(([0]!P_1_12.9.4.26 [0]!MT)),0,([0]!P_1_12.9.4.26 [0]!MT))</f>
        <v>#REF!</v>
      </c>
    </row>
    <row r="791" spans="1:4" x14ac:dyDescent="0.25">
      <c r="A791" s="1" t="s">
        <v>101</v>
      </c>
      <c r="B791" s="3" t="e">
        <f>IF(ISTEXT(([0]!P_1_12.9.4.27 [0]!Qté)),0,([0]!P_1_12.9.4.27 [0]!Qté))</f>
        <v>#REF!</v>
      </c>
      <c r="C791" s="2" t="e">
        <f>([0]!P_1_12.9.4.27 [0]!PU)</f>
        <v>#REF!</v>
      </c>
      <c r="D791" s="2" t="e">
        <f>IF(ISTEXT(([0]!P_1_12.9.4.27 [0]!MT)),0,([0]!P_1_12.9.4.27 [0]!MT))</f>
        <v>#REF!</v>
      </c>
    </row>
    <row r="792" spans="1:4" x14ac:dyDescent="0.25">
      <c r="A792" s="1" t="s">
        <v>102</v>
      </c>
      <c r="B792" s="3" t="e">
        <f>IF(ISTEXT(([0]!P_1_12.9.4.28 [0]!Qté)),0,([0]!P_1_12.9.4.28 [0]!Qté))</f>
        <v>#REF!</v>
      </c>
      <c r="C792" s="2" t="e">
        <f>([0]!P_1_12.9.4.28 [0]!PU)</f>
        <v>#REF!</v>
      </c>
      <c r="D792" s="2" t="e">
        <f>IF(ISTEXT(([0]!P_1_12.9.4.28 [0]!MT)),0,([0]!P_1_12.9.4.28 [0]!MT))</f>
        <v>#REF!</v>
      </c>
    </row>
    <row r="793" spans="1:4" x14ac:dyDescent="0.25">
      <c r="A793" s="1" t="s">
        <v>103</v>
      </c>
      <c r="B793" s="3" t="e">
        <f>IF(ISTEXT(([0]!P_1_12.9.4.29.1 [0]!Qté)),0,([0]!P_1_12.9.4.29.1 [0]!Qté))</f>
        <v>#REF!</v>
      </c>
      <c r="C793" s="2" t="e">
        <f>([0]!P_1_12.9.4.29.1 [0]!PU)</f>
        <v>#REF!</v>
      </c>
      <c r="D793" s="2" t="e">
        <f>IF(ISTEXT(([0]!P_1_12.9.4.29.1 [0]!MT)),0,([0]!P_1_12.9.4.29.1 [0]!MT))</f>
        <v>#REF!</v>
      </c>
    </row>
    <row r="794" spans="1:4" x14ac:dyDescent="0.25">
      <c r="A794" s="1" t="s">
        <v>104</v>
      </c>
      <c r="B794" s="3" t="e">
        <f>IF(ISTEXT(([0]!P_1_12.9.4.29.2 [0]!Qté)),0,([0]!P_1_12.9.4.29.2 [0]!Qté))</f>
        <v>#REF!</v>
      </c>
      <c r="C794" s="2" t="e">
        <f>([0]!P_1_12.9.4.29.2 [0]!PU)</f>
        <v>#REF!</v>
      </c>
      <c r="D794" s="2" t="e">
        <f>IF(ISTEXT(([0]!P_1_12.9.4.29.2 [0]!MT)),0,([0]!P_1_12.9.4.29.2 [0]!MT))</f>
        <v>#REF!</v>
      </c>
    </row>
    <row r="795" spans="1:4" x14ac:dyDescent="0.25">
      <c r="A795" s="1" t="s">
        <v>105</v>
      </c>
      <c r="B795" s="3" t="e">
        <f>IF(ISTEXT(([0]!P_1_12.9.4.29.3 [0]!Qté)),0,([0]!P_1_12.9.4.29.3 [0]!Qté))</f>
        <v>#REF!</v>
      </c>
      <c r="C795" s="2" t="e">
        <f>([0]!P_1_12.9.4.29.3 [0]!PU)</f>
        <v>#REF!</v>
      </c>
      <c r="D795" s="2" t="e">
        <f>IF(ISTEXT(([0]!P_1_12.9.4.29.3 [0]!MT)),0,([0]!P_1_12.9.4.29.3 [0]!MT))</f>
        <v>#REF!</v>
      </c>
    </row>
    <row r="796" spans="1:4" x14ac:dyDescent="0.25">
      <c r="A796" s="1" t="s">
        <v>106</v>
      </c>
      <c r="B796" s="3" t="e">
        <f>IF(ISTEXT(([0]!P_1_12.9.4.29.4 [0]!Qté)),0,([0]!P_1_12.9.4.29.4 [0]!Qté))</f>
        <v>#REF!</v>
      </c>
      <c r="C796" s="2" t="e">
        <f>([0]!P_1_12.9.4.29.4 [0]!PU)</f>
        <v>#REF!</v>
      </c>
      <c r="D796" s="2" t="e">
        <f>IF(ISTEXT(([0]!P_1_12.9.4.29.4 [0]!MT)),0,([0]!P_1_12.9.4.29.4 [0]!MT))</f>
        <v>#REF!</v>
      </c>
    </row>
    <row r="797" spans="1:4" x14ac:dyDescent="0.25">
      <c r="A797" s="1" t="s">
        <v>107</v>
      </c>
      <c r="B797" s="3" t="e">
        <f>IF(ISTEXT(([0]!P_1_12.9.4.30.1 [0]!Qté)),0,([0]!P_1_12.9.4.30.1 [0]!Qté))</f>
        <v>#REF!</v>
      </c>
      <c r="C797" s="2" t="e">
        <f>([0]!P_1_12.9.4.30.1 [0]!PU)</f>
        <v>#REF!</v>
      </c>
      <c r="D797" s="2" t="e">
        <f>IF(ISTEXT(([0]!P_1_12.9.4.30.1 [0]!MT)),0,([0]!P_1_12.9.4.30.1 [0]!MT))</f>
        <v>#REF!</v>
      </c>
    </row>
    <row r="798" spans="1:4" x14ac:dyDescent="0.25">
      <c r="A798" s="1" t="s">
        <v>108</v>
      </c>
      <c r="B798" s="3" t="e">
        <f>IF(ISTEXT(([0]!P_1_12.9.4.30.2 [0]!Qté)),0,([0]!P_1_12.9.4.30.2 [0]!Qté))</f>
        <v>#REF!</v>
      </c>
      <c r="C798" s="2" t="e">
        <f>([0]!P_1_12.9.4.30.2 [0]!PU)</f>
        <v>#REF!</v>
      </c>
      <c r="D798" s="2" t="e">
        <f>IF(ISTEXT(([0]!P_1_12.9.4.30.2 [0]!MT)),0,([0]!P_1_12.9.4.30.2 [0]!MT))</f>
        <v>#REF!</v>
      </c>
    </row>
    <row r="799" spans="1:4" x14ac:dyDescent="0.25">
      <c r="A799" s="1" t="s">
        <v>109</v>
      </c>
      <c r="B799" s="3" t="e">
        <f>IF(ISTEXT(([0]!P_1_12.9.4.30.3 [0]!Qté)),0,([0]!P_1_12.9.4.30.3 [0]!Qté))</f>
        <v>#REF!</v>
      </c>
      <c r="C799" s="2" t="e">
        <f>([0]!P_1_12.9.4.30.3 [0]!PU)</f>
        <v>#REF!</v>
      </c>
      <c r="D799" s="2" t="e">
        <f>IF(ISTEXT(([0]!P_1_12.9.4.30.3 [0]!MT)),0,([0]!P_1_12.9.4.30.3 [0]!MT))</f>
        <v>#REF!</v>
      </c>
    </row>
    <row r="800" spans="1:4" x14ac:dyDescent="0.25">
      <c r="A800" s="1" t="s">
        <v>110</v>
      </c>
      <c r="B800" s="3" t="e">
        <f>IF(ISTEXT(([0]!P_1_12.9.4.30.4 [0]!Qté)),0,([0]!P_1_12.9.4.30.4 [0]!Qté))</f>
        <v>#REF!</v>
      </c>
      <c r="C800" s="2" t="e">
        <f>([0]!P_1_12.9.4.30.4 [0]!PU)</f>
        <v>#REF!</v>
      </c>
      <c r="D800" s="2" t="e">
        <f>IF(ISTEXT(([0]!P_1_12.9.4.30.4 [0]!MT)),0,([0]!P_1_12.9.4.30.4 [0]!MT))</f>
        <v>#REF!</v>
      </c>
    </row>
    <row r="801" spans="1:4" x14ac:dyDescent="0.25">
      <c r="A801" s="1" t="s">
        <v>1042</v>
      </c>
      <c r="B801" s="3" t="e">
        <f>IF(ISTEXT(([0]!P_1_12.9.4.30.5 [0]!Qté)),0,([0]!P_1_12.9.4.30.5 [0]!Qté))</f>
        <v>#REF!</v>
      </c>
      <c r="C801" s="2" t="e">
        <f>([0]!P_1_12.9.4.30.5 [0]!PU)</f>
        <v>#REF!</v>
      </c>
      <c r="D801" s="2" t="e">
        <f>IF(ISTEXT(([0]!P_1_12.9.4.30.5 [0]!MT)),0,([0]!P_1_12.9.4.30.5 [0]!MT))</f>
        <v>#REF!</v>
      </c>
    </row>
    <row r="802" spans="1:4" x14ac:dyDescent="0.25">
      <c r="A802" s="1" t="s">
        <v>1043</v>
      </c>
      <c r="B802" s="3" t="e">
        <f>IF(ISTEXT(([0]!P_1_12.9.4.30.6 [0]!Qté)),0,([0]!P_1_12.9.4.30.6 [0]!Qté))</f>
        <v>#REF!</v>
      </c>
      <c r="C802" s="2" t="e">
        <f>([0]!P_1_12.9.4.30.6 [0]!PU)</f>
        <v>#REF!</v>
      </c>
      <c r="D802" s="2" t="e">
        <f>IF(ISTEXT(([0]!P_1_12.9.4.30.6 [0]!MT)),0,([0]!P_1_12.9.4.30.6 [0]!MT))</f>
        <v>#REF!</v>
      </c>
    </row>
    <row r="803" spans="1:4" x14ac:dyDescent="0.25">
      <c r="A803" s="1" t="s">
        <v>1044</v>
      </c>
      <c r="B803" s="3" t="e">
        <f>IF(ISTEXT(([0]!P_1_12.9.4.30.7 [0]!Qté)),0,([0]!P_1_12.9.4.30.7 [0]!Qté))</f>
        <v>#REF!</v>
      </c>
      <c r="C803" s="2" t="e">
        <f>([0]!P_1_12.9.4.30.7 [0]!PU)</f>
        <v>#REF!</v>
      </c>
      <c r="D803" s="2" t="e">
        <f>IF(ISTEXT(([0]!P_1_12.9.4.30.7 [0]!MT)),0,([0]!P_1_12.9.4.30.7 [0]!MT))</f>
        <v>#REF!</v>
      </c>
    </row>
    <row r="804" spans="1:4" x14ac:dyDescent="0.25">
      <c r="A804" s="1" t="s">
        <v>1045</v>
      </c>
      <c r="B804" s="3" t="e">
        <f>IF(ISTEXT(([0]!P_1_12.9.4.30.8 [0]!Qté)),0,([0]!P_1_12.9.4.30.8 [0]!Qté))</f>
        <v>#REF!</v>
      </c>
      <c r="C804" s="2" t="e">
        <f>([0]!P_1_12.9.4.30.8 [0]!PU)</f>
        <v>#REF!</v>
      </c>
      <c r="D804" s="2" t="e">
        <f>IF(ISTEXT(([0]!P_1_12.9.4.30.8 [0]!MT)),0,([0]!P_1_12.9.4.30.8 [0]!MT))</f>
        <v>#REF!</v>
      </c>
    </row>
    <row r="805" spans="1:4" x14ac:dyDescent="0.25">
      <c r="A805" s="1" t="s">
        <v>1046</v>
      </c>
      <c r="B805" s="3" t="e">
        <f>IF(ISTEXT(([0]!P_1_12.9.4.30.9 [0]!Qté)),0,([0]!P_1_12.9.4.30.9 [0]!Qté))</f>
        <v>#REF!</v>
      </c>
      <c r="C805" s="2" t="e">
        <f>([0]!P_1_12.9.4.30.9 [0]!PU)</f>
        <v>#REF!</v>
      </c>
      <c r="D805" s="2" t="e">
        <f>IF(ISTEXT(([0]!P_1_12.9.4.30.9 [0]!MT)),0,([0]!P_1_12.9.4.30.9 [0]!MT))</f>
        <v>#REF!</v>
      </c>
    </row>
    <row r="806" spans="1:4" x14ac:dyDescent="0.25">
      <c r="A806" s="1" t="s">
        <v>1047</v>
      </c>
      <c r="B806" s="3" t="e">
        <f>IF(ISTEXT(([0]!P_1_12.9.4.30.10 [0]!Qté)),0,([0]!P_1_12.9.4.30.10 [0]!Qté))</f>
        <v>#REF!</v>
      </c>
      <c r="C806" s="2" t="e">
        <f>([0]!P_1_12.9.4.30.10 [0]!PU)</f>
        <v>#REF!</v>
      </c>
      <c r="D806" s="2" t="e">
        <f>IF(ISTEXT(([0]!P_1_12.9.4.30.10 [0]!MT)),0,([0]!P_1_12.9.4.30.10 [0]!MT))</f>
        <v>#REF!</v>
      </c>
    </row>
    <row r="807" spans="1:4" x14ac:dyDescent="0.25">
      <c r="A807" s="1" t="s">
        <v>111</v>
      </c>
      <c r="B807" s="3" t="e">
        <f>IF(ISTEXT(([0]!P_1_12.9.5.1.1 [0]!Qté)),0,([0]!P_1_12.9.5.1.1 [0]!Qté))</f>
        <v>#REF!</v>
      </c>
      <c r="C807" s="2" t="e">
        <f>([0]!P_1_12.9.5.1.1 [0]!PU)</f>
        <v>#REF!</v>
      </c>
      <c r="D807" s="2" t="e">
        <f>IF(ISTEXT(([0]!P_1_12.9.5.1.1 [0]!MT)),0,([0]!P_1_12.9.5.1.1 [0]!MT))</f>
        <v>#REF!</v>
      </c>
    </row>
    <row r="808" spans="1:4" x14ac:dyDescent="0.25">
      <c r="A808" s="1" t="s">
        <v>112</v>
      </c>
      <c r="B808" s="3" t="e">
        <f>IF(ISTEXT(([0]!P_1_12.9.5.1.2 [0]!Qté)),0,([0]!P_1_12.9.5.1.2 [0]!Qté))</f>
        <v>#REF!</v>
      </c>
      <c r="C808" s="2" t="e">
        <f>([0]!P_1_12.9.5.1.2 [0]!PU)</f>
        <v>#REF!</v>
      </c>
      <c r="D808" s="2" t="e">
        <f>IF(ISTEXT(([0]!P_1_12.9.5.1.2 [0]!MT)),0,([0]!P_1_12.9.5.1.2 [0]!MT))</f>
        <v>#REF!</v>
      </c>
    </row>
    <row r="809" spans="1:4" x14ac:dyDescent="0.25">
      <c r="A809" s="1" t="s">
        <v>113</v>
      </c>
      <c r="B809" s="3" t="e">
        <f>IF(ISTEXT(([0]!P_1_12.9.5.1.3 [0]!Qté)),0,([0]!P_1_12.9.5.1.3 [0]!Qté))</f>
        <v>#REF!</v>
      </c>
      <c r="C809" s="2" t="e">
        <f>([0]!P_1_12.9.5.1.3 [0]!PU)</f>
        <v>#REF!</v>
      </c>
      <c r="D809" s="2" t="e">
        <f>IF(ISTEXT(([0]!P_1_12.9.5.1.3 [0]!MT)),0,([0]!P_1_12.9.5.1.3 [0]!MT))</f>
        <v>#REF!</v>
      </c>
    </row>
    <row r="810" spans="1:4" x14ac:dyDescent="0.25">
      <c r="A810" s="1" t="s">
        <v>114</v>
      </c>
      <c r="B810" s="3" t="e">
        <f>IF(ISTEXT(([0]!P_1_12.9.5.1.4 [0]!Qté)),0,([0]!P_1_12.9.5.1.4 [0]!Qté))</f>
        <v>#REF!</v>
      </c>
      <c r="C810" s="2" t="e">
        <f>([0]!P_1_12.9.5.1.4 [0]!PU)</f>
        <v>#REF!</v>
      </c>
      <c r="D810" s="2" t="e">
        <f>IF(ISTEXT(([0]!P_1_12.9.5.1.4 [0]!MT)),0,([0]!P_1_12.9.5.1.4 [0]!MT))</f>
        <v>#REF!</v>
      </c>
    </row>
    <row r="811" spans="1:4" x14ac:dyDescent="0.25">
      <c r="A811" s="1" t="s">
        <v>115</v>
      </c>
      <c r="B811" s="3" t="e">
        <f>IF(ISTEXT(([0]!P_1_12.9.5.1.5 [0]!Qté)),0,([0]!P_1_12.9.5.1.5 [0]!Qté))</f>
        <v>#REF!</v>
      </c>
      <c r="C811" s="2" t="e">
        <f>([0]!P_1_12.9.5.1.5 [0]!PU)</f>
        <v>#REF!</v>
      </c>
      <c r="D811" s="2" t="e">
        <f>IF(ISTEXT(([0]!P_1_12.9.5.1.5 [0]!MT)),0,([0]!P_1_12.9.5.1.5 [0]!MT))</f>
        <v>#REF!</v>
      </c>
    </row>
    <row r="812" spans="1:4" x14ac:dyDescent="0.25">
      <c r="A812" s="1" t="s">
        <v>116</v>
      </c>
      <c r="B812" s="3" t="e">
        <f>IF(ISTEXT(([0]!P_1_12.9.5.1.6 [0]!Qté)),0,([0]!P_1_12.9.5.1.6 [0]!Qté))</f>
        <v>#REF!</v>
      </c>
      <c r="C812" s="2" t="e">
        <f>([0]!P_1_12.9.5.1.6 [0]!PU)</f>
        <v>#REF!</v>
      </c>
      <c r="D812" s="2" t="e">
        <f>IF(ISTEXT(([0]!P_1_12.9.5.1.6 [0]!MT)),0,([0]!P_1_12.9.5.1.6 [0]!MT))</f>
        <v>#REF!</v>
      </c>
    </row>
    <row r="813" spans="1:4" x14ac:dyDescent="0.25">
      <c r="A813" s="1" t="s">
        <v>217</v>
      </c>
      <c r="B813" s="3" t="e">
        <f>IF(ISTEXT(([0]!P_1_12.9.5.1.7 [0]!Qté)),0,([0]!P_1_12.9.5.1.7 [0]!Qté))</f>
        <v>#REF!</v>
      </c>
      <c r="C813" s="2" t="e">
        <f>([0]!P_1_12.9.5.1.7 [0]!PU)</f>
        <v>#REF!</v>
      </c>
      <c r="D813" s="2" t="e">
        <f>IF(ISTEXT(([0]!P_1_12.9.5.1.7 [0]!MT)),0,([0]!P_1_12.9.5.1.7 [0]!MT))</f>
        <v>#REF!</v>
      </c>
    </row>
    <row r="814" spans="1:4" x14ac:dyDescent="0.25">
      <c r="A814" s="1" t="s">
        <v>1048</v>
      </c>
      <c r="B814" s="3" t="e">
        <f>IF(ISTEXT(([0]!P_1_12.9.5.2.1 [0]!Qté)),0,([0]!P_1_12.9.5.2.1 [0]!Qté))</f>
        <v>#REF!</v>
      </c>
      <c r="C814" s="2" t="e">
        <f>([0]!P_1_12.9.5.2.1 [0]!PU)</f>
        <v>#REF!</v>
      </c>
      <c r="D814" s="2" t="e">
        <f>IF(ISTEXT(([0]!P_1_12.9.5.2.1 [0]!MT)),0,([0]!P_1_12.9.5.2.1 [0]!MT))</f>
        <v>#REF!</v>
      </c>
    </row>
    <row r="815" spans="1:4" x14ac:dyDescent="0.25">
      <c r="A815" s="1" t="s">
        <v>959</v>
      </c>
      <c r="B815" s="3" t="e">
        <f>IF(ISTEXT(([0]!P_1_12.9.5.2.2 [0]!Qté)),0,([0]!P_1_12.9.5.2.2 [0]!Qté))</f>
        <v>#REF!</v>
      </c>
      <c r="C815" s="2" t="e">
        <f>([0]!P_1_12.9.5.2.2 [0]!PU)</f>
        <v>#REF!</v>
      </c>
      <c r="D815" s="2" t="e">
        <f>IF(ISTEXT(([0]!P_1_12.9.5.2.2 [0]!MT)),0,([0]!P_1_12.9.5.2.2 [0]!MT))</f>
        <v>#REF!</v>
      </c>
    </row>
    <row r="816" spans="1:4" x14ac:dyDescent="0.25">
      <c r="A816" s="1" t="s">
        <v>218</v>
      </c>
      <c r="B816" s="3" t="e">
        <f>IF(ISTEXT(([0]!P_1_12.9.5.2.3 [0]!Qté)),0,([0]!P_1_12.9.5.2.3 [0]!Qté))</f>
        <v>#REF!</v>
      </c>
      <c r="C816" s="2" t="e">
        <f>([0]!P_1_12.9.5.2.3 [0]!PU)</f>
        <v>#REF!</v>
      </c>
      <c r="D816" s="2" t="e">
        <f>IF(ISTEXT(([0]!P_1_12.9.5.2.3 [0]!MT)),0,([0]!P_1_12.9.5.2.3 [0]!MT))</f>
        <v>#REF!</v>
      </c>
    </row>
    <row r="817" spans="1:4" x14ac:dyDescent="0.25">
      <c r="A817" s="1" t="s">
        <v>219</v>
      </c>
      <c r="B817" s="3" t="e">
        <f>IF(ISTEXT(([0]!P_1_12.9.5.2.4 [0]!Qté)),0,([0]!P_1_12.9.5.2.4 [0]!Qté))</f>
        <v>#REF!</v>
      </c>
      <c r="C817" s="2" t="e">
        <f>([0]!P_1_12.9.5.2.4 [0]!PU)</f>
        <v>#REF!</v>
      </c>
      <c r="D817" s="2" t="e">
        <f>IF(ISTEXT(([0]!P_1_12.9.5.2.4 [0]!MT)),0,([0]!P_1_12.9.5.2.4 [0]!MT))</f>
        <v>#REF!</v>
      </c>
    </row>
    <row r="818" spans="1:4" x14ac:dyDescent="0.25">
      <c r="A818" s="1" t="s">
        <v>1049</v>
      </c>
      <c r="B818" s="3" t="e">
        <f>IF(ISTEXT(([0]!P_1_12.9.5.2.5 [0]!Qté)),0,([0]!P_1_12.9.5.2.5 [0]!Qté))</f>
        <v>#REF!</v>
      </c>
      <c r="C818" s="2" t="e">
        <f>([0]!P_1_12.9.5.2.5 [0]!PU)</f>
        <v>#REF!</v>
      </c>
      <c r="D818" s="2" t="e">
        <f>IF(ISTEXT(([0]!P_1_12.9.5.2.5 [0]!MT)),0,([0]!P_1_12.9.5.2.5 [0]!MT))</f>
        <v>#REF!</v>
      </c>
    </row>
    <row r="819" spans="1:4" x14ac:dyDescent="0.25">
      <c r="A819" s="1" t="s">
        <v>1050</v>
      </c>
      <c r="B819" s="3" t="e">
        <f>IF(ISTEXT(([0]!P_1_12.9.5.2.6 [0]!Qté)),0,([0]!P_1_12.9.5.2.6 [0]!Qté))</f>
        <v>#REF!</v>
      </c>
      <c r="C819" s="2" t="e">
        <f>([0]!P_1_12.9.5.2.6 [0]!PU)</f>
        <v>#REF!</v>
      </c>
      <c r="D819" s="2" t="e">
        <f>IF(ISTEXT(([0]!P_1_12.9.5.2.6 [0]!MT)),0,([0]!P_1_12.9.5.2.6 [0]!MT))</f>
        <v>#REF!</v>
      </c>
    </row>
    <row r="820" spans="1:4" x14ac:dyDescent="0.25">
      <c r="A820" s="1" t="s">
        <v>1051</v>
      </c>
      <c r="B820" s="3" t="e">
        <f>IF(ISTEXT(([0]!P_1_12.9.5.3.1 [0]!Qté)),0,([0]!P_1_12.9.5.3.1 [0]!Qté))</f>
        <v>#REF!</v>
      </c>
      <c r="C820" s="2" t="e">
        <f>([0]!P_1_12.9.5.3.1 [0]!PU)</f>
        <v>#REF!</v>
      </c>
      <c r="D820" s="2" t="e">
        <f>IF(ISTEXT(([0]!P_1_12.9.5.3.1 [0]!MT)),0,([0]!P_1_12.9.5.3.1 [0]!MT))</f>
        <v>#REF!</v>
      </c>
    </row>
    <row r="821" spans="1:4" x14ac:dyDescent="0.25">
      <c r="A821" s="1" t="s">
        <v>220</v>
      </c>
      <c r="B821" s="3" t="e">
        <f>IF(ISTEXT(([0]!P_1_12.9.5.3.2 [0]!Qté)),0,([0]!P_1_12.9.5.3.2 [0]!Qté))</f>
        <v>#REF!</v>
      </c>
      <c r="C821" s="2" t="e">
        <f>([0]!P_1_12.9.5.3.2 [0]!PU)</f>
        <v>#REF!</v>
      </c>
      <c r="D821" s="2" t="e">
        <f>IF(ISTEXT(([0]!P_1_12.9.5.3.2 [0]!MT)),0,([0]!P_1_12.9.5.3.2 [0]!MT))</f>
        <v>#REF!</v>
      </c>
    </row>
    <row r="822" spans="1:4" x14ac:dyDescent="0.25">
      <c r="A822" s="1" t="s">
        <v>221</v>
      </c>
      <c r="B822" s="3" t="e">
        <f>IF(ISTEXT(([0]!P_1_12.9.5.3.3 [0]!Qté)),0,([0]!P_1_12.9.5.3.3 [0]!Qté))</f>
        <v>#REF!</v>
      </c>
      <c r="C822" s="2" t="e">
        <f>([0]!P_1_12.9.5.3.3 [0]!PU)</f>
        <v>#REF!</v>
      </c>
      <c r="D822" s="2" t="e">
        <f>IF(ISTEXT(([0]!P_1_12.9.5.3.3 [0]!MT)),0,([0]!P_1_12.9.5.3.3 [0]!MT))</f>
        <v>#REF!</v>
      </c>
    </row>
    <row r="823" spans="1:4" x14ac:dyDescent="0.25">
      <c r="A823" s="1" t="s">
        <v>1052</v>
      </c>
      <c r="B823" s="3" t="e">
        <f>IF(ISTEXT(([0]!P_1_12.9.6.1 [0]!Qté)),0,([0]!P_1_12.9.6.1 [0]!Qté))</f>
        <v>#REF!</v>
      </c>
      <c r="C823" s="2" t="e">
        <f>([0]!P_1_12.9.6.1 [0]!PU)</f>
        <v>#REF!</v>
      </c>
      <c r="D823" s="2" t="e">
        <f>IF(ISTEXT(([0]!P_1_12.9.6.1 [0]!MT)),0,([0]!P_1_12.9.6.1 [0]!MT))</f>
        <v>#REF!</v>
      </c>
    </row>
    <row r="824" spans="1:4" x14ac:dyDescent="0.25">
      <c r="A824" s="1" t="s">
        <v>960</v>
      </c>
      <c r="B824" s="3" t="e">
        <f>IF(ISTEXT(([0]!P_1_12.9.6.2 [0]!Qté)),0,([0]!P_1_12.9.6.2 [0]!Qté))</f>
        <v>#REF!</v>
      </c>
      <c r="C824" s="2" t="e">
        <f>([0]!P_1_12.9.6.2 [0]!PU)</f>
        <v>#REF!</v>
      </c>
      <c r="D824" s="2" t="e">
        <f>IF(ISTEXT(([0]!P_1_12.9.6.2 [0]!MT)),0,([0]!P_1_12.9.6.2 [0]!MT))</f>
        <v>#REF!</v>
      </c>
    </row>
    <row r="825" spans="1:4" x14ac:dyDescent="0.25">
      <c r="A825" s="1" t="s">
        <v>961</v>
      </c>
      <c r="B825" s="3" t="e">
        <f>IF(ISTEXT(([0]!P_1_12.9.6.3 [0]!Qté)),0,([0]!P_1_12.9.6.3 [0]!Qté))</f>
        <v>#REF!</v>
      </c>
      <c r="C825" s="2" t="e">
        <f>([0]!P_1_12.9.6.3 [0]!PU)</f>
        <v>#REF!</v>
      </c>
      <c r="D825" s="2" t="e">
        <f>IF(ISTEXT(([0]!P_1_12.9.6.3 [0]!MT)),0,([0]!P_1_12.9.6.3 [0]!MT))</f>
        <v>#REF!</v>
      </c>
    </row>
    <row r="826" spans="1:4" x14ac:dyDescent="0.25">
      <c r="A826" s="1" t="s">
        <v>222</v>
      </c>
      <c r="B826" s="3" t="e">
        <f>IF(ISTEXT(([0]!P_1_12.9.6.4 [0]!Qté)),0,([0]!P_1_12.9.6.4 [0]!Qté))</f>
        <v>#REF!</v>
      </c>
      <c r="C826" s="2" t="e">
        <f>([0]!P_1_12.9.6.4 [0]!PU)</f>
        <v>#REF!</v>
      </c>
      <c r="D826" s="2" t="e">
        <f>IF(ISTEXT(([0]!P_1_12.9.6.4 [0]!MT)),0,([0]!P_1_12.9.6.4 [0]!MT))</f>
        <v>#REF!</v>
      </c>
    </row>
    <row r="827" spans="1:4" x14ac:dyDescent="0.25">
      <c r="A827" s="1" t="s">
        <v>1053</v>
      </c>
      <c r="B827" s="3" t="e">
        <f>IF(ISTEXT(([0]!P_1_12.9.7.1 [0]!Qté)),0,([0]!P_1_12.9.7.1 [0]!Qté))</f>
        <v>#REF!</v>
      </c>
      <c r="C827" s="2" t="e">
        <f>([0]!P_1_12.9.7.1 [0]!PU)</f>
        <v>#REF!</v>
      </c>
      <c r="D827" s="2" t="e">
        <f>IF(ISTEXT(([0]!P_1_12.9.7.1 [0]!MT)),0,([0]!P_1_12.9.7.1 [0]!MT))</f>
        <v>#REF!</v>
      </c>
    </row>
    <row r="828" spans="1:4" x14ac:dyDescent="0.25">
      <c r="A828" s="1" t="s">
        <v>1095</v>
      </c>
      <c r="B828" s="3" t="e">
        <f>IF(ISTEXT(([0]!P_1_12.9.7.2 [0]!Qté)),0,([0]!P_1_12.9.7.2 [0]!Qté))</f>
        <v>#REF!</v>
      </c>
      <c r="C828" s="2" t="e">
        <f>([0]!P_1_12.9.7.2 [0]!PU)</f>
        <v>#REF!</v>
      </c>
      <c r="D828" s="2" t="e">
        <f>IF(ISTEXT(([0]!P_1_12.9.7.2 [0]!MT)),0,([0]!P_1_12.9.7.2 [0]!MT))</f>
        <v>#REF!</v>
      </c>
    </row>
    <row r="829" spans="1:4" x14ac:dyDescent="0.25">
      <c r="A829" s="1" t="s">
        <v>1096</v>
      </c>
      <c r="B829" s="3" t="e">
        <f>IF(ISTEXT(([0]!P_1_12.9.7.3 [0]!Qté)),0,([0]!P_1_12.9.7.3 [0]!Qté))</f>
        <v>#REF!</v>
      </c>
      <c r="C829" s="2" t="e">
        <f>([0]!P_1_12.9.7.3 [0]!PU)</f>
        <v>#REF!</v>
      </c>
      <c r="D829" s="2" t="e">
        <f>IF(ISTEXT(([0]!P_1_12.9.7.3 [0]!MT)),0,([0]!P_1_12.9.7.3 [0]!MT))</f>
        <v>#REF!</v>
      </c>
    </row>
    <row r="830" spans="1:4" x14ac:dyDescent="0.25">
      <c r="A830" s="1" t="s">
        <v>1054</v>
      </c>
      <c r="B830" s="3" t="e">
        <f>IF(ISTEXT(([0]!P_1_12.9.7.4 [0]!Qté)),0,([0]!P_1_12.9.7.4 [0]!Qté))</f>
        <v>#REF!</v>
      </c>
      <c r="C830" s="2" t="e">
        <f>([0]!P_1_12.9.7.4 [0]!PU)</f>
        <v>#REF!</v>
      </c>
      <c r="D830" s="2" t="e">
        <f>IF(ISTEXT(([0]!P_1_12.9.7.4 [0]!MT)),0,([0]!P_1_12.9.7.4 [0]!MT))</f>
        <v>#REF!</v>
      </c>
    </row>
    <row r="831" spans="1:4" x14ac:dyDescent="0.25">
      <c r="A831" s="1" t="s">
        <v>951</v>
      </c>
      <c r="B831" s="3" t="e">
        <f>IF(ISTEXT(([0]!P_1_12.10.1 [0]!Qté)),0,([0]!P_1_12.10.1 [0]!Qté))</f>
        <v>#REF!</v>
      </c>
      <c r="C831" s="2" t="e">
        <f>([0]!P_1_12.10.1 [0]!PU)</f>
        <v>#REF!</v>
      </c>
      <c r="D831" s="2" t="e">
        <f>IF(ISTEXT(([0]!P_1_12.10.1 [0]!MT)),0,([0]!P_1_12.10.1 [0]!MT))</f>
        <v>#REF!</v>
      </c>
    </row>
    <row r="832" spans="1:4" x14ac:dyDescent="0.25">
      <c r="A832" s="1" t="s">
        <v>952</v>
      </c>
      <c r="B832" s="3" t="e">
        <f>IF(ISTEXT(([0]!P_1_12.10.2 [0]!Qté)),0,([0]!P_1_12.10.2 [0]!Qté))</f>
        <v>#REF!</v>
      </c>
      <c r="C832" s="2" t="e">
        <f>([0]!P_1_12.10.2 [0]!PU)</f>
        <v>#REF!</v>
      </c>
      <c r="D832" s="2" t="e">
        <f>IF(ISTEXT(([0]!P_1_12.10.2 [0]!MT)),0,([0]!P_1_12.10.2 [0]!MT))</f>
        <v>#REF!</v>
      </c>
    </row>
    <row r="833" spans="1:4" x14ac:dyDescent="0.25">
      <c r="A833" s="1" t="s">
        <v>953</v>
      </c>
      <c r="B833" s="3" t="e">
        <f>IF(ISTEXT(([0]!P_1_12.10.3 [0]!Qté)),0,([0]!P_1_12.10.3 [0]!Qté))</f>
        <v>#REF!</v>
      </c>
      <c r="C833" s="2" t="e">
        <f>([0]!P_1_12.10.3 [0]!PU)</f>
        <v>#REF!</v>
      </c>
      <c r="D833" s="2" t="e">
        <f>IF(ISTEXT(([0]!P_1_12.10.3 [0]!MT)),0,([0]!P_1_12.10.3 [0]!MT))</f>
        <v>#REF!</v>
      </c>
    </row>
    <row r="834" spans="1:4" x14ac:dyDescent="0.25">
      <c r="A834" s="1" t="s">
        <v>954</v>
      </c>
      <c r="B834" s="3" t="e">
        <f>IF(ISTEXT(([0]!P_1_12.10.4 [0]!Qté)),0,([0]!P_1_12.10.4 [0]!Qté))</f>
        <v>#REF!</v>
      </c>
      <c r="C834" s="2" t="e">
        <f>([0]!P_1_12.10.4 [0]!PU)</f>
        <v>#REF!</v>
      </c>
      <c r="D834" s="2" t="e">
        <f>IF(ISTEXT(([0]!P_1_12.10.4 [0]!MT)),0,([0]!P_1_12.10.4 [0]!MT))</f>
        <v>#REF!</v>
      </c>
    </row>
    <row r="835" spans="1:4" x14ac:dyDescent="0.25">
      <c r="A835" s="1" t="s">
        <v>955</v>
      </c>
      <c r="B835" s="3" t="e">
        <f>IF(ISTEXT(([0]!P_1_12.10.5 [0]!Qté)),0,([0]!P_1_12.10.5 [0]!Qté))</f>
        <v>#REF!</v>
      </c>
      <c r="C835" s="2" t="e">
        <f>([0]!P_1_12.10.5 [0]!PU)</f>
        <v>#REF!</v>
      </c>
      <c r="D835" s="2" t="e">
        <f>IF(ISTEXT(([0]!P_1_12.10.5 [0]!MT)),0,([0]!P_1_12.10.5 [0]!MT))</f>
        <v>#REF!</v>
      </c>
    </row>
    <row r="836" spans="1:4" x14ac:dyDescent="0.25">
      <c r="A836" s="1" t="s">
        <v>956</v>
      </c>
      <c r="B836" s="3" t="e">
        <f>IF(ISTEXT(([0]!P_1_12.11.1 [0]!Qté)),0,([0]!P_1_12.11.1 [0]!Qté))</f>
        <v>#REF!</v>
      </c>
      <c r="C836" s="2" t="e">
        <f>([0]!P_1_12.11.1 [0]!PU)</f>
        <v>#REF!</v>
      </c>
      <c r="D836" s="2" t="e">
        <f>IF(ISTEXT(([0]!P_1_12.11.1 [0]!MT)),0,([0]!P_1_12.11.1 [0]!MT))</f>
        <v>#REF!</v>
      </c>
    </row>
    <row r="837" spans="1:4" x14ac:dyDescent="0.25">
      <c r="A837" s="1" t="s">
        <v>957</v>
      </c>
      <c r="B837" s="3" t="e">
        <f>IF(ISTEXT(([0]!P_1_12.11.2 [0]!Qté)),0,([0]!P_1_12.11.2 [0]!Qté))</f>
        <v>#REF!</v>
      </c>
      <c r="C837" s="2" t="e">
        <f>([0]!P_1_12.11.2 [0]!PU)</f>
        <v>#REF!</v>
      </c>
      <c r="D837" s="2" t="e">
        <f>IF(ISTEXT(([0]!P_1_12.11.2 [0]!MT)),0,([0]!P_1_12.11.2 [0]!MT))</f>
        <v>#REF!</v>
      </c>
    </row>
    <row r="838" spans="1:4" x14ac:dyDescent="0.25">
      <c r="A838" s="1" t="s">
        <v>1055</v>
      </c>
      <c r="B838" s="3" t="e">
        <f>IF(ISTEXT(([0]!P_1_12.11.3 [0]!Qté)),0,([0]!P_1_12.11.3 [0]!Qté))</f>
        <v>#REF!</v>
      </c>
      <c r="C838" s="2" t="e">
        <f>([0]!P_1_12.11.3 [0]!PU)</f>
        <v>#REF!</v>
      </c>
      <c r="D838" s="2" t="e">
        <f>IF(ISTEXT(([0]!P_1_12.11.3 [0]!MT)),0,([0]!P_1_12.11.3 [0]!MT))</f>
        <v>#REF!</v>
      </c>
    </row>
    <row r="839" spans="1:4" x14ac:dyDescent="0.25">
      <c r="A839" s="1" t="s">
        <v>1056</v>
      </c>
      <c r="B839" s="3" t="e">
        <f>IF(ISTEXT(([0]!P_1_12.11.4 [0]!Qté)),0,([0]!P_1_12.11.4 [0]!Qté))</f>
        <v>#REF!</v>
      </c>
      <c r="C839" s="2" t="e">
        <f>([0]!P_1_12.11.4 [0]!PU)</f>
        <v>#REF!</v>
      </c>
      <c r="D839" s="2" t="e">
        <f>IF(ISTEXT(([0]!P_1_12.11.4 [0]!MT)),0,([0]!P_1_12.11.4 [0]!MT))</f>
        <v>#REF!</v>
      </c>
    </row>
    <row r="840" spans="1:4" x14ac:dyDescent="0.25">
      <c r="A840" s="1" t="s">
        <v>963</v>
      </c>
      <c r="B840" s="3" t="e">
        <f>IF(ISTEXT(([0]!P_1_13.1.1 [0]!Qté)),0,([0]!P_1_13.1.1 [0]!Qté))</f>
        <v>#REF!</v>
      </c>
      <c r="C840" s="2" t="e">
        <f>([0]!P_1_13.1.1 [0]!PU)</f>
        <v>#REF!</v>
      </c>
      <c r="D840" s="2" t="e">
        <f>IF(ISTEXT(([0]!P_1_13.1.1 [0]!MT)),0,([0]!P_1_13.1.1 [0]!MT))</f>
        <v>#REF!</v>
      </c>
    </row>
    <row r="841" spans="1:4" x14ac:dyDescent="0.25">
      <c r="A841" s="1" t="s">
        <v>964</v>
      </c>
      <c r="B841" s="3" t="e">
        <f>IF(ISTEXT(([0]!P_1_13.1.2 [0]!Qté)),0,([0]!P_1_13.1.2 [0]!Qté))</f>
        <v>#REF!</v>
      </c>
      <c r="C841" s="2" t="e">
        <f>([0]!P_1_13.1.2 [0]!PU)</f>
        <v>#REF!</v>
      </c>
      <c r="D841" s="2" t="e">
        <f>IF(ISTEXT(([0]!P_1_13.1.2 [0]!MT)),0,([0]!P_1_13.1.2 [0]!MT))</f>
        <v>#REF!</v>
      </c>
    </row>
    <row r="842" spans="1:4" x14ac:dyDescent="0.25">
      <c r="A842" s="1" t="s">
        <v>965</v>
      </c>
      <c r="B842" s="3" t="e">
        <f>IF(ISTEXT(([0]!P_1_13.1.3 [0]!Qté)),0,([0]!P_1_13.1.3 [0]!Qté))</f>
        <v>#REF!</v>
      </c>
      <c r="C842" s="2" t="e">
        <f>([0]!P_1_13.1.3 [0]!PU)</f>
        <v>#REF!</v>
      </c>
      <c r="D842" s="2" t="e">
        <f>IF(ISTEXT(([0]!P_1_13.1.3 [0]!MT)),0,([0]!P_1_13.1.3 [0]!MT))</f>
        <v>#REF!</v>
      </c>
    </row>
    <row r="843" spans="1:4" x14ac:dyDescent="0.25">
      <c r="A843" s="1" t="s">
        <v>966</v>
      </c>
      <c r="B843" s="3" t="e">
        <f>IF(ISTEXT(([0]!P_1_13.1.4 [0]!Qté)),0,([0]!P_1_13.1.4 [0]!Qté))</f>
        <v>#REF!</v>
      </c>
      <c r="C843" s="2" t="e">
        <f>([0]!P_1_13.1.4 [0]!PU)</f>
        <v>#REF!</v>
      </c>
      <c r="D843" s="2" t="e">
        <f>IF(ISTEXT(([0]!P_1_13.1.4 [0]!MT)),0,([0]!P_1_13.1.4 [0]!MT))</f>
        <v>#REF!</v>
      </c>
    </row>
    <row r="844" spans="1:4" x14ac:dyDescent="0.25">
      <c r="A844" s="1" t="s">
        <v>967</v>
      </c>
      <c r="B844" s="3" t="e">
        <f>IF(ISTEXT(([0]!P_1_13.1.5 [0]!Qté)),0,([0]!P_1_13.1.5 [0]!Qté))</f>
        <v>#REF!</v>
      </c>
      <c r="C844" s="2" t="e">
        <f>([0]!P_1_13.1.5 [0]!PU)</f>
        <v>#REF!</v>
      </c>
      <c r="D844" s="2" t="e">
        <f>IF(ISTEXT(([0]!P_1_13.1.5 [0]!MT)),0,([0]!P_1_13.1.5 [0]!MT))</f>
        <v>#REF!</v>
      </c>
    </row>
    <row r="845" spans="1:4" x14ac:dyDescent="0.25">
      <c r="A845" s="1" t="s">
        <v>968</v>
      </c>
      <c r="B845" s="3" t="e">
        <f>IF(ISTEXT(([0]!P_1_13.1.6 [0]!Qté)),0,([0]!P_1_13.1.6 [0]!Qté))</f>
        <v>#REF!</v>
      </c>
      <c r="C845" s="2" t="e">
        <f>([0]!P_1_13.1.6 [0]!PU)</f>
        <v>#REF!</v>
      </c>
      <c r="D845" s="2" t="e">
        <f>IF(ISTEXT(([0]!P_1_13.1.6 [0]!MT)),0,([0]!P_1_13.1.6 [0]!MT))</f>
        <v>#REF!</v>
      </c>
    </row>
    <row r="846" spans="1:4" x14ac:dyDescent="0.25">
      <c r="A846" s="1" t="s">
        <v>969</v>
      </c>
      <c r="B846" s="3" t="e">
        <f>IF(ISTEXT(([0]!P_1_13.1.7 [0]!Qté)),0,([0]!P_1_13.1.7 [0]!Qté))</f>
        <v>#REF!</v>
      </c>
      <c r="C846" s="2" t="e">
        <f>([0]!P_1_13.1.7 [0]!PU)</f>
        <v>#REF!</v>
      </c>
      <c r="D846" s="2" t="e">
        <f>IF(ISTEXT(([0]!P_1_13.1.7 [0]!MT)),0,([0]!P_1_13.1.7 [0]!MT))</f>
        <v>#REF!</v>
      </c>
    </row>
    <row r="847" spans="1:4" x14ac:dyDescent="0.25">
      <c r="A847" s="1" t="s">
        <v>970</v>
      </c>
      <c r="B847" s="3" t="e">
        <f>IF(ISTEXT(([0]!P_1_13.1.8 [0]!Qté)),0,([0]!P_1_13.1.8 [0]!Qté))</f>
        <v>#REF!</v>
      </c>
      <c r="C847" s="2" t="e">
        <f>([0]!P_1_13.1.8 [0]!PU)</f>
        <v>#REF!</v>
      </c>
      <c r="D847" s="2" t="e">
        <f>IF(ISTEXT(([0]!P_1_13.1.8 [0]!MT)),0,([0]!P_1_13.1.8 [0]!MT))</f>
        <v>#REF!</v>
      </c>
    </row>
    <row r="848" spans="1:4" x14ac:dyDescent="0.25">
      <c r="A848" s="1" t="s">
        <v>971</v>
      </c>
      <c r="B848" s="3" t="e">
        <f>IF(ISTEXT(([0]!P_1_13.1.9 [0]!Qté)),0,([0]!P_1_13.1.9 [0]!Qté))</f>
        <v>#REF!</v>
      </c>
      <c r="C848" s="2" t="e">
        <f>([0]!P_1_13.1.9 [0]!PU)</f>
        <v>#REF!</v>
      </c>
      <c r="D848" s="2" t="e">
        <f>IF(ISTEXT(([0]!P_1_13.1.9 [0]!MT)),0,([0]!P_1_13.1.9 [0]!MT))</f>
        <v>#REF!</v>
      </c>
    </row>
    <row r="849" spans="1:4" x14ac:dyDescent="0.25">
      <c r="A849" s="1" t="s">
        <v>972</v>
      </c>
      <c r="B849" s="3" t="e">
        <f>IF(ISTEXT(([0]!P_1_13.1.10 [0]!Qté)),0,([0]!P_1_13.1.10 [0]!Qté))</f>
        <v>#REF!</v>
      </c>
      <c r="C849" s="2" t="e">
        <f>([0]!P_1_13.1.10 [0]!PU)</f>
        <v>#REF!</v>
      </c>
      <c r="D849" s="2" t="e">
        <f>IF(ISTEXT(([0]!P_1_13.1.10 [0]!MT)),0,([0]!P_1_13.1.10 [0]!MT))</f>
        <v>#REF!</v>
      </c>
    </row>
    <row r="850" spans="1:4" x14ac:dyDescent="0.25">
      <c r="A850" s="1" t="s">
        <v>973</v>
      </c>
      <c r="B850" s="3" t="e">
        <f>IF(ISTEXT(([0]!P_1_13.1.11 [0]!Qté)),0,([0]!P_1_13.1.11 [0]!Qté))</f>
        <v>#REF!</v>
      </c>
      <c r="C850" s="2" t="e">
        <f>([0]!P_1_13.1.11 [0]!PU)</f>
        <v>#REF!</v>
      </c>
      <c r="D850" s="2" t="e">
        <f>IF(ISTEXT(([0]!P_1_13.1.11 [0]!MT)),0,([0]!P_1_13.1.11 [0]!MT))</f>
        <v>#REF!</v>
      </c>
    </row>
    <row r="851" spans="1:4" x14ac:dyDescent="0.25">
      <c r="A851" s="1" t="s">
        <v>1057</v>
      </c>
      <c r="B851" s="3" t="e">
        <f>IF(ISTEXT(([0]!P_1_13.1.12 [0]!Qté)),0,([0]!P_1_13.1.12 [0]!Qté))</f>
        <v>#REF!</v>
      </c>
      <c r="C851" s="2" t="e">
        <f>([0]!P_1_13.1.12 [0]!PU)</f>
        <v>#REF!</v>
      </c>
      <c r="D851" s="2" t="e">
        <f>IF(ISTEXT(([0]!P_1_13.1.12 [0]!MT)),0,([0]!P_1_13.1.12 [0]!MT))</f>
        <v>#REF!</v>
      </c>
    </row>
    <row r="852" spans="1:4" x14ac:dyDescent="0.25">
      <c r="A852" s="1" t="s">
        <v>1058</v>
      </c>
      <c r="B852" s="3" t="e">
        <f>IF(ISTEXT(([0]!P_1_13.1.13 [0]!Qté)),0,([0]!P_1_13.1.13 [0]!Qté))</f>
        <v>#REF!</v>
      </c>
      <c r="C852" s="2" t="e">
        <f>([0]!P_1_13.1.13 [0]!PU)</f>
        <v>#REF!</v>
      </c>
      <c r="D852" s="2" t="e">
        <f>IF(ISTEXT(([0]!P_1_13.1.13 [0]!MT)),0,([0]!P_1_13.1.13 [0]!MT))</f>
        <v>#REF!</v>
      </c>
    </row>
    <row r="853" spans="1:4" x14ac:dyDescent="0.25">
      <c r="A853" s="1" t="s">
        <v>974</v>
      </c>
      <c r="B853" s="3" t="e">
        <f>IF(ISTEXT(([0]!P_1_13.2.1 [0]!Qté)),0,([0]!P_1_13.2.1 [0]!Qté))</f>
        <v>#REF!</v>
      </c>
      <c r="C853" s="2" t="e">
        <f>([0]!P_1_13.2.1 [0]!PU)</f>
        <v>#REF!</v>
      </c>
      <c r="D853" s="2" t="e">
        <f>IF(ISTEXT(([0]!P_1_13.2.1 [0]!MT)),0,([0]!P_1_13.2.1 [0]!MT))</f>
        <v>#REF!</v>
      </c>
    </row>
    <row r="854" spans="1:4" x14ac:dyDescent="0.25">
      <c r="A854" s="1" t="s">
        <v>975</v>
      </c>
      <c r="B854" s="3" t="e">
        <f>IF(ISTEXT(([0]!P_1_13.2.2 [0]!Qté)),0,([0]!P_1_13.2.2 [0]!Qté))</f>
        <v>#REF!</v>
      </c>
      <c r="C854" s="2" t="e">
        <f>([0]!P_1_13.2.2 [0]!PU)</f>
        <v>#REF!</v>
      </c>
      <c r="D854" s="2" t="e">
        <f>IF(ISTEXT(([0]!P_1_13.2.2 [0]!MT)),0,([0]!P_1_13.2.2 [0]!MT))</f>
        <v>#REF!</v>
      </c>
    </row>
    <row r="855" spans="1:4" x14ac:dyDescent="0.25">
      <c r="A855" s="1" t="s">
        <v>976</v>
      </c>
      <c r="B855" s="3" t="e">
        <f>IF(ISTEXT(([0]!P_1_13.2.3 [0]!Qté)),0,([0]!P_1_13.2.3 [0]!Qté))</f>
        <v>#REF!</v>
      </c>
      <c r="C855" s="2" t="e">
        <f>([0]!P_1_13.2.3 [0]!PU)</f>
        <v>#REF!</v>
      </c>
      <c r="D855" s="2" t="e">
        <f>IF(ISTEXT(([0]!P_1_13.2.3 [0]!MT)),0,([0]!P_1_13.2.3 [0]!MT))</f>
        <v>#REF!</v>
      </c>
    </row>
    <row r="856" spans="1:4" x14ac:dyDescent="0.25">
      <c r="A856" s="1" t="s">
        <v>977</v>
      </c>
      <c r="B856" s="3" t="e">
        <f>IF(ISTEXT(([0]!P_1_13.2.4 [0]!Qté)),0,([0]!P_1_13.2.4 [0]!Qté))</f>
        <v>#REF!</v>
      </c>
      <c r="C856" s="2" t="e">
        <f>([0]!P_1_13.2.4 [0]!PU)</f>
        <v>#REF!</v>
      </c>
      <c r="D856" s="2" t="e">
        <f>IF(ISTEXT(([0]!P_1_13.2.4 [0]!MT)),0,([0]!P_1_13.2.4 [0]!MT))</f>
        <v>#REF!</v>
      </c>
    </row>
    <row r="857" spans="1:4" x14ac:dyDescent="0.25">
      <c r="A857" s="1" t="s">
        <v>978</v>
      </c>
      <c r="B857" s="3" t="e">
        <f>IF(ISTEXT(([0]!P_1_13.2.5 [0]!Qté)),0,([0]!P_1_13.2.5 [0]!Qté))</f>
        <v>#REF!</v>
      </c>
      <c r="C857" s="2" t="e">
        <f>([0]!P_1_13.2.5 [0]!PU)</f>
        <v>#REF!</v>
      </c>
      <c r="D857" s="2" t="e">
        <f>IF(ISTEXT(([0]!P_1_13.2.5 [0]!MT)),0,([0]!P_1_13.2.5 [0]!MT))</f>
        <v>#REF!</v>
      </c>
    </row>
    <row r="858" spans="1:4" x14ac:dyDescent="0.25">
      <c r="A858" s="1" t="s">
        <v>979</v>
      </c>
      <c r="B858" s="3" t="e">
        <f>IF(ISTEXT(([0]!P_1_13.2.6 [0]!Qté)),0,([0]!P_1_13.2.6 [0]!Qté))</f>
        <v>#REF!</v>
      </c>
      <c r="C858" s="2" t="e">
        <f>([0]!P_1_13.2.6 [0]!PU)</f>
        <v>#REF!</v>
      </c>
      <c r="D858" s="2" t="e">
        <f>IF(ISTEXT(([0]!P_1_13.2.6 [0]!MT)),0,([0]!P_1_13.2.6 [0]!MT))</f>
        <v>#REF!</v>
      </c>
    </row>
    <row r="859" spans="1:4" x14ac:dyDescent="0.25">
      <c r="A859" s="1" t="s">
        <v>980</v>
      </c>
      <c r="B859" s="3" t="e">
        <f>IF(ISTEXT(([0]!P_1_13.2.7 [0]!Qté)),0,([0]!P_1_13.2.7 [0]!Qté))</f>
        <v>#REF!</v>
      </c>
      <c r="C859" s="2" t="e">
        <f>([0]!P_1_13.2.7 [0]!PU)</f>
        <v>#REF!</v>
      </c>
      <c r="D859" s="2" t="e">
        <f>IF(ISTEXT(([0]!P_1_13.2.7 [0]!MT)),0,([0]!P_1_13.2.7 [0]!MT))</f>
        <v>#REF!</v>
      </c>
    </row>
    <row r="860" spans="1:4" x14ac:dyDescent="0.25">
      <c r="A860" s="1" t="s">
        <v>981</v>
      </c>
      <c r="B860" s="3" t="e">
        <f>IF(ISTEXT(([0]!P_1_13.2.8 [0]!Qté)),0,([0]!P_1_13.2.8 [0]!Qté))</f>
        <v>#REF!</v>
      </c>
      <c r="C860" s="2" t="e">
        <f>([0]!P_1_13.2.8 [0]!PU)</f>
        <v>#REF!</v>
      </c>
      <c r="D860" s="2" t="e">
        <f>IF(ISTEXT(([0]!P_1_13.2.8 [0]!MT)),0,([0]!P_1_13.2.8 [0]!MT))</f>
        <v>#REF!</v>
      </c>
    </row>
    <row r="861" spans="1:4" x14ac:dyDescent="0.25">
      <c r="A861" s="1" t="s">
        <v>982</v>
      </c>
      <c r="B861" s="3" t="e">
        <f>IF(ISTEXT(([0]!P_1_13.2.9 [0]!Qté)),0,([0]!P_1_13.2.9 [0]!Qté))</f>
        <v>#REF!</v>
      </c>
      <c r="C861" s="2" t="e">
        <f>([0]!P_1_13.2.9 [0]!PU)</f>
        <v>#REF!</v>
      </c>
      <c r="D861" s="2" t="e">
        <f>IF(ISTEXT(([0]!P_1_13.2.9 [0]!MT)),0,([0]!P_1_13.2.9 [0]!MT))</f>
        <v>#REF!</v>
      </c>
    </row>
    <row r="862" spans="1:4" x14ac:dyDescent="0.25">
      <c r="A862" s="1" t="s">
        <v>983</v>
      </c>
      <c r="B862" s="3" t="e">
        <f>IF(ISTEXT(([0]!P_1_13.2.10 [0]!Qté)),0,([0]!P_1_13.2.10 [0]!Qté))</f>
        <v>#REF!</v>
      </c>
      <c r="C862" s="2" t="e">
        <f>([0]!P_1_13.2.10 [0]!PU)</f>
        <v>#REF!</v>
      </c>
      <c r="D862" s="2" t="e">
        <f>IF(ISTEXT(([0]!P_1_13.2.10 [0]!MT)),0,([0]!P_1_13.2.10 [0]!MT))</f>
        <v>#REF!</v>
      </c>
    </row>
    <row r="863" spans="1:4" x14ac:dyDescent="0.25">
      <c r="A863" s="1" t="s">
        <v>984</v>
      </c>
      <c r="B863" s="3" t="e">
        <f>IF(ISTEXT(([0]!P_1_13.3.1 [0]!Qté)),0,([0]!P_1_13.3.1 [0]!Qté))</f>
        <v>#REF!</v>
      </c>
      <c r="C863" s="2" t="e">
        <f>([0]!P_1_13.3.1 [0]!PU)</f>
        <v>#REF!</v>
      </c>
      <c r="D863" s="2" t="e">
        <f>IF(ISTEXT(([0]!P_1_13.3.1 [0]!MT)),0,([0]!P_1_13.3.1 [0]!MT))</f>
        <v>#REF!</v>
      </c>
    </row>
    <row r="864" spans="1:4" x14ac:dyDescent="0.25">
      <c r="A864" s="1" t="s">
        <v>985</v>
      </c>
      <c r="B864" s="3" t="e">
        <f>IF(ISTEXT(([0]!P_1_13.3.2 [0]!Qté)),0,([0]!P_1_13.3.2 [0]!Qté))</f>
        <v>#REF!</v>
      </c>
      <c r="C864" s="2" t="e">
        <f>([0]!P_1_13.3.2 [0]!PU)</f>
        <v>#REF!</v>
      </c>
      <c r="D864" s="2" t="e">
        <f>IF(ISTEXT(([0]!P_1_13.3.2 [0]!MT)),0,([0]!P_1_13.3.2 [0]!MT))</f>
        <v>#REF!</v>
      </c>
    </row>
    <row r="865" spans="1:4" x14ac:dyDescent="0.25">
      <c r="A865" s="1" t="s">
        <v>986</v>
      </c>
      <c r="B865" s="3" t="e">
        <f>IF(ISTEXT(([0]!P_1_13.3.3 [0]!Qté)),0,([0]!P_1_13.3.3 [0]!Qté))</f>
        <v>#REF!</v>
      </c>
      <c r="C865" s="2" t="e">
        <f>([0]!P_1_13.3.3 [0]!PU)</f>
        <v>#REF!</v>
      </c>
      <c r="D865" s="2" t="e">
        <f>IF(ISTEXT(([0]!P_1_13.3.3 [0]!MT)),0,([0]!P_1_13.3.3 [0]!MT))</f>
        <v>#REF!</v>
      </c>
    </row>
    <row r="866" spans="1:4" x14ac:dyDescent="0.25">
      <c r="A866" s="1" t="s">
        <v>987</v>
      </c>
      <c r="B866" s="3" t="e">
        <f>IF(ISTEXT(([0]!P_1_13.3.4 [0]!Qté)),0,([0]!P_1_13.3.4 [0]!Qté))</f>
        <v>#REF!</v>
      </c>
      <c r="C866" s="2" t="e">
        <f>([0]!P_1_13.3.4 [0]!PU)</f>
        <v>#REF!</v>
      </c>
      <c r="D866" s="2" t="e">
        <f>IF(ISTEXT(([0]!P_1_13.3.4 [0]!MT)),0,([0]!P_1_13.3.4 [0]!MT))</f>
        <v>#REF!</v>
      </c>
    </row>
    <row r="867" spans="1:4" x14ac:dyDescent="0.25">
      <c r="A867" s="1" t="s">
        <v>988</v>
      </c>
      <c r="B867" s="3" t="e">
        <f>IF(ISTEXT(([0]!P_1_13.3.5 [0]!Qté)),0,([0]!P_1_13.3.5 [0]!Qté))</f>
        <v>#REF!</v>
      </c>
      <c r="C867" s="2" t="e">
        <f>([0]!P_1_13.3.5 [0]!PU)</f>
        <v>#REF!</v>
      </c>
      <c r="D867" s="2" t="e">
        <f>IF(ISTEXT(([0]!P_1_13.3.5 [0]!MT)),0,([0]!P_1_13.3.5 [0]!MT))</f>
        <v>#REF!</v>
      </c>
    </row>
    <row r="868" spans="1:4" x14ac:dyDescent="0.25">
      <c r="A868" s="1" t="s">
        <v>989</v>
      </c>
      <c r="B868" s="3" t="e">
        <f>IF(ISTEXT(([0]!P_1_13.3.6 [0]!Qté)),0,([0]!P_1_13.3.6 [0]!Qté))</f>
        <v>#REF!</v>
      </c>
      <c r="C868" s="2" t="e">
        <f>([0]!P_1_13.3.6 [0]!PU)</f>
        <v>#REF!</v>
      </c>
      <c r="D868" s="2" t="e">
        <f>IF(ISTEXT(([0]!P_1_13.3.6 [0]!MT)),0,([0]!P_1_13.3.6 [0]!MT))</f>
        <v>#REF!</v>
      </c>
    </row>
    <row r="869" spans="1:4" x14ac:dyDescent="0.25">
      <c r="A869" s="1" t="s">
        <v>990</v>
      </c>
      <c r="B869" s="3" t="e">
        <f>IF(ISTEXT(([0]!P_1_13.3.7 [0]!Qté)),0,([0]!P_1_13.3.7 [0]!Qté))</f>
        <v>#REF!</v>
      </c>
      <c r="C869" s="2" t="e">
        <f>([0]!P_1_13.3.7 [0]!PU)</f>
        <v>#REF!</v>
      </c>
      <c r="D869" s="2" t="e">
        <f>IF(ISTEXT(([0]!P_1_13.3.7 [0]!MT)),0,([0]!P_1_13.3.7 [0]!MT))</f>
        <v>#REF!</v>
      </c>
    </row>
    <row r="870" spans="1:4" x14ac:dyDescent="0.25">
      <c r="A870" s="1" t="s">
        <v>991</v>
      </c>
      <c r="B870" s="3" t="e">
        <f>IF(ISTEXT(([0]!P_1_13.3.8 [0]!Qté)),0,([0]!P_1_13.3.8 [0]!Qté))</f>
        <v>#REF!</v>
      </c>
      <c r="C870" s="2" t="e">
        <f>([0]!P_1_13.3.8 [0]!PU)</f>
        <v>#REF!</v>
      </c>
      <c r="D870" s="2" t="e">
        <f>IF(ISTEXT(([0]!P_1_13.3.8 [0]!MT)),0,([0]!P_1_13.3.8 [0]!MT))</f>
        <v>#REF!</v>
      </c>
    </row>
    <row r="871" spans="1:4" x14ac:dyDescent="0.25">
      <c r="A871" s="1" t="s">
        <v>992</v>
      </c>
      <c r="B871" s="3" t="e">
        <f>IF(ISTEXT(([0]!P_1_13.3.9 [0]!Qté)),0,([0]!P_1_13.3.9 [0]!Qté))</f>
        <v>#REF!</v>
      </c>
      <c r="C871" s="2" t="e">
        <f>([0]!P_1_13.3.9 [0]!PU)</f>
        <v>#REF!</v>
      </c>
      <c r="D871" s="2" t="e">
        <f>IF(ISTEXT(([0]!P_1_13.3.9 [0]!MT)),0,([0]!P_1_13.3.9 [0]!MT))</f>
        <v>#REF!</v>
      </c>
    </row>
    <row r="872" spans="1:4" x14ac:dyDescent="0.25">
      <c r="A872" s="1" t="s">
        <v>993</v>
      </c>
      <c r="B872" s="3" t="e">
        <f>IF(ISTEXT(([0]!P_1_13.3.10 [0]!Qté)),0,([0]!P_1_13.3.10 [0]!Qté))</f>
        <v>#REF!</v>
      </c>
      <c r="C872" s="2" t="e">
        <f>([0]!P_1_13.3.10 [0]!PU)</f>
        <v>#REF!</v>
      </c>
      <c r="D872" s="2" t="e">
        <f>IF(ISTEXT(([0]!P_1_13.3.10 [0]!MT)),0,([0]!P_1_13.3.10 [0]!MT))</f>
        <v>#REF!</v>
      </c>
    </row>
    <row r="873" spans="1:4" x14ac:dyDescent="0.25">
      <c r="A873" s="1" t="s">
        <v>994</v>
      </c>
      <c r="B873" s="3" t="e">
        <f>IF(ISTEXT(([0]!P_1_13.4.1 [0]!Qté)),0,([0]!P_1_13.4.1 [0]!Qté))</f>
        <v>#REF!</v>
      </c>
      <c r="C873" s="2" t="e">
        <f>([0]!P_1_13.4.1 [0]!PU)</f>
        <v>#REF!</v>
      </c>
      <c r="D873" s="2" t="e">
        <f>IF(ISTEXT(([0]!P_1_13.4.1 [0]!MT)),0,([0]!P_1_13.4.1 [0]!MT))</f>
        <v>#REF!</v>
      </c>
    </row>
    <row r="874" spans="1:4" x14ac:dyDescent="0.25">
      <c r="A874" s="1" t="s">
        <v>995</v>
      </c>
      <c r="B874" s="3" t="e">
        <f>IF(ISTEXT(([0]!P_1_13.4.2 [0]!Qté)),0,([0]!P_1_13.4.2 [0]!Qté))</f>
        <v>#REF!</v>
      </c>
      <c r="C874" s="2" t="e">
        <f>([0]!P_1_13.4.2 [0]!PU)</f>
        <v>#REF!</v>
      </c>
      <c r="D874" s="2" t="e">
        <f>IF(ISTEXT(([0]!P_1_13.4.2 [0]!MT)),0,([0]!P_1_13.4.2 [0]!MT))</f>
        <v>#REF!</v>
      </c>
    </row>
    <row r="875" spans="1:4" x14ac:dyDescent="0.25">
      <c r="A875" s="1" t="s">
        <v>996</v>
      </c>
      <c r="B875" s="3" t="e">
        <f>IF(ISTEXT(([0]!P_1_13.4.3 [0]!Qté)),0,([0]!P_1_13.4.3 [0]!Qté))</f>
        <v>#REF!</v>
      </c>
      <c r="C875" s="2" t="e">
        <f>([0]!P_1_13.4.3 [0]!PU)</f>
        <v>#REF!</v>
      </c>
      <c r="D875" s="2" t="e">
        <f>IF(ISTEXT(([0]!P_1_13.4.3 [0]!MT)),0,([0]!P_1_13.4.3 [0]!MT))</f>
        <v>#REF!</v>
      </c>
    </row>
    <row r="876" spans="1:4" x14ac:dyDescent="0.25">
      <c r="A876" s="1" t="s">
        <v>997</v>
      </c>
      <c r="B876" s="3" t="e">
        <f>IF(ISTEXT(([0]!P_1_13.5.1 [0]!Qté)),0,([0]!P_1_13.5.1 [0]!Qté))</f>
        <v>#REF!</v>
      </c>
      <c r="C876" s="2" t="e">
        <f>([0]!P_1_13.5.1 [0]!PU)</f>
        <v>#REF!</v>
      </c>
      <c r="D876" s="2" t="e">
        <f>IF(ISTEXT(([0]!P_1_13.5.1 [0]!MT)),0,([0]!P_1_13.5.1 [0]!MT))</f>
        <v>#REF!</v>
      </c>
    </row>
    <row r="877" spans="1:4" x14ac:dyDescent="0.25">
      <c r="A877" s="1" t="s">
        <v>998</v>
      </c>
      <c r="B877" s="3" t="e">
        <f>IF(ISTEXT(([0]!P_1_13.5.2 [0]!Qté)),0,([0]!P_1_13.5.2 [0]!Qté))</f>
        <v>#REF!</v>
      </c>
      <c r="C877" s="2" t="e">
        <f>([0]!P_1_13.5.2 [0]!PU)</f>
        <v>#REF!</v>
      </c>
      <c r="D877" s="2" t="e">
        <f>IF(ISTEXT(([0]!P_1_13.5.2 [0]!MT)),0,([0]!P_1_13.5.2 [0]!MT))</f>
        <v>#REF!</v>
      </c>
    </row>
    <row r="878" spans="1:4" x14ac:dyDescent="0.25">
      <c r="A878" s="1" t="s">
        <v>999</v>
      </c>
      <c r="B878" s="3" t="e">
        <f>IF(ISTEXT(([0]!P_1_13.5.3 [0]!Qté)),0,([0]!P_1_13.5.3 [0]!Qté))</f>
        <v>#REF!</v>
      </c>
      <c r="C878" s="2" t="e">
        <f>([0]!P_1_13.5.3 [0]!PU)</f>
        <v>#REF!</v>
      </c>
      <c r="D878" s="2" t="e">
        <f>IF(ISTEXT(([0]!P_1_13.5.3 [0]!MT)),0,([0]!P_1_13.5.3 [0]!MT))</f>
        <v>#REF!</v>
      </c>
    </row>
    <row r="879" spans="1:4" x14ac:dyDescent="0.25">
      <c r="A879" s="1" t="s">
        <v>1000</v>
      </c>
      <c r="B879" s="3" t="e">
        <f>IF(ISTEXT(([0]!P_1_13.5.4 [0]!Qté)),0,([0]!P_1_13.5.4 [0]!Qté))</f>
        <v>#REF!</v>
      </c>
      <c r="C879" s="2" t="e">
        <f>([0]!P_1_13.5.4 [0]!PU)</f>
        <v>#REF!</v>
      </c>
      <c r="D879" s="2" t="e">
        <f>IF(ISTEXT(([0]!P_1_13.5.4 [0]!MT)),0,([0]!P_1_13.5.4 [0]!MT))</f>
        <v>#REF!</v>
      </c>
    </row>
    <row r="880" spans="1:4" x14ac:dyDescent="0.25">
      <c r="A880" s="1" t="s">
        <v>1001</v>
      </c>
      <c r="B880" s="3" t="e">
        <f>IF(ISTEXT(([0]!P_1_13.6.1 [0]!Qté)),0,([0]!P_1_13.6.1 [0]!Qté))</f>
        <v>#REF!</v>
      </c>
      <c r="C880" s="2" t="e">
        <f>([0]!P_1_13.6.1 [0]!PU)</f>
        <v>#REF!</v>
      </c>
      <c r="D880" s="2" t="e">
        <f>IF(ISTEXT(([0]!P_1_13.6.1 [0]!MT)),0,([0]!P_1_13.6.1 [0]!MT))</f>
        <v>#REF!</v>
      </c>
    </row>
    <row r="881" spans="1:4" x14ac:dyDescent="0.25">
      <c r="A881" s="1" t="s">
        <v>1002</v>
      </c>
      <c r="B881" s="3" t="e">
        <f>IF(ISTEXT(([0]!P_1_13.6.2 [0]!Qté)),0,([0]!P_1_13.6.2 [0]!Qté))</f>
        <v>#REF!</v>
      </c>
      <c r="C881" s="2" t="e">
        <f>([0]!P_1_13.6.2 [0]!PU)</f>
        <v>#REF!</v>
      </c>
      <c r="D881" s="2" t="e">
        <f>IF(ISTEXT(([0]!P_1_13.6.2 [0]!MT)),0,([0]!P_1_13.6.2 [0]!MT))</f>
        <v>#REF!</v>
      </c>
    </row>
    <row r="882" spans="1:4" x14ac:dyDescent="0.25">
      <c r="A882" s="1" t="s">
        <v>1003</v>
      </c>
      <c r="B882" s="3" t="e">
        <f>IF(ISTEXT(([0]!P_1_13.6.3 [0]!Qté)),0,([0]!P_1_13.6.3 [0]!Qté))</f>
        <v>#REF!</v>
      </c>
      <c r="C882" s="2" t="e">
        <f>([0]!P_1_13.6.3 [0]!PU)</f>
        <v>#REF!</v>
      </c>
      <c r="D882" s="2" t="e">
        <f>IF(ISTEXT(([0]!P_1_13.6.3 [0]!MT)),0,([0]!P_1_13.6.3 [0]!MT))</f>
        <v>#REF!</v>
      </c>
    </row>
    <row r="883" spans="1:4" x14ac:dyDescent="0.25">
      <c r="A883" s="1" t="s">
        <v>1004</v>
      </c>
      <c r="B883" s="3" t="e">
        <f>IF(ISTEXT(([0]!P_1_13.6.4 [0]!Qté)),0,([0]!P_1_13.6.4 [0]!Qté))</f>
        <v>#REF!</v>
      </c>
      <c r="C883" s="2" t="e">
        <f>([0]!P_1_13.6.4 [0]!PU)</f>
        <v>#REF!</v>
      </c>
      <c r="D883" s="2" t="e">
        <f>IF(ISTEXT(([0]!P_1_13.6.4 [0]!MT)),0,([0]!P_1_13.6.4 [0]!MT))</f>
        <v>#REF!</v>
      </c>
    </row>
    <row r="884" spans="1:4" x14ac:dyDescent="0.25">
      <c r="A884" s="1" t="s">
        <v>1005</v>
      </c>
      <c r="B884" s="3" t="e">
        <f>IF(ISTEXT(([0]!P_1_13.6.5 [0]!Qté)),0,([0]!P_1_13.6.5 [0]!Qté))</f>
        <v>#REF!</v>
      </c>
      <c r="C884" s="2" t="e">
        <f>([0]!P_1_13.6.5 [0]!PU)</f>
        <v>#REF!</v>
      </c>
      <c r="D884" s="2" t="e">
        <f>IF(ISTEXT(([0]!P_1_13.6.5 [0]!MT)),0,([0]!P_1_13.6.5 [0]!MT))</f>
        <v>#REF!</v>
      </c>
    </row>
    <row r="885" spans="1:4" x14ac:dyDescent="0.25">
      <c r="A885" s="1" t="s">
        <v>1006</v>
      </c>
      <c r="B885" s="3" t="e">
        <f>IF(ISTEXT(([0]!P_1_13.6.6 [0]!Qté)),0,([0]!P_1_13.6.6 [0]!Qté))</f>
        <v>#REF!</v>
      </c>
      <c r="C885" s="2" t="e">
        <f>([0]!P_1_13.6.6 [0]!PU)</f>
        <v>#REF!</v>
      </c>
      <c r="D885" s="2" t="e">
        <f>IF(ISTEXT(([0]!P_1_13.6.6 [0]!MT)),0,([0]!P_1_13.6.6 [0]!MT))</f>
        <v>#REF!</v>
      </c>
    </row>
    <row r="886" spans="1:4" x14ac:dyDescent="0.25">
      <c r="A886" s="1" t="s">
        <v>1007</v>
      </c>
      <c r="B886" s="3" t="e">
        <f>IF(ISTEXT(([0]!P_1_13.6.7 [0]!Qté)),0,([0]!P_1_13.6.7 [0]!Qté))</f>
        <v>#REF!</v>
      </c>
      <c r="C886" s="2" t="e">
        <f>([0]!P_1_13.6.7 [0]!PU)</f>
        <v>#REF!</v>
      </c>
      <c r="D886" s="2" t="e">
        <f>IF(ISTEXT(([0]!P_1_13.6.7 [0]!MT)),0,([0]!P_1_13.6.7 [0]!MT))</f>
        <v>#REF!</v>
      </c>
    </row>
    <row r="887" spans="1:4" x14ac:dyDescent="0.25">
      <c r="A887" s="1" t="s">
        <v>1008</v>
      </c>
      <c r="B887" s="3" t="e">
        <f>IF(ISTEXT(([0]!P_1_13.6.8 [0]!Qté)),0,([0]!P_1_13.6.8 [0]!Qté))</f>
        <v>#REF!</v>
      </c>
      <c r="C887" s="2" t="e">
        <f>([0]!P_1_13.6.8 [0]!PU)</f>
        <v>#REF!</v>
      </c>
      <c r="D887" s="2" t="e">
        <f>IF(ISTEXT(([0]!P_1_13.6.8 [0]!MT)),0,([0]!P_1_13.6.8 [0]!MT))</f>
        <v>#REF!</v>
      </c>
    </row>
    <row r="888" spans="1:4" x14ac:dyDescent="0.25">
      <c r="A888" s="1" t="s">
        <v>1009</v>
      </c>
      <c r="B888" s="3" t="e">
        <f>IF(ISTEXT(([0]!P_1_13.6.9 [0]!Qté)),0,([0]!P_1_13.6.9 [0]!Qté))</f>
        <v>#REF!</v>
      </c>
      <c r="C888" s="2" t="e">
        <f>([0]!P_1_13.6.9 [0]!PU)</f>
        <v>#REF!</v>
      </c>
      <c r="D888" s="2" t="e">
        <f>IF(ISTEXT(([0]!P_1_13.6.9 [0]!MT)),0,([0]!P_1_13.6.9 [0]!MT))</f>
        <v>#REF!</v>
      </c>
    </row>
    <row r="889" spans="1:4" x14ac:dyDescent="0.25">
      <c r="A889" s="1" t="s">
        <v>1010</v>
      </c>
      <c r="B889" s="3" t="e">
        <f>IF(ISTEXT(([0]!P_1_13.6.10 [0]!Qté)),0,([0]!P_1_13.6.10 [0]!Qté))</f>
        <v>#REF!</v>
      </c>
      <c r="C889" s="2" t="e">
        <f>([0]!P_1_13.6.10 [0]!PU)</f>
        <v>#REF!</v>
      </c>
      <c r="D889" s="2" t="e">
        <f>IF(ISTEXT(([0]!P_1_13.6.10 [0]!MT)),0,([0]!P_1_13.6.10 [0]!MT))</f>
        <v>#REF!</v>
      </c>
    </row>
    <row r="890" spans="1:4" x14ac:dyDescent="0.25">
      <c r="A890" s="1" t="s">
        <v>1011</v>
      </c>
      <c r="B890" s="3" t="e">
        <f>IF(ISTEXT(([0]!P_1_13.6.11 [0]!Qté)),0,([0]!P_1_13.6.11 [0]!Qté))</f>
        <v>#REF!</v>
      </c>
      <c r="C890" s="2" t="e">
        <f>([0]!P_1_13.6.11 [0]!PU)</f>
        <v>#REF!</v>
      </c>
      <c r="D890" s="2" t="e">
        <f>IF(ISTEXT(([0]!P_1_13.6.11 [0]!MT)),0,([0]!P_1_13.6.11 [0]!MT))</f>
        <v>#REF!</v>
      </c>
    </row>
    <row r="891" spans="1:4" x14ac:dyDescent="0.25">
      <c r="A891" s="1" t="s">
        <v>1012</v>
      </c>
      <c r="B891" s="3" t="e">
        <f>IF(ISTEXT(([0]!P_1_13.6.12 [0]!Qté)),0,([0]!P_1_13.6.12 [0]!Qté))</f>
        <v>#REF!</v>
      </c>
      <c r="C891" s="2" t="e">
        <f>([0]!P_1_13.6.12 [0]!PU)</f>
        <v>#REF!</v>
      </c>
      <c r="D891" s="2" t="e">
        <f>IF(ISTEXT(([0]!P_1_13.6.12 [0]!MT)),0,([0]!P_1_13.6.12 [0]!MT))</f>
        <v>#REF!</v>
      </c>
    </row>
    <row r="892" spans="1:4" x14ac:dyDescent="0.25">
      <c r="A892" s="1" t="s">
        <v>1013</v>
      </c>
      <c r="B892" s="3" t="e">
        <f>IF(ISTEXT(([0]!P_1_13.6.13 [0]!Qté)),0,([0]!P_1_13.6.13 [0]!Qté))</f>
        <v>#REF!</v>
      </c>
      <c r="C892" s="2" t="e">
        <f>([0]!P_1_13.6.13 [0]!PU)</f>
        <v>#REF!</v>
      </c>
      <c r="D892" s="2" t="e">
        <f>IF(ISTEXT(([0]!P_1_13.6.13 [0]!MT)),0,([0]!P_1_13.6.13 [0]!MT))</f>
        <v>#REF!</v>
      </c>
    </row>
    <row r="893" spans="1:4" x14ac:dyDescent="0.25">
      <c r="A893" s="1" t="s">
        <v>1014</v>
      </c>
      <c r="B893" s="3" t="e">
        <f>IF(ISTEXT(([0]!P_1_13.6.14 [0]!Qté)),0,([0]!P_1_13.6.14 [0]!Qté))</f>
        <v>#REF!</v>
      </c>
      <c r="C893" s="2" t="e">
        <f>([0]!P_1_13.6.14 [0]!PU)</f>
        <v>#REF!</v>
      </c>
      <c r="D893" s="2" t="e">
        <f>IF(ISTEXT(([0]!P_1_13.6.14 [0]!MT)),0,([0]!P_1_13.6.14 [0]!MT))</f>
        <v>#REF!</v>
      </c>
    </row>
    <row r="894" spans="1:4" x14ac:dyDescent="0.25">
      <c r="A894" s="1" t="s">
        <v>1015</v>
      </c>
      <c r="B894" s="3" t="e">
        <f>IF(ISTEXT(([0]!P_1_13.6.15 [0]!Qté)),0,([0]!P_1_13.6.15 [0]!Qté))</f>
        <v>#REF!</v>
      </c>
      <c r="C894" s="2" t="e">
        <f>([0]!P_1_13.6.15 [0]!PU)</f>
        <v>#REF!</v>
      </c>
      <c r="D894" s="2" t="e">
        <f>IF(ISTEXT(([0]!P_1_13.6.15 [0]!MT)),0,([0]!P_1_13.6.15 [0]!MT))</f>
        <v>#REF!</v>
      </c>
    </row>
    <row r="895" spans="1:4" x14ac:dyDescent="0.25">
      <c r="A895" s="1" t="s">
        <v>1016</v>
      </c>
      <c r="B895" s="3" t="e">
        <f>IF(ISTEXT(([0]!P_1_13.6.16 [0]!Qté)),0,([0]!P_1_13.6.16 [0]!Qté))</f>
        <v>#REF!</v>
      </c>
      <c r="C895" s="2" t="e">
        <f>([0]!P_1_13.6.16 [0]!PU)</f>
        <v>#REF!</v>
      </c>
      <c r="D895" s="2" t="e">
        <f>IF(ISTEXT(([0]!P_1_13.6.16 [0]!MT)),0,([0]!P_1_13.6.16 [0]!MT))</f>
        <v>#REF!</v>
      </c>
    </row>
    <row r="896" spans="1:4" x14ac:dyDescent="0.25">
      <c r="A896" s="1" t="s">
        <v>1017</v>
      </c>
      <c r="B896" s="3" t="e">
        <f>IF(ISTEXT(([0]!P_1_13.6.17 [0]!Qté)),0,([0]!P_1_13.6.17 [0]!Qté))</f>
        <v>#REF!</v>
      </c>
      <c r="C896" s="2" t="e">
        <f>([0]!P_1_13.6.17 [0]!PU)</f>
        <v>#REF!</v>
      </c>
      <c r="D896" s="2" t="e">
        <f>IF(ISTEXT(([0]!P_1_13.6.17 [0]!MT)),0,([0]!P_1_13.6.17 [0]!MT))</f>
        <v>#REF!</v>
      </c>
    </row>
    <row r="897" spans="1:4" x14ac:dyDescent="0.25">
      <c r="A897" s="1" t="s">
        <v>1018</v>
      </c>
      <c r="B897" s="3" t="e">
        <f>IF(ISTEXT(([0]!P_1_13.6.18 [0]!Qté)),0,([0]!P_1_13.6.18 [0]!Qté))</f>
        <v>#REF!</v>
      </c>
      <c r="C897" s="2" t="e">
        <f>([0]!P_1_13.6.18 [0]!PU)</f>
        <v>#REF!</v>
      </c>
      <c r="D897" s="2" t="e">
        <f>IF(ISTEXT(([0]!P_1_13.6.18 [0]!MT)),0,([0]!P_1_13.6.18 [0]!MT))</f>
        <v>#REF!</v>
      </c>
    </row>
    <row r="898" spans="1:4" x14ac:dyDescent="0.25">
      <c r="A898" s="1" t="s">
        <v>1019</v>
      </c>
      <c r="B898" s="3" t="e">
        <f>IF(ISTEXT(([0]!P_1_13.6.19 [0]!Qté)),0,([0]!P_1_13.6.19 [0]!Qté))</f>
        <v>#REF!</v>
      </c>
      <c r="C898" s="2" t="e">
        <f>([0]!P_1_13.6.19 [0]!PU)</f>
        <v>#REF!</v>
      </c>
      <c r="D898" s="2" t="e">
        <f>IF(ISTEXT(([0]!P_1_13.6.19 [0]!MT)),0,([0]!P_1_13.6.19 [0]!MT))</f>
        <v>#REF!</v>
      </c>
    </row>
    <row r="899" spans="1:4" x14ac:dyDescent="0.25">
      <c r="A899" s="1" t="s">
        <v>1020</v>
      </c>
      <c r="B899" s="3" t="e">
        <f>IF(ISTEXT(([0]!P_1_13.6.20 [0]!Qté)),0,([0]!P_1_13.6.20 [0]!Qté))</f>
        <v>#REF!</v>
      </c>
      <c r="C899" s="2" t="e">
        <f>([0]!P_1_13.6.20 [0]!PU)</f>
        <v>#REF!</v>
      </c>
      <c r="D899" s="2" t="e">
        <f>IF(ISTEXT(([0]!P_1_13.6.20 [0]!MT)),0,([0]!P_1_13.6.20 [0]!MT))</f>
        <v>#REF!</v>
      </c>
    </row>
    <row r="900" spans="1:4" x14ac:dyDescent="0.25">
      <c r="A900" s="1" t="s">
        <v>1059</v>
      </c>
      <c r="B900" s="3" t="e">
        <f>IF(ISTEXT(([0]!P_1_13.7.1 [0]!Qté)),0,([0]!P_1_13.7.1 [0]!Qté))</f>
        <v>#REF!</v>
      </c>
      <c r="C900" s="2" t="e">
        <f>([0]!P_1_13.7.1 [0]!PU)</f>
        <v>#REF!</v>
      </c>
      <c r="D900" s="2" t="e">
        <f>IF(ISTEXT(([0]!P_1_13.7.1 [0]!MT)),0,([0]!P_1_13.7.1 [0]!MT))</f>
        <v>#REF!</v>
      </c>
    </row>
    <row r="901" spans="1:4" x14ac:dyDescent="0.25">
      <c r="A901" s="1" t="s">
        <v>1021</v>
      </c>
      <c r="B901" s="3" t="e">
        <f>IF(ISTEXT(([0]!P_1_13.7.2 [0]!Qté)),0,([0]!P_1_13.7.2 [0]!Qté))</f>
        <v>#REF!</v>
      </c>
      <c r="C901" s="2" t="e">
        <f>([0]!P_1_13.7.2 [0]!PU)</f>
        <v>#REF!</v>
      </c>
      <c r="D901" s="2" t="e">
        <f>IF(ISTEXT(([0]!P_1_13.7.2 [0]!MT)),0,([0]!P_1_13.7.2 [0]!MT))</f>
        <v>#REF!</v>
      </c>
    </row>
    <row r="902" spans="1:4" x14ac:dyDescent="0.25">
      <c r="A902" s="1" t="s">
        <v>1022</v>
      </c>
      <c r="B902" s="3" t="e">
        <f>IF(ISTEXT(([0]!P_1_13.7.3 [0]!Qté)),0,([0]!P_1_13.7.3 [0]!Qté))</f>
        <v>#REF!</v>
      </c>
      <c r="C902" s="2" t="e">
        <f>([0]!P_1_13.7.3 [0]!PU)</f>
        <v>#REF!</v>
      </c>
      <c r="D902" s="2" t="e">
        <f>IF(ISTEXT(([0]!P_1_13.7.3 [0]!MT)),0,([0]!P_1_13.7.3 [0]!MT))</f>
        <v>#REF!</v>
      </c>
    </row>
    <row r="903" spans="1:4" x14ac:dyDescent="0.25">
      <c r="A903" s="1" t="s">
        <v>1023</v>
      </c>
      <c r="B903" s="3" t="e">
        <f>IF(ISTEXT(([0]!P_1_13.7.4 [0]!Qté)),0,([0]!P_1_13.7.4 [0]!Qté))</f>
        <v>#REF!</v>
      </c>
      <c r="C903" s="2" t="e">
        <f>([0]!P_1_13.7.4 [0]!PU)</f>
        <v>#REF!</v>
      </c>
      <c r="D903" s="2" t="e">
        <f>IF(ISTEXT(([0]!P_1_13.7.4 [0]!MT)),0,([0]!P_1_13.7.4 [0]!MT))</f>
        <v>#REF!</v>
      </c>
    </row>
    <row r="904" spans="1:4" x14ac:dyDescent="0.25">
      <c r="A904" s="1" t="s">
        <v>227</v>
      </c>
      <c r="B904" s="3" t="e">
        <f>IF(ISTEXT(([0]!P_1_13.7.5 [0]!Qté)),0,([0]!P_1_13.7.5 [0]!Qté))</f>
        <v>#REF!</v>
      </c>
      <c r="C904" s="2" t="e">
        <f>([0]!P_1_13.7.5 [0]!PU)</f>
        <v>#REF!</v>
      </c>
      <c r="D904" s="2" t="e">
        <f>IF(ISTEXT(([0]!P_1_13.7.5 [0]!MT)),0,([0]!P_1_13.7.5 [0]!MT))</f>
        <v>#REF!</v>
      </c>
    </row>
    <row r="905" spans="1:4" x14ac:dyDescent="0.25">
      <c r="A905" s="1" t="s">
        <v>1060</v>
      </c>
      <c r="B905" s="3" t="e">
        <f>IF(ISTEXT(([0]!P_1_13.7.6 [0]!Qté)),0,([0]!P_1_13.7.6 [0]!Qté))</f>
        <v>#REF!</v>
      </c>
      <c r="C905" s="2" t="e">
        <f>([0]!P_1_13.7.6 [0]!PU)</f>
        <v>#REF!</v>
      </c>
      <c r="D905" s="2" t="e">
        <f>IF(ISTEXT(([0]!P_1_13.7.6 [0]!MT)),0,([0]!P_1_13.7.6 [0]!MT))</f>
        <v>#REF!</v>
      </c>
    </row>
    <row r="906" spans="1:4" x14ac:dyDescent="0.25">
      <c r="A906" s="1" t="s">
        <v>1061</v>
      </c>
      <c r="B906" s="3" t="e">
        <f>IF(ISTEXT(([0]!P_1_13.7.7 [0]!Qté)),0,([0]!P_1_13.7.7 [0]!Qté))</f>
        <v>#REF!</v>
      </c>
      <c r="C906" s="2" t="e">
        <f>([0]!P_1_13.7.7 [0]!PU)</f>
        <v>#REF!</v>
      </c>
      <c r="D906" s="2" t="e">
        <f>IF(ISTEXT(([0]!P_1_13.7.7 [0]!MT)),0,([0]!P_1_13.7.7 [0]!MT))</f>
        <v>#REF!</v>
      </c>
    </row>
    <row r="907" spans="1:4" x14ac:dyDescent="0.25">
      <c r="A907" s="1" t="s">
        <v>228</v>
      </c>
      <c r="B907" s="3" t="e">
        <f>IF(ISTEXT(([0]!P_1_13.7.8 [0]!Qté)),0,([0]!P_1_13.7.8 [0]!Qté))</f>
        <v>#REF!</v>
      </c>
      <c r="C907" s="2" t="e">
        <f>([0]!P_1_13.7.8 [0]!PU)</f>
        <v>#REF!</v>
      </c>
      <c r="D907" s="2" t="e">
        <f>IF(ISTEXT(([0]!P_1_13.7.8 [0]!MT)),0,([0]!P_1_13.7.8 [0]!MT))</f>
        <v>#REF!</v>
      </c>
    </row>
    <row r="908" spans="1:4" x14ac:dyDescent="0.25">
      <c r="A908" s="1" t="s">
        <v>229</v>
      </c>
      <c r="B908" s="3" t="e">
        <f>IF(ISTEXT(([0]!P_1_13.7.9 [0]!Qté)),0,([0]!P_1_13.7.9 [0]!Qté))</f>
        <v>#REF!</v>
      </c>
      <c r="C908" s="2" t="e">
        <f>([0]!P_1_13.7.9 [0]!PU)</f>
        <v>#REF!</v>
      </c>
      <c r="D908" s="2" t="e">
        <f>IF(ISTEXT(([0]!P_1_13.7.9 [0]!MT)),0,([0]!P_1_13.7.9 [0]!MT))</f>
        <v>#REF!</v>
      </c>
    </row>
    <row r="909" spans="1:4" x14ac:dyDescent="0.25">
      <c r="A909" s="1" t="s">
        <v>230</v>
      </c>
      <c r="B909" s="3" t="e">
        <f>IF(ISTEXT(([0]!P_1_13.7.10 [0]!Qté)),0,([0]!P_1_13.7.10 [0]!Qté))</f>
        <v>#REF!</v>
      </c>
      <c r="C909" s="2" t="e">
        <f>([0]!P_1_13.7.10 [0]!PU)</f>
        <v>#REF!</v>
      </c>
      <c r="D909" s="2" t="e">
        <f>IF(ISTEXT(([0]!P_1_13.7.10 [0]!MT)),0,([0]!P_1_13.7.10 [0]!MT))</f>
        <v>#REF!</v>
      </c>
    </row>
    <row r="910" spans="1:4" x14ac:dyDescent="0.25">
      <c r="A910" s="1" t="s">
        <v>1062</v>
      </c>
      <c r="B910" s="3" t="e">
        <f>IF(ISTEXT(([0]!P_1_13.7.11 [0]!Qté)),0,([0]!P_1_13.7.11 [0]!Qté))</f>
        <v>#REF!</v>
      </c>
      <c r="C910" s="2" t="e">
        <f>([0]!P_1_13.7.11 [0]!PU)</f>
        <v>#REF!</v>
      </c>
      <c r="D910" s="2" t="e">
        <f>IF(ISTEXT(([0]!P_1_13.7.11 [0]!MT)),0,([0]!P_1_13.7.11 [0]!MT))</f>
        <v>#REF!</v>
      </c>
    </row>
    <row r="911" spans="1:4" x14ac:dyDescent="0.25">
      <c r="A911" s="1" t="s">
        <v>231</v>
      </c>
      <c r="B911" s="3" t="e">
        <f>IF(ISTEXT(([0]!P_1_13.7.12 [0]!Qté)),0,([0]!P_1_13.7.12 [0]!Qté))</f>
        <v>#REF!</v>
      </c>
      <c r="C911" s="2" t="e">
        <f>([0]!P_1_13.7.12 [0]!PU)</f>
        <v>#REF!</v>
      </c>
      <c r="D911" s="2" t="e">
        <f>IF(ISTEXT(([0]!P_1_13.7.12 [0]!MT)),0,([0]!P_1_13.7.12 [0]!MT))</f>
        <v>#REF!</v>
      </c>
    </row>
    <row r="912" spans="1:4" x14ac:dyDescent="0.25">
      <c r="A912" s="1" t="s">
        <v>232</v>
      </c>
      <c r="B912" s="3" t="e">
        <f>IF(ISTEXT(([0]!P_1_13.7.13 [0]!Qté)),0,([0]!P_1_13.7.13 [0]!Qté))</f>
        <v>#REF!</v>
      </c>
      <c r="C912" s="2" t="e">
        <f>([0]!P_1_13.7.13 [0]!PU)</f>
        <v>#REF!</v>
      </c>
      <c r="D912" s="2" t="e">
        <f>IF(ISTEXT(([0]!P_1_13.7.13 [0]!MT)),0,([0]!P_1_13.7.13 [0]!MT))</f>
        <v>#REF!</v>
      </c>
    </row>
    <row r="913" spans="1:4" x14ac:dyDescent="0.25">
      <c r="A913" s="1" t="s">
        <v>1063</v>
      </c>
      <c r="B913" s="3" t="e">
        <f>IF(ISTEXT(([0]!P_1_13.7.14 [0]!Qté)),0,([0]!P_1_13.7.14 [0]!Qté))</f>
        <v>#REF!</v>
      </c>
      <c r="C913" s="2" t="e">
        <f>([0]!P_1_13.7.14 [0]!PU)</f>
        <v>#REF!</v>
      </c>
      <c r="D913" s="2" t="e">
        <f>IF(ISTEXT(([0]!P_1_13.7.14 [0]!MT)),0,([0]!P_1_13.7.14 [0]!MT))</f>
        <v>#REF!</v>
      </c>
    </row>
    <row r="914" spans="1:4" x14ac:dyDescent="0.25">
      <c r="A914" s="1" t="s">
        <v>233</v>
      </c>
      <c r="B914" s="3" t="e">
        <f>IF(ISTEXT(([0]!P_1_13.8.1 [0]!Qté)),0,([0]!P_1_13.8.1 [0]!Qté))</f>
        <v>#REF!</v>
      </c>
      <c r="C914" s="2" t="e">
        <f>([0]!P_1_13.8.1 [0]!PU)</f>
        <v>#REF!</v>
      </c>
      <c r="D914" s="2" t="e">
        <f>IF(ISTEXT(([0]!P_1_13.8.1 [0]!MT)),0,([0]!P_1_13.8.1 [0]!MT))</f>
        <v>#REF!</v>
      </c>
    </row>
    <row r="915" spans="1:4" x14ac:dyDescent="0.25">
      <c r="A915" s="1" t="s">
        <v>234</v>
      </c>
      <c r="B915" s="3" t="e">
        <f>IF(ISTEXT(([0]!P_1_13.8.2 [0]!Qté)),0,([0]!P_1_13.8.2 [0]!Qté))</f>
        <v>#REF!</v>
      </c>
      <c r="C915" s="2" t="e">
        <f>([0]!P_1_13.8.2 [0]!PU)</f>
        <v>#REF!</v>
      </c>
      <c r="D915" s="2" t="e">
        <f>IF(ISTEXT(([0]!P_1_13.8.2 [0]!MT)),0,([0]!P_1_13.8.2 [0]!MT))</f>
        <v>#REF!</v>
      </c>
    </row>
    <row r="916" spans="1:4" x14ac:dyDescent="0.25">
      <c r="A916" s="1" t="s">
        <v>235</v>
      </c>
      <c r="B916" s="3" t="e">
        <f>IF(ISTEXT(([0]!P_1_13.8.3 [0]!Qté)),0,([0]!P_1_13.8.3 [0]!Qté))</f>
        <v>#REF!</v>
      </c>
      <c r="C916" s="2" t="e">
        <f>([0]!P_1_13.8.3 [0]!PU)</f>
        <v>#REF!</v>
      </c>
      <c r="D916" s="2" t="e">
        <f>IF(ISTEXT(([0]!P_1_13.8.3 [0]!MT)),0,([0]!P_1_13.8.3 [0]!MT))</f>
        <v>#REF!</v>
      </c>
    </row>
    <row r="917" spans="1:4" x14ac:dyDescent="0.25">
      <c r="A917" s="1" t="s">
        <v>236</v>
      </c>
      <c r="B917" s="3" t="e">
        <f>IF(ISTEXT(([0]!P_1_13.8.4 [0]!Qté)),0,([0]!P_1_13.8.4 [0]!Qté))</f>
        <v>#REF!</v>
      </c>
      <c r="C917" s="2" t="e">
        <f>([0]!P_1_13.8.4 [0]!PU)</f>
        <v>#REF!</v>
      </c>
      <c r="D917" s="2" t="e">
        <f>IF(ISTEXT(([0]!P_1_13.8.4 [0]!MT)),0,([0]!P_1_13.8.4 [0]!MT))</f>
        <v>#REF!</v>
      </c>
    </row>
    <row r="918" spans="1:4" x14ac:dyDescent="0.25">
      <c r="A918" s="1" t="s">
        <v>237</v>
      </c>
      <c r="B918" s="3" t="e">
        <f>IF(ISTEXT(([0]!P_1_13.8.5 [0]!Qté)),0,([0]!P_1_13.8.5 [0]!Qté))</f>
        <v>#REF!</v>
      </c>
      <c r="C918" s="2" t="e">
        <f>([0]!P_1_13.8.5 [0]!PU)</f>
        <v>#REF!</v>
      </c>
      <c r="D918" s="2" t="e">
        <f>IF(ISTEXT(([0]!P_1_13.8.5 [0]!MT)),0,([0]!P_1_13.8.5 [0]!MT))</f>
        <v>#REF!</v>
      </c>
    </row>
    <row r="919" spans="1:4" x14ac:dyDescent="0.25">
      <c r="A919" s="1" t="s">
        <v>238</v>
      </c>
      <c r="B919" s="3" t="e">
        <f>IF(ISTEXT(([0]!P_1_13.8.6 [0]!Qté)),0,([0]!P_1_13.8.6 [0]!Qté))</f>
        <v>#REF!</v>
      </c>
      <c r="C919" s="2" t="e">
        <f>([0]!P_1_13.8.6 [0]!PU)</f>
        <v>#REF!</v>
      </c>
      <c r="D919" s="2" t="e">
        <f>IF(ISTEXT(([0]!P_1_13.8.6 [0]!MT)),0,([0]!P_1_13.8.6 [0]!MT))</f>
        <v>#REF!</v>
      </c>
    </row>
    <row r="920" spans="1:4" x14ac:dyDescent="0.25">
      <c r="A920" s="1" t="s">
        <v>239</v>
      </c>
      <c r="B920" s="3" t="e">
        <f>IF(ISTEXT(([0]!P_1_13.8.7 [0]!Qté)),0,([0]!P_1_13.8.7 [0]!Qté))</f>
        <v>#REF!</v>
      </c>
      <c r="C920" s="2" t="e">
        <f>([0]!P_1_13.8.7 [0]!PU)</f>
        <v>#REF!</v>
      </c>
      <c r="D920" s="2" t="e">
        <f>IF(ISTEXT(([0]!P_1_13.8.7 [0]!MT)),0,([0]!P_1_13.8.7 [0]!MT))</f>
        <v>#REF!</v>
      </c>
    </row>
    <row r="921" spans="1:4" x14ac:dyDescent="0.25">
      <c r="A921" s="1" t="s">
        <v>240</v>
      </c>
      <c r="B921" s="3" t="e">
        <f>IF(ISTEXT(([0]!P_1_13.8.8 [0]!Qté)),0,([0]!P_1_13.8.8 [0]!Qté))</f>
        <v>#REF!</v>
      </c>
      <c r="C921" s="2" t="e">
        <f>([0]!P_1_13.8.8 [0]!PU)</f>
        <v>#REF!</v>
      </c>
      <c r="D921" s="2" t="e">
        <f>IF(ISTEXT(([0]!P_1_13.8.8 [0]!MT)),0,([0]!P_1_13.8.8 [0]!MT))</f>
        <v>#REF!</v>
      </c>
    </row>
    <row r="922" spans="1:4" x14ac:dyDescent="0.25">
      <c r="A922" s="1" t="s">
        <v>241</v>
      </c>
      <c r="B922" s="3" t="e">
        <f>IF(ISTEXT(([0]!P_1_13.8.9 [0]!Qté)),0,([0]!P_1_13.8.9 [0]!Qté))</f>
        <v>#REF!</v>
      </c>
      <c r="C922" s="2" t="e">
        <f>([0]!P_1_13.8.9 [0]!PU)</f>
        <v>#REF!</v>
      </c>
      <c r="D922" s="2" t="e">
        <f>IF(ISTEXT(([0]!P_1_13.8.9 [0]!MT)),0,([0]!P_1_13.8.9 [0]!MT))</f>
        <v>#REF!</v>
      </c>
    </row>
    <row r="923" spans="1:4" x14ac:dyDescent="0.25">
      <c r="A923" s="1" t="s">
        <v>242</v>
      </c>
      <c r="B923" s="3" t="e">
        <f>IF(ISTEXT(([0]!P_1_13.8.10 [0]!Qté)),0,([0]!P_1_13.8.10 [0]!Qté))</f>
        <v>#REF!</v>
      </c>
      <c r="C923" s="2" t="e">
        <f>([0]!P_1_13.8.10 [0]!PU)</f>
        <v>#REF!</v>
      </c>
      <c r="D923" s="2" t="e">
        <f>IF(ISTEXT(([0]!P_1_13.8.10 [0]!MT)),0,([0]!P_1_13.8.10 [0]!MT))</f>
        <v>#REF!</v>
      </c>
    </row>
    <row r="924" spans="1:4" x14ac:dyDescent="0.25">
      <c r="A924" s="1" t="s">
        <v>243</v>
      </c>
      <c r="B924" s="3" t="e">
        <f>IF(ISTEXT(([0]!P_1_13.8.11 [0]!Qté)),0,([0]!P_1_13.8.11 [0]!Qté))</f>
        <v>#REF!</v>
      </c>
      <c r="C924" s="2" t="e">
        <f>([0]!P_1_13.8.11 [0]!PU)</f>
        <v>#REF!</v>
      </c>
      <c r="D924" s="2" t="e">
        <f>IF(ISTEXT(([0]!P_1_13.8.11 [0]!MT)),0,([0]!P_1_13.8.11 [0]!MT))</f>
        <v>#REF!</v>
      </c>
    </row>
    <row r="925" spans="1:4" x14ac:dyDescent="0.25">
      <c r="A925" s="1" t="s">
        <v>244</v>
      </c>
      <c r="B925" s="3" t="e">
        <f>IF(ISTEXT(([0]!P_1_13.8.12 [0]!Qté)),0,([0]!P_1_13.8.12 [0]!Qté))</f>
        <v>#REF!</v>
      </c>
      <c r="C925" s="2" t="e">
        <f>([0]!P_1_13.8.12 [0]!PU)</f>
        <v>#REF!</v>
      </c>
      <c r="D925" s="2" t="e">
        <f>IF(ISTEXT(([0]!P_1_13.8.12 [0]!MT)),0,([0]!P_1_13.8.12 [0]!MT))</f>
        <v>#REF!</v>
      </c>
    </row>
    <row r="926" spans="1:4" x14ac:dyDescent="0.25">
      <c r="A926" s="1" t="s">
        <v>245</v>
      </c>
      <c r="B926" s="3" t="e">
        <f>IF(ISTEXT(([0]!P_1_13.8.13 [0]!Qté)),0,([0]!P_1_13.8.13 [0]!Qté))</f>
        <v>#REF!</v>
      </c>
      <c r="C926" s="2" t="e">
        <f>([0]!P_1_13.8.13 [0]!PU)</f>
        <v>#REF!</v>
      </c>
      <c r="D926" s="2" t="e">
        <f>IF(ISTEXT(([0]!P_1_13.8.13 [0]!MT)),0,([0]!P_1_13.8.13 [0]!MT))</f>
        <v>#REF!</v>
      </c>
    </row>
    <row r="927" spans="1:4" x14ac:dyDescent="0.25">
      <c r="A927" s="1" t="s">
        <v>246</v>
      </c>
      <c r="B927" s="3" t="e">
        <f>IF(ISTEXT(([0]!P_1_13.8.14 [0]!Qté)),0,([0]!P_1_13.8.14 [0]!Qté))</f>
        <v>#REF!</v>
      </c>
      <c r="C927" s="2" t="e">
        <f>([0]!P_1_13.8.14 [0]!PU)</f>
        <v>#REF!</v>
      </c>
      <c r="D927" s="2" t="e">
        <f>IF(ISTEXT(([0]!P_1_13.8.14 [0]!MT)),0,([0]!P_1_13.8.14 [0]!MT))</f>
        <v>#REF!</v>
      </c>
    </row>
    <row r="928" spans="1:4" x14ac:dyDescent="0.25">
      <c r="A928" s="1" t="s">
        <v>247</v>
      </c>
      <c r="B928" s="3" t="e">
        <f>IF(ISTEXT(([0]!P_1_13.8.15 [0]!Qté)),0,([0]!P_1_13.8.15 [0]!Qté))</f>
        <v>#REF!</v>
      </c>
      <c r="C928" s="2" t="e">
        <f>([0]!P_1_13.8.15 [0]!PU)</f>
        <v>#REF!</v>
      </c>
      <c r="D928" s="2" t="e">
        <f>IF(ISTEXT(([0]!P_1_13.8.15 [0]!MT)),0,([0]!P_1_13.8.15 [0]!MT))</f>
        <v>#REF!</v>
      </c>
    </row>
    <row r="929" spans="1:4" x14ac:dyDescent="0.25">
      <c r="A929" s="1" t="s">
        <v>248</v>
      </c>
      <c r="B929" s="3" t="e">
        <f>IF(ISTEXT(([0]!P_1_13.8.16 [0]!Qté)),0,([0]!P_1_13.8.16 [0]!Qté))</f>
        <v>#REF!</v>
      </c>
      <c r="C929" s="2" t="e">
        <f>([0]!P_1_13.8.16 [0]!PU)</f>
        <v>#REF!</v>
      </c>
      <c r="D929" s="2" t="e">
        <f>IF(ISTEXT(([0]!P_1_13.8.16 [0]!MT)),0,([0]!P_1_13.8.16 [0]!MT))</f>
        <v>#REF!</v>
      </c>
    </row>
    <row r="930" spans="1:4" x14ac:dyDescent="0.25">
      <c r="A930" s="1" t="s">
        <v>249</v>
      </c>
      <c r="B930" s="3" t="e">
        <f>IF(ISTEXT(([0]!P_1_13.8.17 [0]!Qté)),0,([0]!P_1_13.8.17 [0]!Qté))</f>
        <v>#REF!</v>
      </c>
      <c r="C930" s="2" t="e">
        <f>([0]!P_1_13.8.17 [0]!PU)</f>
        <v>#REF!</v>
      </c>
      <c r="D930" s="2" t="e">
        <f>IF(ISTEXT(([0]!P_1_13.8.17 [0]!MT)),0,([0]!P_1_13.8.17 [0]!MT))</f>
        <v>#REF!</v>
      </c>
    </row>
    <row r="931" spans="1:4" x14ac:dyDescent="0.25">
      <c r="A931" s="1" t="s">
        <v>250</v>
      </c>
      <c r="B931" s="3" t="e">
        <f>IF(ISTEXT(([0]!P_1_13.8.18 [0]!Qté)),0,([0]!P_1_13.8.18 [0]!Qté))</f>
        <v>#REF!</v>
      </c>
      <c r="C931" s="2" t="e">
        <f>([0]!P_1_13.8.18 [0]!PU)</f>
        <v>#REF!</v>
      </c>
      <c r="D931" s="2" t="e">
        <f>IF(ISTEXT(([0]!P_1_13.8.18 [0]!MT)),0,([0]!P_1_13.8.18 [0]!MT))</f>
        <v>#REF!</v>
      </c>
    </row>
    <row r="932" spans="1:4" x14ac:dyDescent="0.25">
      <c r="A932" s="1" t="s">
        <v>251</v>
      </c>
      <c r="B932" s="3" t="e">
        <f>IF(ISTEXT(([0]!P_1_13.8.19 [0]!Qté)),0,([0]!P_1_13.8.19 [0]!Qté))</f>
        <v>#REF!</v>
      </c>
      <c r="C932" s="2" t="e">
        <f>([0]!P_1_13.8.19 [0]!PU)</f>
        <v>#REF!</v>
      </c>
      <c r="D932" s="2" t="e">
        <f>IF(ISTEXT(([0]!P_1_13.8.19 [0]!MT)),0,([0]!P_1_13.8.19 [0]!MT))</f>
        <v>#REF!</v>
      </c>
    </row>
    <row r="933" spans="1:4" x14ac:dyDescent="0.25">
      <c r="A933" s="1" t="s">
        <v>252</v>
      </c>
      <c r="B933" s="3" t="e">
        <f>IF(ISTEXT(([0]!P_1_13.8.20 [0]!Qté)),0,([0]!P_1_13.8.20 [0]!Qté))</f>
        <v>#REF!</v>
      </c>
      <c r="C933" s="2" t="e">
        <f>([0]!P_1_13.8.20 [0]!PU)</f>
        <v>#REF!</v>
      </c>
      <c r="D933" s="2" t="e">
        <f>IF(ISTEXT(([0]!P_1_13.8.20 [0]!MT)),0,([0]!P_1_13.8.20 [0]!MT))</f>
        <v>#REF!</v>
      </c>
    </row>
    <row r="934" spans="1:4" x14ac:dyDescent="0.25">
      <c r="A934" s="1" t="s">
        <v>253</v>
      </c>
      <c r="B934" s="3" t="e">
        <f>IF(ISTEXT(([0]!P_1_13.8.21 [0]!Qté)),0,([0]!P_1_13.8.21 [0]!Qté))</f>
        <v>#REF!</v>
      </c>
      <c r="C934" s="2" t="e">
        <f>([0]!P_1_13.8.21 [0]!PU)</f>
        <v>#REF!</v>
      </c>
      <c r="D934" s="2" t="e">
        <f>IF(ISTEXT(([0]!P_1_13.8.21 [0]!MT)),0,([0]!P_1_13.8.21 [0]!MT))</f>
        <v>#REF!</v>
      </c>
    </row>
    <row r="935" spans="1:4" x14ac:dyDescent="0.25">
      <c r="A935" s="1" t="s">
        <v>254</v>
      </c>
      <c r="B935" s="3" t="e">
        <f>IF(ISTEXT(([0]!P_1_13.8.22 [0]!Qté)),0,([0]!P_1_13.8.22 [0]!Qté))</f>
        <v>#REF!</v>
      </c>
      <c r="C935" s="2" t="e">
        <f>([0]!P_1_13.8.22 [0]!PU)</f>
        <v>#REF!</v>
      </c>
      <c r="D935" s="2" t="e">
        <f>IF(ISTEXT(([0]!P_1_13.8.22 [0]!MT)),0,([0]!P_1_13.8.22 [0]!MT))</f>
        <v>#REF!</v>
      </c>
    </row>
    <row r="936" spans="1:4" x14ac:dyDescent="0.25">
      <c r="A936" s="1" t="s">
        <v>255</v>
      </c>
      <c r="B936" s="3" t="e">
        <f>IF(ISTEXT(([0]!P_1_13.8.23 [0]!Qté)),0,([0]!P_1_13.8.23 [0]!Qté))</f>
        <v>#REF!</v>
      </c>
      <c r="C936" s="2" t="e">
        <f>([0]!P_1_13.8.23 [0]!PU)</f>
        <v>#REF!</v>
      </c>
      <c r="D936" s="2" t="e">
        <f>IF(ISTEXT(([0]!P_1_13.8.23 [0]!MT)),0,([0]!P_1_13.8.23 [0]!MT))</f>
        <v>#REF!</v>
      </c>
    </row>
    <row r="937" spans="1:4" x14ac:dyDescent="0.25">
      <c r="A937" s="1" t="s">
        <v>256</v>
      </c>
      <c r="B937" s="3" t="e">
        <f>IF(ISTEXT(([0]!P_1_13.8.24 [0]!Qté)),0,([0]!P_1_13.8.24 [0]!Qté))</f>
        <v>#REF!</v>
      </c>
      <c r="C937" s="2" t="e">
        <f>([0]!P_1_13.8.24 [0]!PU)</f>
        <v>#REF!</v>
      </c>
      <c r="D937" s="2" t="e">
        <f>IF(ISTEXT(([0]!P_1_13.8.24 [0]!MT)),0,([0]!P_1_13.8.24 [0]!MT))</f>
        <v>#REF!</v>
      </c>
    </row>
    <row r="938" spans="1:4" x14ac:dyDescent="0.25">
      <c r="A938" s="1" t="s">
        <v>257</v>
      </c>
      <c r="B938" s="3" t="e">
        <f>IF(ISTEXT(([0]!P_1_13.8.25 [0]!Qté)),0,([0]!P_1_13.8.25 [0]!Qté))</f>
        <v>#REF!</v>
      </c>
      <c r="C938" s="2" t="e">
        <f>([0]!P_1_13.8.25 [0]!PU)</f>
        <v>#REF!</v>
      </c>
      <c r="D938" s="2" t="e">
        <f>IF(ISTEXT(([0]!P_1_13.8.25 [0]!MT)),0,([0]!P_1_13.8.25 [0]!MT))</f>
        <v>#REF!</v>
      </c>
    </row>
    <row r="939" spans="1:4" x14ac:dyDescent="0.25">
      <c r="A939" s="1" t="s">
        <v>258</v>
      </c>
      <c r="B939" s="3" t="e">
        <f>IF(ISTEXT(([0]!P_1_13.8.26 [0]!Qté)),0,([0]!P_1_13.8.26 [0]!Qté))</f>
        <v>#REF!</v>
      </c>
      <c r="C939" s="2" t="e">
        <f>([0]!P_1_13.8.26 [0]!PU)</f>
        <v>#REF!</v>
      </c>
      <c r="D939" s="2" t="e">
        <f>IF(ISTEXT(([0]!P_1_13.8.26 [0]!MT)),0,([0]!P_1_13.8.26 [0]!MT))</f>
        <v>#REF!</v>
      </c>
    </row>
    <row r="940" spans="1:4" x14ac:dyDescent="0.25">
      <c r="A940" s="1" t="s">
        <v>259</v>
      </c>
      <c r="B940" s="3" t="e">
        <f>IF(ISTEXT(([0]!P_1_13.8.27 [0]!Qté)),0,([0]!P_1_13.8.27 [0]!Qté))</f>
        <v>#REF!</v>
      </c>
      <c r="C940" s="2" t="e">
        <f>([0]!P_1_13.8.27 [0]!PU)</f>
        <v>#REF!</v>
      </c>
      <c r="D940" s="2" t="e">
        <f>IF(ISTEXT(([0]!P_1_13.8.27 [0]!MT)),0,([0]!P_1_13.8.27 [0]!MT))</f>
        <v>#REF!</v>
      </c>
    </row>
    <row r="941" spans="1:4" x14ac:dyDescent="0.25">
      <c r="A941" s="1" t="s">
        <v>260</v>
      </c>
      <c r="B941" s="3" t="e">
        <f>IF(ISTEXT(([0]!P_1_13.8.28 [0]!Qté)),0,([0]!P_1_13.8.28 [0]!Qté))</f>
        <v>#REF!</v>
      </c>
      <c r="C941" s="2" t="e">
        <f>([0]!P_1_13.8.28 [0]!PU)</f>
        <v>#REF!</v>
      </c>
      <c r="D941" s="2" t="e">
        <f>IF(ISTEXT(([0]!P_1_13.8.28 [0]!MT)),0,([0]!P_1_13.8.28 [0]!MT))</f>
        <v>#REF!</v>
      </c>
    </row>
    <row r="942" spans="1:4" x14ac:dyDescent="0.25">
      <c r="A942" s="1" t="s">
        <v>261</v>
      </c>
      <c r="B942" s="3" t="e">
        <f>IF(ISTEXT(([0]!P_1_13.8.29 [0]!Qté)),0,([0]!P_1_13.8.29 [0]!Qté))</f>
        <v>#REF!</v>
      </c>
      <c r="C942" s="2" t="e">
        <f>([0]!P_1_13.8.29 [0]!PU)</f>
        <v>#REF!</v>
      </c>
      <c r="D942" s="2" t="e">
        <f>IF(ISTEXT(([0]!P_1_13.8.29 [0]!MT)),0,([0]!P_1_13.8.29 [0]!MT))</f>
        <v>#REF!</v>
      </c>
    </row>
    <row r="943" spans="1:4" x14ac:dyDescent="0.25">
      <c r="A943" s="1" t="s">
        <v>262</v>
      </c>
      <c r="B943" s="3" t="e">
        <f>IF(ISTEXT(([0]!P_1_13.8.30 [0]!Qté)),0,([0]!P_1_13.8.30 [0]!Qté))</f>
        <v>#REF!</v>
      </c>
      <c r="C943" s="2" t="e">
        <f>([0]!P_1_13.8.30 [0]!PU)</f>
        <v>#REF!</v>
      </c>
      <c r="D943" s="2" t="e">
        <f>IF(ISTEXT(([0]!P_1_13.8.30 [0]!MT)),0,([0]!P_1_13.8.30 [0]!MT))</f>
        <v>#REF!</v>
      </c>
    </row>
    <row r="944" spans="1:4" x14ac:dyDescent="0.25">
      <c r="A944" s="1" t="s">
        <v>263</v>
      </c>
      <c r="B944" s="3" t="e">
        <f>IF(ISTEXT(([0]!P_1_13.8.31 [0]!Qté)),0,([0]!P_1_13.8.31 [0]!Qté))</f>
        <v>#REF!</v>
      </c>
      <c r="C944" s="2" t="e">
        <f>([0]!P_1_13.8.31 [0]!PU)</f>
        <v>#REF!</v>
      </c>
      <c r="D944" s="2" t="e">
        <f>IF(ISTEXT(([0]!P_1_13.8.31 [0]!MT)),0,([0]!P_1_13.8.31 [0]!MT))</f>
        <v>#REF!</v>
      </c>
    </row>
    <row r="945" spans="1:4" x14ac:dyDescent="0.25">
      <c r="A945" s="1" t="s">
        <v>1128</v>
      </c>
      <c r="B945" s="3" t="e">
        <f>IF(ISTEXT(([0]!HT_0_HT01 [0]!Qté)),0,([0]!HT_0_HT01 [0]!Qté))</f>
        <v>#REF!</v>
      </c>
      <c r="C945" s="2" t="e">
        <f>([0]!HT_0_HT01 [0]!PU)</f>
        <v>#REF!</v>
      </c>
      <c r="D945" s="2" t="e">
        <f>IF(ISTEXT(([0]!HT_0_HT01 [0]!MT)),0,([0]!HT_0_HT01 [0]!MT))</f>
        <v>#REF!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68289-0518-4DF7-829C-5FAACA8B0384}">
  <sheetPr>
    <tabColor indexed="34"/>
  </sheetPr>
  <dimension ref="A1:G1416"/>
  <sheetViews>
    <sheetView tabSelected="1" topLeftCell="A80" zoomScaleNormal="100" workbookViewId="0">
      <selection activeCell="E104" sqref="E104"/>
    </sheetView>
  </sheetViews>
  <sheetFormatPr baseColWidth="10" defaultColWidth="11.44140625" defaultRowHeight="12" x14ac:dyDescent="0.25"/>
  <cols>
    <col min="1" max="1" width="12" style="97" bestFit="1" customWidth="1"/>
    <col min="2" max="2" width="115.33203125" style="98" customWidth="1"/>
    <col min="3" max="3" width="8.88671875" style="99" customWidth="1"/>
    <col min="4" max="4" width="10" style="22" customWidth="1"/>
    <col min="5" max="5" width="14.6640625" style="22" customWidth="1"/>
    <col min="6" max="6" width="17.44140625" style="47" customWidth="1"/>
    <col min="7" max="16384" width="11.44140625" style="14"/>
  </cols>
  <sheetData>
    <row r="1" spans="1:7" s="88" customFormat="1" ht="20.100000000000001" customHeight="1" x14ac:dyDescent="0.25">
      <c r="A1" s="83"/>
      <c r="B1" s="137" t="s">
        <v>1320</v>
      </c>
      <c r="C1" s="137"/>
      <c r="D1" s="137"/>
      <c r="E1" s="137"/>
      <c r="F1" s="137"/>
    </row>
    <row r="2" spans="1:7" s="88" customFormat="1" ht="36.75" customHeight="1" x14ac:dyDescent="0.25">
      <c r="A2" s="84"/>
      <c r="B2" s="85"/>
      <c r="C2" s="138" t="s">
        <v>3288</v>
      </c>
      <c r="D2" s="138"/>
      <c r="E2" s="138"/>
      <c r="F2" s="138"/>
    </row>
    <row r="3" spans="1:7" s="88" customFormat="1" ht="20.100000000000001" customHeight="1" x14ac:dyDescent="0.25">
      <c r="A3" s="84"/>
      <c r="B3" s="86" t="s">
        <v>280</v>
      </c>
      <c r="C3" s="139"/>
      <c r="D3" s="139"/>
      <c r="E3" s="139"/>
      <c r="F3" s="139"/>
    </row>
    <row r="4" spans="1:7" s="88" customFormat="1" ht="20.100000000000001" customHeight="1" x14ac:dyDescent="0.25">
      <c r="A4" s="83"/>
      <c r="B4" s="140" t="s">
        <v>157</v>
      </c>
      <c r="C4" s="140"/>
      <c r="D4" s="140"/>
      <c r="E4" s="140"/>
      <c r="F4" s="140"/>
    </row>
    <row r="5" spans="1:7" s="88" customFormat="1" ht="20.100000000000001" customHeight="1" x14ac:dyDescent="0.25">
      <c r="A5" s="83"/>
      <c r="B5" s="87"/>
      <c r="C5" s="87"/>
      <c r="D5" s="87"/>
      <c r="E5" s="87"/>
      <c r="F5" s="87"/>
    </row>
    <row r="6" spans="1:7" s="88" customFormat="1" ht="6" customHeight="1" thickBot="1" x14ac:dyDescent="0.3">
      <c r="A6" s="84"/>
      <c r="B6" s="89"/>
      <c r="C6" s="90"/>
      <c r="D6" s="91"/>
      <c r="E6" s="91"/>
      <c r="F6" s="92"/>
    </row>
    <row r="7" spans="1:7" ht="13.8" x14ac:dyDescent="0.25">
      <c r="A7" s="39" t="s">
        <v>269</v>
      </c>
      <c r="B7" s="40" t="s">
        <v>1024</v>
      </c>
      <c r="C7" s="41" t="s">
        <v>1025</v>
      </c>
      <c r="D7" s="41" t="s">
        <v>146</v>
      </c>
      <c r="E7" s="41" t="s">
        <v>1026</v>
      </c>
      <c r="F7" s="42" t="s">
        <v>1027</v>
      </c>
    </row>
    <row r="8" spans="1:7" s="6" customFormat="1" ht="13.2" x14ac:dyDescent="0.25">
      <c r="A8" s="24" t="s">
        <v>1064</v>
      </c>
      <c r="B8" s="25" t="s">
        <v>270</v>
      </c>
      <c r="C8" s="26"/>
      <c r="D8" s="93"/>
      <c r="E8" s="93"/>
      <c r="F8" s="94"/>
    </row>
    <row r="9" spans="1:7" s="6" customFormat="1" ht="13.2" x14ac:dyDescent="0.25">
      <c r="A9" s="27" t="s">
        <v>271</v>
      </c>
      <c r="B9" s="28" t="s">
        <v>174</v>
      </c>
      <c r="C9" s="100"/>
      <c r="D9" s="95"/>
      <c r="E9" s="95"/>
      <c r="F9" s="43"/>
    </row>
    <row r="10" spans="1:7" s="7" customFormat="1" ht="13.2" x14ac:dyDescent="0.25">
      <c r="A10" s="119" t="s">
        <v>272</v>
      </c>
      <c r="B10" s="120" t="s">
        <v>1315</v>
      </c>
      <c r="C10" s="101" t="s">
        <v>1081</v>
      </c>
      <c r="D10" s="136">
        <v>0</v>
      </c>
      <c r="E10" s="13">
        <v>0</v>
      </c>
      <c r="F10" s="43">
        <f>D10*E10</f>
        <v>0</v>
      </c>
    </row>
    <row r="11" spans="1:7" s="7" customFormat="1" ht="13.2" x14ac:dyDescent="0.25">
      <c r="A11" s="119" t="s">
        <v>273</v>
      </c>
      <c r="B11" s="120" t="s">
        <v>1316</v>
      </c>
      <c r="C11" s="101" t="s">
        <v>1081</v>
      </c>
      <c r="D11" s="136">
        <v>0</v>
      </c>
      <c r="E11" s="13">
        <v>0</v>
      </c>
      <c r="F11" s="43">
        <f t="shared" ref="F11:F94" si="0">D11*E11</f>
        <v>0</v>
      </c>
    </row>
    <row r="12" spans="1:7" s="15" customFormat="1" ht="13.2" x14ac:dyDescent="0.25">
      <c r="A12" s="119" t="s">
        <v>170</v>
      </c>
      <c r="B12" s="120" t="s">
        <v>303</v>
      </c>
      <c r="C12" s="101" t="s">
        <v>1081</v>
      </c>
      <c r="D12" s="136">
        <v>0</v>
      </c>
      <c r="E12" s="13">
        <v>0</v>
      </c>
      <c r="F12" s="43">
        <f t="shared" si="0"/>
        <v>0</v>
      </c>
      <c r="G12" s="7"/>
    </row>
    <row r="13" spans="1:7" s="15" customFormat="1" ht="13.2" x14ac:dyDescent="0.25">
      <c r="A13" s="119" t="s">
        <v>171</v>
      </c>
      <c r="B13" s="120" t="s">
        <v>304</v>
      </c>
      <c r="C13" s="101" t="s">
        <v>1081</v>
      </c>
      <c r="D13" s="136">
        <v>0</v>
      </c>
      <c r="E13" s="13">
        <v>0</v>
      </c>
      <c r="F13" s="43">
        <f t="shared" si="0"/>
        <v>0</v>
      </c>
      <c r="G13" s="7"/>
    </row>
    <row r="14" spans="1:7" s="15" customFormat="1" ht="13.2" x14ac:dyDescent="0.25">
      <c r="A14" s="119" t="s">
        <v>172</v>
      </c>
      <c r="B14" s="120" t="s">
        <v>305</v>
      </c>
      <c r="C14" s="101" t="s">
        <v>1081</v>
      </c>
      <c r="D14" s="136">
        <v>0</v>
      </c>
      <c r="E14" s="13">
        <v>0</v>
      </c>
      <c r="F14" s="43">
        <f t="shared" si="0"/>
        <v>0</v>
      </c>
      <c r="G14" s="7"/>
    </row>
    <row r="15" spans="1:7" s="15" customFormat="1" ht="13.2" x14ac:dyDescent="0.25">
      <c r="A15" s="119" t="s">
        <v>173</v>
      </c>
      <c r="B15" s="120" t="s">
        <v>306</v>
      </c>
      <c r="C15" s="101" t="s">
        <v>1081</v>
      </c>
      <c r="D15" s="136">
        <v>0</v>
      </c>
      <c r="E15" s="13">
        <v>0</v>
      </c>
      <c r="F15" s="43">
        <f t="shared" si="0"/>
        <v>0</v>
      </c>
      <c r="G15" s="7"/>
    </row>
    <row r="16" spans="1:7" s="4" customFormat="1" ht="13.2" x14ac:dyDescent="0.25">
      <c r="A16" s="119" t="s">
        <v>308</v>
      </c>
      <c r="B16" s="120" t="s">
        <v>177</v>
      </c>
      <c r="C16" s="101" t="s">
        <v>1081</v>
      </c>
      <c r="D16" s="136">
        <v>0</v>
      </c>
      <c r="E16" s="13">
        <v>0</v>
      </c>
      <c r="F16" s="43">
        <f t="shared" si="0"/>
        <v>0</v>
      </c>
      <c r="G16" s="7"/>
    </row>
    <row r="17" spans="1:7" s="4" customFormat="1" ht="13.2" x14ac:dyDescent="0.25">
      <c r="A17" s="119" t="s">
        <v>2326</v>
      </c>
      <c r="B17" s="120" t="s">
        <v>2091</v>
      </c>
      <c r="C17" s="101" t="s">
        <v>1081</v>
      </c>
      <c r="D17" s="136">
        <v>0</v>
      </c>
      <c r="E17" s="13">
        <v>0</v>
      </c>
      <c r="F17" s="43">
        <f t="shared" si="0"/>
        <v>0</v>
      </c>
      <c r="G17" s="7"/>
    </row>
    <row r="18" spans="1:7" s="4" customFormat="1" ht="13.2" x14ac:dyDescent="0.25">
      <c r="A18" s="119" t="s">
        <v>2327</v>
      </c>
      <c r="B18" s="120" t="s">
        <v>2092</v>
      </c>
      <c r="C18" s="101" t="s">
        <v>1081</v>
      </c>
      <c r="D18" s="136">
        <v>0</v>
      </c>
      <c r="E18" s="13">
        <v>0</v>
      </c>
      <c r="F18" s="43">
        <f t="shared" si="0"/>
        <v>0</v>
      </c>
      <c r="G18" s="7"/>
    </row>
    <row r="19" spans="1:7" s="4" customFormat="1" ht="13.2" x14ac:dyDescent="0.25">
      <c r="A19" s="119" t="s">
        <v>2328</v>
      </c>
      <c r="B19" s="120" t="s">
        <v>2093</v>
      </c>
      <c r="C19" s="101" t="s">
        <v>1081</v>
      </c>
      <c r="D19" s="136">
        <v>0</v>
      </c>
      <c r="E19" s="13">
        <v>0</v>
      </c>
      <c r="F19" s="43">
        <f t="shared" si="0"/>
        <v>0</v>
      </c>
      <c r="G19" s="7"/>
    </row>
    <row r="20" spans="1:7" s="4" customFormat="1" ht="13.2" x14ac:dyDescent="0.25">
      <c r="A20" s="119" t="s">
        <v>2329</v>
      </c>
      <c r="B20" s="120" t="s">
        <v>2094</v>
      </c>
      <c r="C20" s="101" t="s">
        <v>1081</v>
      </c>
      <c r="D20" s="136">
        <v>0</v>
      </c>
      <c r="E20" s="13">
        <v>0</v>
      </c>
      <c r="F20" s="43">
        <f t="shared" si="0"/>
        <v>0</v>
      </c>
      <c r="G20" s="7"/>
    </row>
    <row r="21" spans="1:7" s="4" customFormat="1" ht="13.2" x14ac:dyDescent="0.25">
      <c r="A21" s="119" t="s">
        <v>3127</v>
      </c>
      <c r="B21" s="120" t="s">
        <v>3126</v>
      </c>
      <c r="C21" s="101" t="s">
        <v>1081</v>
      </c>
      <c r="D21" s="136">
        <v>0</v>
      </c>
      <c r="E21" s="13">
        <v>0</v>
      </c>
      <c r="F21" s="43">
        <f t="shared" si="0"/>
        <v>0</v>
      </c>
      <c r="G21" s="7"/>
    </row>
    <row r="22" spans="1:7" s="4" customFormat="1" ht="13.2" x14ac:dyDescent="0.25">
      <c r="A22" s="27" t="s">
        <v>274</v>
      </c>
      <c r="B22" s="28" t="s">
        <v>175</v>
      </c>
      <c r="C22" s="100"/>
      <c r="D22" s="17"/>
      <c r="E22" s="13"/>
      <c r="F22" s="43"/>
      <c r="G22" s="7"/>
    </row>
    <row r="23" spans="1:7" s="4" customFormat="1" ht="13.2" x14ac:dyDescent="0.25">
      <c r="A23" s="119" t="s">
        <v>1028</v>
      </c>
      <c r="B23" s="120" t="s">
        <v>1030</v>
      </c>
      <c r="C23" s="102" t="s">
        <v>13</v>
      </c>
      <c r="D23" s="150">
        <v>0</v>
      </c>
      <c r="E23" s="13">
        <v>0</v>
      </c>
      <c r="F23" s="43">
        <f t="shared" si="0"/>
        <v>0</v>
      </c>
      <c r="G23" s="7"/>
    </row>
    <row r="24" spans="1:7" s="4" customFormat="1" ht="13.2" x14ac:dyDescent="0.25">
      <c r="A24" s="119" t="s">
        <v>1029</v>
      </c>
      <c r="B24" s="120" t="s">
        <v>1031</v>
      </c>
      <c r="C24" s="102" t="s">
        <v>13</v>
      </c>
      <c r="D24" s="150">
        <v>2</v>
      </c>
      <c r="E24" s="13">
        <v>0</v>
      </c>
      <c r="F24" s="43">
        <f t="shared" si="0"/>
        <v>0</v>
      </c>
      <c r="G24" s="7"/>
    </row>
    <row r="25" spans="1:7" s="12" customFormat="1" ht="13.2" x14ac:dyDescent="0.25">
      <c r="A25" s="27" t="s">
        <v>275</v>
      </c>
      <c r="B25" s="28" t="s">
        <v>176</v>
      </c>
      <c r="C25" s="100"/>
      <c r="D25" s="17"/>
      <c r="E25" s="13"/>
      <c r="F25" s="43"/>
      <c r="G25" s="7"/>
    </row>
    <row r="26" spans="1:7" s="12" customFormat="1" ht="13.2" x14ac:dyDescent="0.25">
      <c r="A26" s="119" t="s">
        <v>1103</v>
      </c>
      <c r="B26" s="120" t="s">
        <v>1315</v>
      </c>
      <c r="C26" s="101" t="s">
        <v>1081</v>
      </c>
      <c r="D26" s="136">
        <v>0</v>
      </c>
      <c r="E26" s="13">
        <v>0</v>
      </c>
      <c r="F26" s="43">
        <f t="shared" si="0"/>
        <v>0</v>
      </c>
      <c r="G26" s="7"/>
    </row>
    <row r="27" spans="1:7" s="12" customFormat="1" ht="13.2" x14ac:dyDescent="0.25">
      <c r="A27" s="119" t="s">
        <v>1112</v>
      </c>
      <c r="B27" s="120" t="s">
        <v>1316</v>
      </c>
      <c r="C27" s="101" t="s">
        <v>1081</v>
      </c>
      <c r="D27" s="136">
        <v>0</v>
      </c>
      <c r="E27" s="13">
        <v>0</v>
      </c>
      <c r="F27" s="43">
        <f t="shared" si="0"/>
        <v>0</v>
      </c>
      <c r="G27" s="7"/>
    </row>
    <row r="28" spans="1:7" s="6" customFormat="1" ht="13.2" x14ac:dyDescent="0.25">
      <c r="A28" s="119" t="s">
        <v>1116</v>
      </c>
      <c r="B28" s="120" t="s">
        <v>303</v>
      </c>
      <c r="C28" s="101" t="s">
        <v>1081</v>
      </c>
      <c r="D28" s="136">
        <v>0</v>
      </c>
      <c r="E28" s="13">
        <v>0</v>
      </c>
      <c r="F28" s="43">
        <f t="shared" si="0"/>
        <v>0</v>
      </c>
      <c r="G28" s="7"/>
    </row>
    <row r="29" spans="1:7" s="15" customFormat="1" ht="13.2" x14ac:dyDescent="0.25">
      <c r="A29" s="119" t="s">
        <v>1120</v>
      </c>
      <c r="B29" s="120" t="s">
        <v>304</v>
      </c>
      <c r="C29" s="101" t="s">
        <v>1081</v>
      </c>
      <c r="D29" s="136">
        <v>0</v>
      </c>
      <c r="E29" s="13">
        <v>0</v>
      </c>
      <c r="F29" s="43">
        <f t="shared" si="0"/>
        <v>0</v>
      </c>
      <c r="G29" s="7"/>
    </row>
    <row r="30" spans="1:7" s="7" customFormat="1" ht="13.2" x14ac:dyDescent="0.25">
      <c r="A30" s="119" t="s">
        <v>1122</v>
      </c>
      <c r="B30" s="120" t="s">
        <v>305</v>
      </c>
      <c r="C30" s="101" t="s">
        <v>1081</v>
      </c>
      <c r="D30" s="136">
        <v>0</v>
      </c>
      <c r="E30" s="13">
        <v>0</v>
      </c>
      <c r="F30" s="43">
        <f t="shared" si="0"/>
        <v>0</v>
      </c>
    </row>
    <row r="31" spans="1:7" s="7" customFormat="1" ht="13.2" x14ac:dyDescent="0.25">
      <c r="A31" s="119" t="s">
        <v>1123</v>
      </c>
      <c r="B31" s="120" t="s">
        <v>306</v>
      </c>
      <c r="C31" s="101" t="s">
        <v>1081</v>
      </c>
      <c r="D31" s="136">
        <v>0</v>
      </c>
      <c r="E31" s="13">
        <v>0</v>
      </c>
      <c r="F31" s="43">
        <f t="shared" si="0"/>
        <v>0</v>
      </c>
    </row>
    <row r="32" spans="1:7" s="15" customFormat="1" ht="13.2" x14ac:dyDescent="0.25">
      <c r="A32" s="119" t="s">
        <v>310</v>
      </c>
      <c r="B32" s="120" t="s">
        <v>177</v>
      </c>
      <c r="C32" s="101" t="s">
        <v>1081</v>
      </c>
      <c r="D32" s="136">
        <v>0</v>
      </c>
      <c r="E32" s="13">
        <v>0</v>
      </c>
      <c r="F32" s="43">
        <f t="shared" si="0"/>
        <v>0</v>
      </c>
      <c r="G32" s="7"/>
    </row>
    <row r="33" spans="1:7" s="15" customFormat="1" ht="13.2" x14ac:dyDescent="0.25">
      <c r="A33" s="119" t="s">
        <v>311</v>
      </c>
      <c r="B33" s="120" t="s">
        <v>2091</v>
      </c>
      <c r="C33" s="101" t="s">
        <v>1081</v>
      </c>
      <c r="D33" s="136">
        <v>0</v>
      </c>
      <c r="E33" s="13">
        <v>0</v>
      </c>
      <c r="F33" s="43">
        <f t="shared" si="0"/>
        <v>0</v>
      </c>
      <c r="G33" s="7"/>
    </row>
    <row r="34" spans="1:7" s="15" customFormat="1" ht="13.2" x14ac:dyDescent="0.25">
      <c r="A34" s="119" t="s">
        <v>312</v>
      </c>
      <c r="B34" s="120" t="s">
        <v>2092</v>
      </c>
      <c r="C34" s="101" t="s">
        <v>1081</v>
      </c>
      <c r="D34" s="136">
        <v>0</v>
      </c>
      <c r="E34" s="13">
        <v>0</v>
      </c>
      <c r="F34" s="43">
        <f t="shared" si="0"/>
        <v>0</v>
      </c>
      <c r="G34" s="7"/>
    </row>
    <row r="35" spans="1:7" s="15" customFormat="1" ht="13.2" x14ac:dyDescent="0.25">
      <c r="A35" s="119" t="s">
        <v>313</v>
      </c>
      <c r="B35" s="120" t="s">
        <v>2093</v>
      </c>
      <c r="C35" s="101" t="s">
        <v>1081</v>
      </c>
      <c r="D35" s="136">
        <v>0</v>
      </c>
      <c r="E35" s="13">
        <v>0</v>
      </c>
      <c r="F35" s="43">
        <f t="shared" si="0"/>
        <v>0</v>
      </c>
      <c r="G35" s="7"/>
    </row>
    <row r="36" spans="1:7" s="15" customFormat="1" ht="13.2" x14ac:dyDescent="0.25">
      <c r="A36" s="119" t="s">
        <v>314</v>
      </c>
      <c r="B36" s="120" t="s">
        <v>2094</v>
      </c>
      <c r="C36" s="101" t="s">
        <v>1081</v>
      </c>
      <c r="D36" s="136">
        <v>0</v>
      </c>
      <c r="E36" s="13">
        <v>0</v>
      </c>
      <c r="F36" s="43">
        <f t="shared" si="0"/>
        <v>0</v>
      </c>
      <c r="G36" s="7"/>
    </row>
    <row r="37" spans="1:7" s="15" customFormat="1" ht="13.2" x14ac:dyDescent="0.25">
      <c r="A37" s="119" t="s">
        <v>3131</v>
      </c>
      <c r="B37" s="120" t="s">
        <v>3126</v>
      </c>
      <c r="C37" s="101" t="s">
        <v>1081</v>
      </c>
      <c r="D37" s="136">
        <v>0</v>
      </c>
      <c r="E37" s="13">
        <v>0</v>
      </c>
      <c r="F37" s="43">
        <f t="shared" si="0"/>
        <v>0</v>
      </c>
      <c r="G37" s="7"/>
    </row>
    <row r="38" spans="1:7" s="15" customFormat="1" ht="13.2" x14ac:dyDescent="0.25">
      <c r="A38" s="27" t="s">
        <v>1133</v>
      </c>
      <c r="B38" s="28" t="s">
        <v>1324</v>
      </c>
      <c r="C38" s="101"/>
      <c r="D38" s="101"/>
      <c r="E38" s="13"/>
      <c r="F38" s="43"/>
      <c r="G38" s="7"/>
    </row>
    <row r="39" spans="1:7" s="15" customFormat="1" ht="13.2" x14ac:dyDescent="0.25">
      <c r="A39" s="119" t="s">
        <v>1134</v>
      </c>
      <c r="B39" s="120" t="s">
        <v>1332</v>
      </c>
      <c r="C39" s="101" t="s">
        <v>1121</v>
      </c>
      <c r="D39" s="150">
        <v>0</v>
      </c>
      <c r="E39" s="13">
        <v>0</v>
      </c>
      <c r="F39" s="43">
        <f t="shared" si="0"/>
        <v>0</v>
      </c>
      <c r="G39" s="7"/>
    </row>
    <row r="40" spans="1:7" s="15" customFormat="1" ht="13.2" x14ac:dyDescent="0.25">
      <c r="A40" s="119" t="s">
        <v>1136</v>
      </c>
      <c r="B40" s="120" t="s">
        <v>1333</v>
      </c>
      <c r="C40" s="101" t="s">
        <v>1121</v>
      </c>
      <c r="D40" s="150">
        <v>0</v>
      </c>
      <c r="E40" s="13">
        <v>0</v>
      </c>
      <c r="F40" s="43">
        <f t="shared" si="0"/>
        <v>0</v>
      </c>
      <c r="G40" s="7"/>
    </row>
    <row r="41" spans="1:7" s="4" customFormat="1" ht="13.2" x14ac:dyDescent="0.25">
      <c r="A41" s="119" t="s">
        <v>1138</v>
      </c>
      <c r="B41" s="120" t="s">
        <v>1321</v>
      </c>
      <c r="C41" s="101" t="s">
        <v>1121</v>
      </c>
      <c r="D41" s="150">
        <v>0</v>
      </c>
      <c r="E41" s="13">
        <v>0</v>
      </c>
      <c r="F41" s="43">
        <f t="shared" si="0"/>
        <v>0</v>
      </c>
      <c r="G41" s="7"/>
    </row>
    <row r="42" spans="1:7" s="4" customFormat="1" ht="13.2" x14ac:dyDescent="0.25">
      <c r="A42" s="119" t="s">
        <v>1322</v>
      </c>
      <c r="B42" s="120" t="s">
        <v>1323</v>
      </c>
      <c r="C42" s="101" t="s">
        <v>1121</v>
      </c>
      <c r="D42" s="150">
        <v>0</v>
      </c>
      <c r="E42" s="13">
        <v>0</v>
      </c>
      <c r="F42" s="43">
        <f t="shared" si="0"/>
        <v>0</v>
      </c>
      <c r="G42" s="7"/>
    </row>
    <row r="43" spans="1:7" s="6" customFormat="1" ht="14.25" customHeight="1" x14ac:dyDescent="0.25">
      <c r="A43" s="27" t="s">
        <v>1140</v>
      </c>
      <c r="B43" s="28" t="s">
        <v>1325</v>
      </c>
      <c r="C43" s="101"/>
      <c r="D43" s="101"/>
      <c r="E43" s="13"/>
      <c r="F43" s="43"/>
      <c r="G43" s="7"/>
    </row>
    <row r="44" spans="1:7" s="12" customFormat="1" ht="13.2" x14ac:dyDescent="0.25">
      <c r="A44" s="119" t="s">
        <v>2020</v>
      </c>
      <c r="B44" s="121" t="s">
        <v>2022</v>
      </c>
      <c r="C44" s="101" t="s">
        <v>1302</v>
      </c>
      <c r="D44" s="150">
        <v>0</v>
      </c>
      <c r="E44" s="13">
        <v>0</v>
      </c>
      <c r="F44" s="43">
        <f t="shared" si="0"/>
        <v>0</v>
      </c>
      <c r="G44" s="7"/>
    </row>
    <row r="45" spans="1:7" s="12" customFormat="1" ht="13.2" x14ac:dyDescent="0.25">
      <c r="A45" s="119" t="s">
        <v>2021</v>
      </c>
      <c r="B45" s="121" t="s">
        <v>2023</v>
      </c>
      <c r="C45" s="101" t="s">
        <v>179</v>
      </c>
      <c r="D45" s="150">
        <v>0</v>
      </c>
      <c r="E45" s="13">
        <v>0</v>
      </c>
      <c r="F45" s="43">
        <f t="shared" si="0"/>
        <v>0</v>
      </c>
      <c r="G45" s="7"/>
    </row>
    <row r="46" spans="1:7" s="12" customFormat="1" ht="13.2" x14ac:dyDescent="0.25">
      <c r="A46" s="27" t="s">
        <v>1141</v>
      </c>
      <c r="B46" s="28" t="s">
        <v>183</v>
      </c>
      <c r="C46" s="101" t="s">
        <v>179</v>
      </c>
      <c r="D46" s="150">
        <v>0</v>
      </c>
      <c r="E46" s="13">
        <v>0</v>
      </c>
      <c r="F46" s="43">
        <f t="shared" si="0"/>
        <v>0</v>
      </c>
      <c r="G46" s="7"/>
    </row>
    <row r="47" spans="1:7" s="12" customFormat="1" ht="13.2" x14ac:dyDescent="0.25">
      <c r="A47" s="27" t="s">
        <v>316</v>
      </c>
      <c r="B47" s="28" t="s">
        <v>279</v>
      </c>
      <c r="C47" s="101" t="s">
        <v>179</v>
      </c>
      <c r="D47" s="150">
        <v>0</v>
      </c>
      <c r="E47" s="13">
        <v>0</v>
      </c>
      <c r="F47" s="43">
        <f t="shared" si="0"/>
        <v>0</v>
      </c>
      <c r="G47" s="7"/>
    </row>
    <row r="48" spans="1:7" s="12" customFormat="1" ht="13.2" x14ac:dyDescent="0.25">
      <c r="A48" s="27" t="s">
        <v>178</v>
      </c>
      <c r="B48" s="28" t="s">
        <v>1640</v>
      </c>
      <c r="C48" s="101"/>
      <c r="D48" s="101"/>
      <c r="E48" s="13"/>
      <c r="F48" s="43"/>
      <c r="G48" s="7"/>
    </row>
    <row r="49" spans="1:7" s="12" customFormat="1" ht="13.2" x14ac:dyDescent="0.25">
      <c r="A49" s="119" t="s">
        <v>2330</v>
      </c>
      <c r="B49" s="120" t="s">
        <v>1328</v>
      </c>
      <c r="C49" s="101" t="s">
        <v>267</v>
      </c>
      <c r="D49" s="150">
        <v>0</v>
      </c>
      <c r="E49" s="13">
        <v>0</v>
      </c>
      <c r="F49" s="43">
        <f t="shared" si="0"/>
        <v>0</v>
      </c>
      <c r="G49" s="7"/>
    </row>
    <row r="50" spans="1:7" s="6" customFormat="1" ht="13.2" x14ac:dyDescent="0.25">
      <c r="A50" s="119" t="s">
        <v>2331</v>
      </c>
      <c r="B50" s="120" t="s">
        <v>1329</v>
      </c>
      <c r="C50" s="101" t="s">
        <v>267</v>
      </c>
      <c r="D50" s="150">
        <v>0</v>
      </c>
      <c r="E50" s="13">
        <v>0</v>
      </c>
      <c r="F50" s="43">
        <f t="shared" si="0"/>
        <v>0</v>
      </c>
      <c r="G50" s="7"/>
    </row>
    <row r="51" spans="1:7" s="6" customFormat="1" ht="13.2" x14ac:dyDescent="0.25">
      <c r="A51" s="27" t="s">
        <v>180</v>
      </c>
      <c r="B51" s="28" t="s">
        <v>186</v>
      </c>
      <c r="C51" s="101"/>
      <c r="D51" s="101"/>
      <c r="E51" s="13"/>
      <c r="F51" s="43"/>
      <c r="G51" s="7"/>
    </row>
    <row r="52" spans="1:7" s="12" customFormat="1" ht="13.2" x14ac:dyDescent="0.25">
      <c r="A52" s="119" t="s">
        <v>2042</v>
      </c>
      <c r="B52" s="120" t="s">
        <v>1135</v>
      </c>
      <c r="C52" s="101" t="s">
        <v>1081</v>
      </c>
      <c r="D52" s="150">
        <v>1</v>
      </c>
      <c r="E52" s="13">
        <v>0</v>
      </c>
      <c r="F52" s="43">
        <f t="shared" si="0"/>
        <v>0</v>
      </c>
      <c r="G52" s="7"/>
    </row>
    <row r="53" spans="1:7" s="6" customFormat="1" ht="13.2" x14ac:dyDescent="0.25">
      <c r="A53" s="119" t="s">
        <v>2043</v>
      </c>
      <c r="B53" s="120" t="s">
        <v>3122</v>
      </c>
      <c r="C53" s="101" t="s">
        <v>1081</v>
      </c>
      <c r="D53" s="150">
        <v>0</v>
      </c>
      <c r="E53" s="13">
        <v>0</v>
      </c>
      <c r="F53" s="43">
        <f t="shared" si="0"/>
        <v>0</v>
      </c>
      <c r="G53" s="7"/>
    </row>
    <row r="54" spans="1:7" s="6" customFormat="1" ht="13.2" x14ac:dyDescent="0.25">
      <c r="A54" s="119" t="s">
        <v>2332</v>
      </c>
      <c r="B54" s="120" t="s">
        <v>3123</v>
      </c>
      <c r="C54" s="101" t="s">
        <v>1081</v>
      </c>
      <c r="D54" s="150">
        <v>0</v>
      </c>
      <c r="E54" s="13">
        <v>0</v>
      </c>
      <c r="F54" s="43">
        <f t="shared" si="0"/>
        <v>0</v>
      </c>
      <c r="G54" s="7"/>
    </row>
    <row r="55" spans="1:7" s="6" customFormat="1" ht="13.2" x14ac:dyDescent="0.25">
      <c r="A55" s="27" t="s">
        <v>181</v>
      </c>
      <c r="B55" s="28" t="s">
        <v>187</v>
      </c>
      <c r="C55" s="101"/>
      <c r="D55" s="101"/>
      <c r="E55" s="13"/>
      <c r="F55" s="43"/>
      <c r="G55" s="7"/>
    </row>
    <row r="56" spans="1:7" s="12" customFormat="1" ht="13.2" x14ac:dyDescent="0.25">
      <c r="A56" s="119" t="s">
        <v>1326</v>
      </c>
      <c r="B56" s="120" t="s">
        <v>1315</v>
      </c>
      <c r="C56" s="101" t="s">
        <v>1081</v>
      </c>
      <c r="D56" s="136">
        <v>0</v>
      </c>
      <c r="E56" s="13">
        <v>0</v>
      </c>
      <c r="F56" s="43">
        <f t="shared" ref="F56:F62" si="1">D56*E56</f>
        <v>0</v>
      </c>
      <c r="G56" s="7"/>
    </row>
    <row r="57" spans="1:7" s="12" customFormat="1" ht="13.2" x14ac:dyDescent="0.25">
      <c r="A57" s="119" t="s">
        <v>1327</v>
      </c>
      <c r="B57" s="120" t="s">
        <v>1316</v>
      </c>
      <c r="C57" s="101" t="s">
        <v>1081</v>
      </c>
      <c r="D57" s="136">
        <v>0</v>
      </c>
      <c r="E57" s="13">
        <v>0</v>
      </c>
      <c r="F57" s="43">
        <f t="shared" si="1"/>
        <v>0</v>
      </c>
      <c r="G57" s="7"/>
    </row>
    <row r="58" spans="1:7" s="12" customFormat="1" ht="13.2" x14ac:dyDescent="0.25">
      <c r="A58" s="119" t="s">
        <v>2044</v>
      </c>
      <c r="B58" s="120" t="s">
        <v>303</v>
      </c>
      <c r="C58" s="101" t="s">
        <v>1081</v>
      </c>
      <c r="D58" s="136">
        <v>0</v>
      </c>
      <c r="E58" s="13">
        <v>0</v>
      </c>
      <c r="F58" s="43">
        <f t="shared" si="1"/>
        <v>0</v>
      </c>
      <c r="G58" s="7"/>
    </row>
    <row r="59" spans="1:7" s="12" customFormat="1" ht="13.2" x14ac:dyDescent="0.25">
      <c r="A59" s="119" t="s">
        <v>2333</v>
      </c>
      <c r="B59" s="120" t="s">
        <v>304</v>
      </c>
      <c r="C59" s="101" t="s">
        <v>1081</v>
      </c>
      <c r="D59" s="136">
        <v>0</v>
      </c>
      <c r="E59" s="13">
        <v>0</v>
      </c>
      <c r="F59" s="43">
        <f t="shared" si="1"/>
        <v>0</v>
      </c>
      <c r="G59" s="7"/>
    </row>
    <row r="60" spans="1:7" s="12" customFormat="1" ht="13.2" x14ac:dyDescent="0.25">
      <c r="A60" s="119" t="s">
        <v>2334</v>
      </c>
      <c r="B60" s="120" t="s">
        <v>305</v>
      </c>
      <c r="C60" s="101" t="s">
        <v>1081</v>
      </c>
      <c r="D60" s="136">
        <v>0</v>
      </c>
      <c r="E60" s="13">
        <v>0</v>
      </c>
      <c r="F60" s="43">
        <f t="shared" si="1"/>
        <v>0</v>
      </c>
      <c r="G60" s="7"/>
    </row>
    <row r="61" spans="1:7" s="12" customFormat="1" ht="13.2" x14ac:dyDescent="0.25">
      <c r="A61" s="119" t="s">
        <v>2335</v>
      </c>
      <c r="B61" s="120" t="s">
        <v>306</v>
      </c>
      <c r="C61" s="101" t="s">
        <v>1081</v>
      </c>
      <c r="D61" s="136">
        <v>0</v>
      </c>
      <c r="E61" s="13">
        <v>0</v>
      </c>
      <c r="F61" s="43">
        <f t="shared" si="1"/>
        <v>0</v>
      </c>
      <c r="G61" s="7"/>
    </row>
    <row r="62" spans="1:7" s="12" customFormat="1" ht="13.2" x14ac:dyDescent="0.25">
      <c r="A62" s="119" t="s">
        <v>3017</v>
      </c>
      <c r="B62" s="120" t="s">
        <v>177</v>
      </c>
      <c r="C62" s="101" t="s">
        <v>1081</v>
      </c>
      <c r="D62" s="136">
        <v>0</v>
      </c>
      <c r="E62" s="13">
        <v>0</v>
      </c>
      <c r="F62" s="43">
        <f t="shared" si="1"/>
        <v>0</v>
      </c>
      <c r="G62" s="7"/>
    </row>
    <row r="63" spans="1:7" s="12" customFormat="1" ht="13.2" x14ac:dyDescent="0.25">
      <c r="A63" s="119" t="s">
        <v>3018</v>
      </c>
      <c r="B63" s="120" t="s">
        <v>2091</v>
      </c>
      <c r="C63" s="101" t="s">
        <v>1081</v>
      </c>
      <c r="D63" s="136">
        <v>0</v>
      </c>
      <c r="E63" s="13">
        <v>0</v>
      </c>
      <c r="F63" s="43">
        <f t="shared" si="0"/>
        <v>0</v>
      </c>
      <c r="G63" s="7"/>
    </row>
    <row r="64" spans="1:7" s="12" customFormat="1" ht="13.2" x14ac:dyDescent="0.25">
      <c r="A64" s="119" t="s">
        <v>3019</v>
      </c>
      <c r="B64" s="120" t="s">
        <v>2092</v>
      </c>
      <c r="C64" s="101" t="s">
        <v>1081</v>
      </c>
      <c r="D64" s="136">
        <v>0</v>
      </c>
      <c r="E64" s="13">
        <v>0</v>
      </c>
      <c r="F64" s="43">
        <f>D64*E64</f>
        <v>0</v>
      </c>
      <c r="G64" s="7"/>
    </row>
    <row r="65" spans="1:7" s="12" customFormat="1" ht="13.2" x14ac:dyDescent="0.25">
      <c r="A65" s="119" t="s">
        <v>3020</v>
      </c>
      <c r="B65" s="120" t="s">
        <v>2093</v>
      </c>
      <c r="C65" s="101" t="s">
        <v>1081</v>
      </c>
      <c r="D65" s="136">
        <v>0</v>
      </c>
      <c r="E65" s="13">
        <v>0</v>
      </c>
      <c r="F65" s="43">
        <f>D65*E65</f>
        <v>0</v>
      </c>
      <c r="G65" s="7"/>
    </row>
    <row r="66" spans="1:7" s="12" customFormat="1" ht="13.2" x14ac:dyDescent="0.25">
      <c r="A66" s="119" t="s">
        <v>3021</v>
      </c>
      <c r="B66" s="120" t="s">
        <v>2094</v>
      </c>
      <c r="C66" s="101" t="s">
        <v>1081</v>
      </c>
      <c r="D66" s="136">
        <v>0</v>
      </c>
      <c r="E66" s="13">
        <v>0</v>
      </c>
      <c r="F66" s="43">
        <f>D66*E66</f>
        <v>0</v>
      </c>
      <c r="G66" s="7"/>
    </row>
    <row r="67" spans="1:7" s="12" customFormat="1" ht="13.2" x14ac:dyDescent="0.25">
      <c r="A67" s="119" t="s">
        <v>3130</v>
      </c>
      <c r="B67" s="120" t="s">
        <v>3126</v>
      </c>
      <c r="C67" s="101" t="s">
        <v>1081</v>
      </c>
      <c r="D67" s="136">
        <v>0</v>
      </c>
      <c r="E67" s="13">
        <v>0</v>
      </c>
      <c r="F67" s="43">
        <f>D67*E67</f>
        <v>0</v>
      </c>
      <c r="G67" s="7"/>
    </row>
    <row r="68" spans="1:7" s="12" customFormat="1" ht="13.2" x14ac:dyDescent="0.25">
      <c r="A68" s="27" t="s">
        <v>182</v>
      </c>
      <c r="B68" s="28" t="s">
        <v>948</v>
      </c>
      <c r="C68" s="101"/>
      <c r="D68" s="13"/>
      <c r="E68" s="13"/>
      <c r="F68" s="43"/>
      <c r="G68" s="7"/>
    </row>
    <row r="69" spans="1:7" s="12" customFormat="1" ht="13.2" x14ac:dyDescent="0.25">
      <c r="A69" s="119" t="s">
        <v>1330</v>
      </c>
      <c r="B69" s="120" t="s">
        <v>1315</v>
      </c>
      <c r="C69" s="101" t="s">
        <v>1081</v>
      </c>
      <c r="D69" s="136">
        <v>0</v>
      </c>
      <c r="E69" s="13">
        <v>0</v>
      </c>
      <c r="F69" s="43">
        <f t="shared" si="0"/>
        <v>0</v>
      </c>
      <c r="G69" s="7"/>
    </row>
    <row r="70" spans="1:7" s="12" customFormat="1" ht="13.2" x14ac:dyDescent="0.25">
      <c r="A70" s="119" t="s">
        <v>1331</v>
      </c>
      <c r="B70" s="120" t="s">
        <v>1316</v>
      </c>
      <c r="C70" s="101" t="s">
        <v>1081</v>
      </c>
      <c r="D70" s="136">
        <v>0</v>
      </c>
      <c r="E70" s="13">
        <v>0</v>
      </c>
      <c r="F70" s="43">
        <f t="shared" si="0"/>
        <v>0</v>
      </c>
      <c r="G70" s="7"/>
    </row>
    <row r="71" spans="1:7" s="15" customFormat="1" ht="13.2" x14ac:dyDescent="0.25">
      <c r="A71" s="119" t="s">
        <v>2336</v>
      </c>
      <c r="B71" s="120" t="s">
        <v>303</v>
      </c>
      <c r="C71" s="101" t="s">
        <v>1081</v>
      </c>
      <c r="D71" s="136">
        <v>0</v>
      </c>
      <c r="E71" s="13">
        <v>0</v>
      </c>
      <c r="F71" s="43">
        <f t="shared" si="0"/>
        <v>0</v>
      </c>
      <c r="G71" s="7"/>
    </row>
    <row r="72" spans="1:7" s="7" customFormat="1" ht="13.2" x14ac:dyDescent="0.25">
      <c r="A72" s="119" t="s">
        <v>2337</v>
      </c>
      <c r="B72" s="120" t="s">
        <v>304</v>
      </c>
      <c r="C72" s="101" t="s">
        <v>1081</v>
      </c>
      <c r="D72" s="136">
        <v>0</v>
      </c>
      <c r="E72" s="13">
        <v>0</v>
      </c>
      <c r="F72" s="43">
        <f t="shared" si="0"/>
        <v>0</v>
      </c>
    </row>
    <row r="73" spans="1:7" s="7" customFormat="1" ht="13.2" x14ac:dyDescent="0.25">
      <c r="A73" s="119" t="s">
        <v>2338</v>
      </c>
      <c r="B73" s="120" t="s">
        <v>305</v>
      </c>
      <c r="C73" s="101" t="s">
        <v>1081</v>
      </c>
      <c r="D73" s="136">
        <v>0</v>
      </c>
      <c r="E73" s="13">
        <v>0</v>
      </c>
      <c r="F73" s="43">
        <f t="shared" si="0"/>
        <v>0</v>
      </c>
    </row>
    <row r="74" spans="1:7" s="15" customFormat="1" ht="13.2" x14ac:dyDescent="0.25">
      <c r="A74" s="119" t="s">
        <v>2339</v>
      </c>
      <c r="B74" s="120" t="s">
        <v>306</v>
      </c>
      <c r="C74" s="101" t="s">
        <v>1081</v>
      </c>
      <c r="D74" s="136">
        <v>0</v>
      </c>
      <c r="E74" s="13">
        <v>0</v>
      </c>
      <c r="F74" s="43">
        <f t="shared" si="0"/>
        <v>0</v>
      </c>
      <c r="G74" s="7"/>
    </row>
    <row r="75" spans="1:7" s="15" customFormat="1" ht="13.2" x14ac:dyDescent="0.25">
      <c r="A75" s="119" t="s">
        <v>2340</v>
      </c>
      <c r="B75" s="120" t="s">
        <v>177</v>
      </c>
      <c r="C75" s="101" t="s">
        <v>1081</v>
      </c>
      <c r="D75" s="136">
        <v>0</v>
      </c>
      <c r="E75" s="13">
        <v>0</v>
      </c>
      <c r="F75" s="43">
        <f t="shared" si="0"/>
        <v>0</v>
      </c>
      <c r="G75" s="7"/>
    </row>
    <row r="76" spans="1:7" s="15" customFormat="1" ht="13.2" x14ac:dyDescent="0.25">
      <c r="A76" s="119" t="s">
        <v>2341</v>
      </c>
      <c r="B76" s="120" t="s">
        <v>2091</v>
      </c>
      <c r="C76" s="101" t="s">
        <v>1081</v>
      </c>
      <c r="D76" s="136">
        <v>0</v>
      </c>
      <c r="E76" s="13">
        <v>0</v>
      </c>
      <c r="F76" s="43">
        <f>D76*E76</f>
        <v>0</v>
      </c>
      <c r="G76" s="7"/>
    </row>
    <row r="77" spans="1:7" s="15" customFormat="1" ht="13.2" x14ac:dyDescent="0.25">
      <c r="A77" s="119" t="s">
        <v>2342</v>
      </c>
      <c r="B77" s="120" t="s">
        <v>2092</v>
      </c>
      <c r="C77" s="101" t="s">
        <v>1081</v>
      </c>
      <c r="D77" s="136">
        <v>0</v>
      </c>
      <c r="E77" s="13">
        <v>0</v>
      </c>
      <c r="F77" s="43">
        <f>D77*E77</f>
        <v>0</v>
      </c>
      <c r="G77" s="7"/>
    </row>
    <row r="78" spans="1:7" s="15" customFormat="1" ht="13.2" x14ac:dyDescent="0.25">
      <c r="A78" s="119" t="s">
        <v>2343</v>
      </c>
      <c r="B78" s="120" t="s">
        <v>2093</v>
      </c>
      <c r="C78" s="101" t="s">
        <v>1081</v>
      </c>
      <c r="D78" s="136">
        <v>0</v>
      </c>
      <c r="E78" s="13">
        <v>0</v>
      </c>
      <c r="F78" s="43">
        <f>D78*E78</f>
        <v>0</v>
      </c>
      <c r="G78" s="7"/>
    </row>
    <row r="79" spans="1:7" s="15" customFormat="1" ht="13.2" x14ac:dyDescent="0.25">
      <c r="A79" s="119" t="s">
        <v>2344</v>
      </c>
      <c r="B79" s="120" t="s">
        <v>2094</v>
      </c>
      <c r="C79" s="101" t="s">
        <v>1081</v>
      </c>
      <c r="D79" s="136">
        <v>0</v>
      </c>
      <c r="E79" s="13">
        <v>0</v>
      </c>
      <c r="F79" s="43">
        <f>D79*E79</f>
        <v>0</v>
      </c>
      <c r="G79" s="7"/>
    </row>
    <row r="80" spans="1:7" s="15" customFormat="1" ht="13.2" x14ac:dyDescent="0.25">
      <c r="A80" s="119" t="s">
        <v>3129</v>
      </c>
      <c r="B80" s="120" t="s">
        <v>3126</v>
      </c>
      <c r="C80" s="101" t="s">
        <v>1081</v>
      </c>
      <c r="D80" s="136">
        <v>0</v>
      </c>
      <c r="E80" s="13">
        <v>0</v>
      </c>
      <c r="F80" s="43">
        <f>D80*E80</f>
        <v>0</v>
      </c>
      <c r="G80" s="7"/>
    </row>
    <row r="81" spans="1:7" s="15" customFormat="1" ht="13.2" x14ac:dyDescent="0.25">
      <c r="A81" s="29" t="s">
        <v>184</v>
      </c>
      <c r="B81" s="28" t="s">
        <v>148</v>
      </c>
      <c r="C81" s="101"/>
      <c r="D81" s="13"/>
      <c r="E81" s="13"/>
      <c r="F81" s="43"/>
      <c r="G81" s="7"/>
    </row>
    <row r="82" spans="1:7" s="15" customFormat="1" ht="13.2" x14ac:dyDescent="0.25">
      <c r="A82" s="119" t="s">
        <v>2018</v>
      </c>
      <c r="B82" s="120" t="s">
        <v>1315</v>
      </c>
      <c r="C82" s="101" t="s">
        <v>1081</v>
      </c>
      <c r="D82" s="136">
        <v>0</v>
      </c>
      <c r="E82" s="13">
        <v>0</v>
      </c>
      <c r="F82" s="43">
        <f t="shared" si="0"/>
        <v>0</v>
      </c>
      <c r="G82" s="7"/>
    </row>
    <row r="83" spans="1:7" s="4" customFormat="1" ht="13.2" x14ac:dyDescent="0.25">
      <c r="A83" s="119" t="s">
        <v>2019</v>
      </c>
      <c r="B83" s="120" t="s">
        <v>1316</v>
      </c>
      <c r="C83" s="101" t="s">
        <v>1081</v>
      </c>
      <c r="D83" s="136">
        <v>0</v>
      </c>
      <c r="E83" s="13">
        <v>0</v>
      </c>
      <c r="F83" s="43">
        <f t="shared" si="0"/>
        <v>0</v>
      </c>
      <c r="G83" s="7"/>
    </row>
    <row r="84" spans="1:7" s="4" customFormat="1" ht="13.2" x14ac:dyDescent="0.25">
      <c r="A84" s="119" t="s">
        <v>2045</v>
      </c>
      <c r="B84" s="120" t="s">
        <v>303</v>
      </c>
      <c r="C84" s="101" t="s">
        <v>1081</v>
      </c>
      <c r="D84" s="136">
        <v>0</v>
      </c>
      <c r="E84" s="13">
        <v>0</v>
      </c>
      <c r="F84" s="43">
        <f t="shared" si="0"/>
        <v>0</v>
      </c>
      <c r="G84" s="7"/>
    </row>
    <row r="85" spans="1:7" s="4" customFormat="1" ht="13.2" x14ac:dyDescent="0.25">
      <c r="A85" s="119" t="s">
        <v>2046</v>
      </c>
      <c r="B85" s="120" t="s">
        <v>304</v>
      </c>
      <c r="C85" s="101" t="s">
        <v>1081</v>
      </c>
      <c r="D85" s="136">
        <v>0</v>
      </c>
      <c r="E85" s="13">
        <v>0</v>
      </c>
      <c r="F85" s="43">
        <f t="shared" si="0"/>
        <v>0</v>
      </c>
      <c r="G85" s="7"/>
    </row>
    <row r="86" spans="1:7" s="4" customFormat="1" ht="13.2" x14ac:dyDescent="0.25">
      <c r="A86" s="119" t="s">
        <v>2047</v>
      </c>
      <c r="B86" s="120" t="s">
        <v>305</v>
      </c>
      <c r="C86" s="101" t="s">
        <v>1081</v>
      </c>
      <c r="D86" s="136">
        <v>0</v>
      </c>
      <c r="E86" s="13">
        <v>0</v>
      </c>
      <c r="F86" s="43">
        <f t="shared" si="0"/>
        <v>0</v>
      </c>
      <c r="G86" s="7"/>
    </row>
    <row r="87" spans="1:7" s="15" customFormat="1" ht="13.2" x14ac:dyDescent="0.25">
      <c r="A87" s="119" t="s">
        <v>2048</v>
      </c>
      <c r="B87" s="120" t="s">
        <v>306</v>
      </c>
      <c r="C87" s="101" t="s">
        <v>1081</v>
      </c>
      <c r="D87" s="136">
        <v>0</v>
      </c>
      <c r="E87" s="13">
        <v>0</v>
      </c>
      <c r="F87" s="43">
        <f t="shared" si="0"/>
        <v>0</v>
      </c>
      <c r="G87" s="7"/>
    </row>
    <row r="88" spans="1:7" s="15" customFormat="1" ht="13.2" x14ac:dyDescent="0.25">
      <c r="A88" s="119" t="s">
        <v>2049</v>
      </c>
      <c r="B88" s="120" t="s">
        <v>177</v>
      </c>
      <c r="C88" s="101" t="s">
        <v>1081</v>
      </c>
      <c r="D88" s="136">
        <v>0</v>
      </c>
      <c r="E88" s="13">
        <v>0</v>
      </c>
      <c r="F88" s="43">
        <f t="shared" si="0"/>
        <v>0</v>
      </c>
      <c r="G88" s="7"/>
    </row>
    <row r="89" spans="1:7" s="15" customFormat="1" ht="13.2" x14ac:dyDescent="0.25">
      <c r="A89" s="119" t="s">
        <v>2345</v>
      </c>
      <c r="B89" s="120" t="s">
        <v>2091</v>
      </c>
      <c r="C89" s="101" t="s">
        <v>1081</v>
      </c>
      <c r="D89" s="136">
        <v>0</v>
      </c>
      <c r="E89" s="13">
        <v>0</v>
      </c>
      <c r="F89" s="43">
        <f>D89*E89</f>
        <v>0</v>
      </c>
      <c r="G89" s="7"/>
    </row>
    <row r="90" spans="1:7" s="15" customFormat="1" ht="13.2" x14ac:dyDescent="0.25">
      <c r="A90" s="119" t="s">
        <v>2346</v>
      </c>
      <c r="B90" s="120" t="s">
        <v>2092</v>
      </c>
      <c r="C90" s="101" t="s">
        <v>1081</v>
      </c>
      <c r="D90" s="136">
        <v>0</v>
      </c>
      <c r="E90" s="13">
        <v>0</v>
      </c>
      <c r="F90" s="43">
        <f>D90*E90</f>
        <v>0</v>
      </c>
      <c r="G90" s="7"/>
    </row>
    <row r="91" spans="1:7" s="15" customFormat="1" ht="13.2" x14ac:dyDescent="0.25">
      <c r="A91" s="119" t="s">
        <v>2347</v>
      </c>
      <c r="B91" s="120" t="s">
        <v>2093</v>
      </c>
      <c r="C91" s="101" t="s">
        <v>1081</v>
      </c>
      <c r="D91" s="136">
        <v>0</v>
      </c>
      <c r="E91" s="13">
        <v>0</v>
      </c>
      <c r="F91" s="43">
        <f>D91*E91</f>
        <v>0</v>
      </c>
      <c r="G91" s="7"/>
    </row>
    <row r="92" spans="1:7" s="15" customFormat="1" ht="13.2" x14ac:dyDescent="0.25">
      <c r="A92" s="119" t="s">
        <v>2348</v>
      </c>
      <c r="B92" s="120" t="s">
        <v>2094</v>
      </c>
      <c r="C92" s="101" t="s">
        <v>1081</v>
      </c>
      <c r="D92" s="136">
        <v>0</v>
      </c>
      <c r="E92" s="13">
        <v>0</v>
      </c>
      <c r="F92" s="43">
        <f>D92*E92</f>
        <v>0</v>
      </c>
      <c r="G92" s="7"/>
    </row>
    <row r="93" spans="1:7" s="15" customFormat="1" ht="13.2" x14ac:dyDescent="0.25">
      <c r="A93" s="119" t="s">
        <v>3128</v>
      </c>
      <c r="B93" s="120" t="s">
        <v>3126</v>
      </c>
      <c r="C93" s="101" t="s">
        <v>1081</v>
      </c>
      <c r="D93" s="136">
        <v>0</v>
      </c>
      <c r="E93" s="13">
        <v>0</v>
      </c>
      <c r="F93" s="43">
        <f>D93*E93</f>
        <v>0</v>
      </c>
      <c r="G93" s="7"/>
    </row>
    <row r="94" spans="1:7" s="7" customFormat="1" ht="13.2" x14ac:dyDescent="0.25">
      <c r="A94" s="29" t="s">
        <v>185</v>
      </c>
      <c r="B94" s="28" t="s">
        <v>1840</v>
      </c>
      <c r="C94" s="101" t="s">
        <v>1081</v>
      </c>
      <c r="D94" s="150">
        <v>2</v>
      </c>
      <c r="E94" s="13">
        <v>0</v>
      </c>
      <c r="F94" s="43">
        <f t="shared" si="0"/>
        <v>0</v>
      </c>
    </row>
    <row r="95" spans="1:7" s="7" customFormat="1" ht="13.2" x14ac:dyDescent="0.25">
      <c r="A95" s="29"/>
      <c r="B95" s="28"/>
      <c r="C95" s="101"/>
      <c r="D95" s="17"/>
      <c r="E95" s="13"/>
      <c r="F95" s="43"/>
    </row>
    <row r="96" spans="1:7" s="15" customFormat="1" ht="13.2" x14ac:dyDescent="0.25">
      <c r="A96" s="119"/>
      <c r="B96" s="152" t="s">
        <v>154</v>
      </c>
      <c r="C96" s="101"/>
      <c r="D96" s="17"/>
      <c r="E96" s="13"/>
      <c r="F96" s="43">
        <f>SUM(F10:F95)</f>
        <v>0</v>
      </c>
      <c r="G96" s="7"/>
    </row>
    <row r="97" spans="1:7" s="15" customFormat="1" ht="13.2" x14ac:dyDescent="0.25">
      <c r="A97" s="122"/>
      <c r="B97" s="123"/>
      <c r="C97" s="103"/>
      <c r="D97" s="18"/>
      <c r="E97" s="16"/>
      <c r="F97" s="44"/>
      <c r="G97" s="7"/>
    </row>
    <row r="98" spans="1:7" s="15" customFormat="1" ht="13.2" x14ac:dyDescent="0.25">
      <c r="A98" s="30" t="s">
        <v>1065</v>
      </c>
      <c r="B98" s="31" t="s">
        <v>1334</v>
      </c>
      <c r="C98" s="104"/>
      <c r="D98" s="108"/>
      <c r="E98" s="108"/>
      <c r="F98" s="124"/>
      <c r="G98" s="7"/>
    </row>
    <row r="99" spans="1:7" s="15" customFormat="1" ht="13.2" x14ac:dyDescent="0.25">
      <c r="A99" s="27" t="s">
        <v>14</v>
      </c>
      <c r="B99" s="28" t="s">
        <v>167</v>
      </c>
      <c r="C99" s="101"/>
      <c r="D99" s="17"/>
      <c r="E99" s="13"/>
      <c r="F99" s="43"/>
      <c r="G99" s="7"/>
    </row>
    <row r="100" spans="1:7" s="15" customFormat="1" ht="13.2" x14ac:dyDescent="0.25">
      <c r="A100" s="119" t="s">
        <v>15</v>
      </c>
      <c r="B100" s="120" t="s">
        <v>188</v>
      </c>
      <c r="C100" s="101" t="s">
        <v>13</v>
      </c>
      <c r="D100" s="150">
        <v>0</v>
      </c>
      <c r="E100" s="13">
        <v>0</v>
      </c>
      <c r="F100" s="43">
        <f t="shared" ref="F100:F142" si="2">D100*E100</f>
        <v>0</v>
      </c>
      <c r="G100" s="7"/>
    </row>
    <row r="101" spans="1:7" s="15" customFormat="1" ht="13.2" x14ac:dyDescent="0.25">
      <c r="A101" s="119" t="s">
        <v>16</v>
      </c>
      <c r="B101" s="120" t="s">
        <v>163</v>
      </c>
      <c r="C101" s="101" t="s">
        <v>268</v>
      </c>
      <c r="D101" s="150">
        <v>0</v>
      </c>
      <c r="E101" s="13">
        <v>0</v>
      </c>
      <c r="F101" s="43">
        <f t="shared" si="2"/>
        <v>0</v>
      </c>
      <c r="G101" s="7"/>
    </row>
    <row r="102" spans="1:7" s="7" customFormat="1" ht="13.2" x14ac:dyDescent="0.25">
      <c r="A102" s="119" t="s">
        <v>17</v>
      </c>
      <c r="B102" s="120" t="s">
        <v>2781</v>
      </c>
      <c r="C102" s="101" t="s">
        <v>204</v>
      </c>
      <c r="D102" s="150">
        <v>0</v>
      </c>
      <c r="E102" s="13">
        <v>0</v>
      </c>
      <c r="F102" s="43">
        <f>D102*E102</f>
        <v>0</v>
      </c>
    </row>
    <row r="103" spans="1:7" s="7" customFormat="1" ht="13.2" x14ac:dyDescent="0.25">
      <c r="A103" s="119" t="s">
        <v>18</v>
      </c>
      <c r="B103" s="120" t="s">
        <v>164</v>
      </c>
      <c r="C103" s="101" t="s">
        <v>204</v>
      </c>
      <c r="D103" s="150">
        <v>0</v>
      </c>
      <c r="E103" s="13">
        <v>0</v>
      </c>
      <c r="F103" s="43">
        <f t="shared" si="2"/>
        <v>0</v>
      </c>
    </row>
    <row r="104" spans="1:7" s="7" customFormat="1" ht="13.2" x14ac:dyDescent="0.25">
      <c r="A104" s="119" t="s">
        <v>19</v>
      </c>
      <c r="B104" s="120" t="s">
        <v>165</v>
      </c>
      <c r="C104" s="101" t="s">
        <v>204</v>
      </c>
      <c r="D104" s="150">
        <v>0</v>
      </c>
      <c r="E104" s="13">
        <v>0</v>
      </c>
      <c r="F104" s="43">
        <f t="shared" si="2"/>
        <v>0</v>
      </c>
    </row>
    <row r="105" spans="1:7" s="7" customFormat="1" ht="13.2" x14ac:dyDescent="0.25">
      <c r="A105" s="119" t="s">
        <v>189</v>
      </c>
      <c r="B105" s="120" t="s">
        <v>1338</v>
      </c>
      <c r="C105" s="101" t="s">
        <v>204</v>
      </c>
      <c r="D105" s="150">
        <v>0</v>
      </c>
      <c r="E105" s="13">
        <v>0</v>
      </c>
      <c r="F105" s="43">
        <f t="shared" si="2"/>
        <v>0</v>
      </c>
    </row>
    <row r="106" spans="1:7" s="7" customFormat="1" ht="13.2" x14ac:dyDescent="0.25">
      <c r="A106" s="119" t="s">
        <v>190</v>
      </c>
      <c r="B106" s="120" t="s">
        <v>1641</v>
      </c>
      <c r="C106" s="101" t="s">
        <v>204</v>
      </c>
      <c r="D106" s="150">
        <v>0</v>
      </c>
      <c r="E106" s="13">
        <v>0</v>
      </c>
      <c r="F106" s="43">
        <f t="shared" si="2"/>
        <v>0</v>
      </c>
    </row>
    <row r="107" spans="1:7" s="4" customFormat="1" ht="13.2" x14ac:dyDescent="0.25">
      <c r="A107" s="119" t="s">
        <v>191</v>
      </c>
      <c r="B107" s="120" t="s">
        <v>166</v>
      </c>
      <c r="C107" s="101" t="s">
        <v>268</v>
      </c>
      <c r="D107" s="150">
        <v>0</v>
      </c>
      <c r="E107" s="13">
        <v>0</v>
      </c>
      <c r="F107" s="43">
        <f t="shared" si="2"/>
        <v>0</v>
      </c>
      <c r="G107" s="7"/>
    </row>
    <row r="108" spans="1:7" s="4" customFormat="1" ht="13.2" x14ac:dyDescent="0.25">
      <c r="A108" s="27" t="s">
        <v>20</v>
      </c>
      <c r="B108" s="28" t="s">
        <v>168</v>
      </c>
      <c r="C108" s="101"/>
      <c r="D108" s="17"/>
      <c r="E108" s="13"/>
      <c r="F108" s="43"/>
      <c r="G108" s="7"/>
    </row>
    <row r="109" spans="1:7" s="4" customFormat="1" ht="13.2" x14ac:dyDescent="0.25">
      <c r="A109" s="32" t="s">
        <v>21</v>
      </c>
      <c r="B109" s="33" t="s">
        <v>169</v>
      </c>
      <c r="C109" s="101"/>
      <c r="D109" s="20"/>
      <c r="E109" s="13"/>
      <c r="F109" s="43"/>
      <c r="G109" s="7"/>
    </row>
    <row r="110" spans="1:7" s="4" customFormat="1" ht="13.2" x14ac:dyDescent="0.25">
      <c r="A110" s="119" t="s">
        <v>192</v>
      </c>
      <c r="B110" s="120" t="s">
        <v>1335</v>
      </c>
      <c r="C110" s="101" t="s">
        <v>13</v>
      </c>
      <c r="D110" s="150">
        <v>0</v>
      </c>
      <c r="E110" s="13">
        <v>0</v>
      </c>
      <c r="F110" s="43">
        <f t="shared" si="2"/>
        <v>0</v>
      </c>
      <c r="G110" s="7"/>
    </row>
    <row r="111" spans="1:7" s="4" customFormat="1" ht="13.2" x14ac:dyDescent="0.25">
      <c r="A111" s="119" t="s">
        <v>193</v>
      </c>
      <c r="B111" s="120" t="s">
        <v>1336</v>
      </c>
      <c r="C111" s="101" t="s">
        <v>13</v>
      </c>
      <c r="D111" s="150">
        <v>0</v>
      </c>
      <c r="E111" s="13">
        <v>0</v>
      </c>
      <c r="F111" s="43">
        <f t="shared" si="2"/>
        <v>0</v>
      </c>
      <c r="G111" s="7"/>
    </row>
    <row r="112" spans="1:7" s="4" customFormat="1" ht="13.2" x14ac:dyDescent="0.25">
      <c r="A112" s="119" t="s">
        <v>194</v>
      </c>
      <c r="B112" s="120" t="s">
        <v>1981</v>
      </c>
      <c r="C112" s="101" t="s">
        <v>13</v>
      </c>
      <c r="D112" s="150">
        <v>0</v>
      </c>
      <c r="E112" s="13">
        <v>0</v>
      </c>
      <c r="F112" s="43">
        <f t="shared" si="2"/>
        <v>0</v>
      </c>
      <c r="G112" s="7"/>
    </row>
    <row r="113" spans="1:7" s="4" customFormat="1" ht="13.2" x14ac:dyDescent="0.25">
      <c r="A113" s="119" t="s">
        <v>195</v>
      </c>
      <c r="B113" s="120" t="s">
        <v>1982</v>
      </c>
      <c r="C113" s="101" t="s">
        <v>13</v>
      </c>
      <c r="D113" s="150">
        <v>0</v>
      </c>
      <c r="E113" s="13">
        <v>0</v>
      </c>
      <c r="F113" s="43">
        <f t="shared" si="2"/>
        <v>0</v>
      </c>
      <c r="G113" s="7"/>
    </row>
    <row r="114" spans="1:7" s="4" customFormat="1" ht="13.2" x14ac:dyDescent="0.25">
      <c r="A114" s="119" t="s">
        <v>196</v>
      </c>
      <c r="B114" s="120" t="s">
        <v>1983</v>
      </c>
      <c r="C114" s="101" t="s">
        <v>13</v>
      </c>
      <c r="D114" s="150">
        <v>0</v>
      </c>
      <c r="E114" s="13">
        <v>0</v>
      </c>
      <c r="F114" s="43">
        <f t="shared" si="2"/>
        <v>0</v>
      </c>
      <c r="G114" s="7"/>
    </row>
    <row r="115" spans="1:7" s="4" customFormat="1" ht="13.2" x14ac:dyDescent="0.25">
      <c r="A115" s="119" t="s">
        <v>197</v>
      </c>
      <c r="B115" s="120" t="s">
        <v>1337</v>
      </c>
      <c r="C115" s="101" t="s">
        <v>13</v>
      </c>
      <c r="D115" s="150">
        <v>0</v>
      </c>
      <c r="E115" s="13">
        <v>0</v>
      </c>
      <c r="F115" s="43">
        <f t="shared" si="2"/>
        <v>0</v>
      </c>
      <c r="G115" s="7"/>
    </row>
    <row r="116" spans="1:7" s="4" customFormat="1" ht="13.2" x14ac:dyDescent="0.25">
      <c r="A116" s="119" t="s">
        <v>198</v>
      </c>
      <c r="B116" s="120" t="s">
        <v>1984</v>
      </c>
      <c r="C116" s="101" t="s">
        <v>1302</v>
      </c>
      <c r="D116" s="150">
        <v>0</v>
      </c>
      <c r="E116" s="13">
        <v>0</v>
      </c>
      <c r="F116" s="43">
        <f t="shared" si="2"/>
        <v>0</v>
      </c>
      <c r="G116" s="7"/>
    </row>
    <row r="117" spans="1:7" s="4" customFormat="1" ht="13.2" x14ac:dyDescent="0.25">
      <c r="A117" s="119" t="s">
        <v>199</v>
      </c>
      <c r="B117" s="120" t="s">
        <v>1985</v>
      </c>
      <c r="C117" s="101" t="s">
        <v>13</v>
      </c>
      <c r="D117" s="150">
        <v>0</v>
      </c>
      <c r="E117" s="13">
        <v>0</v>
      </c>
      <c r="F117" s="43">
        <f t="shared" si="2"/>
        <v>0</v>
      </c>
      <c r="G117" s="7"/>
    </row>
    <row r="118" spans="1:7" s="4" customFormat="1" ht="13.2" x14ac:dyDescent="0.25">
      <c r="A118" s="119" t="s">
        <v>1339</v>
      </c>
      <c r="B118" s="120" t="s">
        <v>1986</v>
      </c>
      <c r="C118" s="101" t="s">
        <v>13</v>
      </c>
      <c r="D118" s="150">
        <v>0</v>
      </c>
      <c r="E118" s="13">
        <v>0</v>
      </c>
      <c r="F118" s="43">
        <f t="shared" si="2"/>
        <v>0</v>
      </c>
      <c r="G118" s="7"/>
    </row>
    <row r="119" spans="1:7" s="4" customFormat="1" ht="13.2" x14ac:dyDescent="0.25">
      <c r="A119" s="119" t="s">
        <v>1340</v>
      </c>
      <c r="B119" s="120" t="s">
        <v>2313</v>
      </c>
      <c r="C119" s="101" t="s">
        <v>13</v>
      </c>
      <c r="D119" s="150">
        <v>0</v>
      </c>
      <c r="E119" s="13">
        <v>0</v>
      </c>
      <c r="F119" s="43">
        <f>D119*E119</f>
        <v>0</v>
      </c>
      <c r="G119" s="7"/>
    </row>
    <row r="120" spans="1:7" s="4" customFormat="1" ht="13.2" x14ac:dyDescent="0.25">
      <c r="A120" s="119" t="s">
        <v>1341</v>
      </c>
      <c r="B120" s="120" t="s">
        <v>1993</v>
      </c>
      <c r="C120" s="101" t="s">
        <v>13</v>
      </c>
      <c r="D120" s="150">
        <v>0</v>
      </c>
      <c r="E120" s="13">
        <v>0</v>
      </c>
      <c r="F120" s="43">
        <f t="shared" si="2"/>
        <v>0</v>
      </c>
      <c r="G120" s="7"/>
    </row>
    <row r="121" spans="1:7" s="4" customFormat="1" ht="13.2" x14ac:dyDescent="0.25">
      <c r="A121" s="119" t="s">
        <v>1342</v>
      </c>
      <c r="B121" s="121" t="s">
        <v>1385</v>
      </c>
      <c r="C121" s="101" t="s">
        <v>13</v>
      </c>
      <c r="D121" s="150">
        <v>0</v>
      </c>
      <c r="E121" s="13">
        <v>0</v>
      </c>
      <c r="F121" s="43">
        <f t="shared" si="2"/>
        <v>0</v>
      </c>
      <c r="G121" s="7"/>
    </row>
    <row r="122" spans="1:7" s="4" customFormat="1" ht="13.2" x14ac:dyDescent="0.25">
      <c r="A122" s="119" t="s">
        <v>1344</v>
      </c>
      <c r="B122" s="121" t="s">
        <v>1642</v>
      </c>
      <c r="C122" s="101" t="s">
        <v>13</v>
      </c>
      <c r="D122" s="150">
        <v>0</v>
      </c>
      <c r="E122" s="13">
        <v>0</v>
      </c>
      <c r="F122" s="43">
        <f>D122*E122</f>
        <v>0</v>
      </c>
      <c r="G122" s="7"/>
    </row>
    <row r="123" spans="1:7" s="4" customFormat="1" ht="13.2" x14ac:dyDescent="0.25">
      <c r="A123" s="119" t="s">
        <v>1382</v>
      </c>
      <c r="B123" s="120" t="s">
        <v>2095</v>
      </c>
      <c r="C123" s="101" t="s">
        <v>13</v>
      </c>
      <c r="D123" s="150">
        <v>0</v>
      </c>
      <c r="E123" s="13">
        <v>0</v>
      </c>
      <c r="F123" s="43">
        <f>D123*E123</f>
        <v>0</v>
      </c>
      <c r="G123" s="7"/>
    </row>
    <row r="124" spans="1:7" s="4" customFormat="1" ht="13.2" x14ac:dyDescent="0.25">
      <c r="A124" s="119" t="s">
        <v>1386</v>
      </c>
      <c r="B124" s="120" t="s">
        <v>2539</v>
      </c>
      <c r="C124" s="101" t="s">
        <v>13</v>
      </c>
      <c r="D124" s="150">
        <v>0</v>
      </c>
      <c r="E124" s="13">
        <v>0</v>
      </c>
      <c r="F124" s="43">
        <f>D124*E124</f>
        <v>0</v>
      </c>
      <c r="G124" s="7"/>
    </row>
    <row r="125" spans="1:7" s="4" customFormat="1" ht="13.2" x14ac:dyDescent="0.25">
      <c r="A125" s="32" t="s">
        <v>22</v>
      </c>
      <c r="B125" s="33" t="s">
        <v>1365</v>
      </c>
      <c r="C125" s="101"/>
      <c r="D125" s="17"/>
      <c r="E125" s="13"/>
      <c r="F125" s="43"/>
      <c r="G125" s="7"/>
    </row>
    <row r="126" spans="1:7" s="4" customFormat="1" ht="13.2" x14ac:dyDescent="0.25">
      <c r="A126" s="119" t="s">
        <v>200</v>
      </c>
      <c r="B126" s="120" t="s">
        <v>1343</v>
      </c>
      <c r="C126" s="101" t="s">
        <v>13</v>
      </c>
      <c r="D126" s="150">
        <v>0</v>
      </c>
      <c r="E126" s="13">
        <v>0</v>
      </c>
      <c r="F126" s="43">
        <f t="shared" si="2"/>
        <v>0</v>
      </c>
      <c r="G126" s="7"/>
    </row>
    <row r="127" spans="1:7" s="4" customFormat="1" ht="13.2" x14ac:dyDescent="0.25">
      <c r="A127" s="119" t="s">
        <v>201</v>
      </c>
      <c r="B127" s="121" t="s">
        <v>1348</v>
      </c>
      <c r="C127" s="101" t="s">
        <v>13</v>
      </c>
      <c r="D127" s="150">
        <v>0</v>
      </c>
      <c r="E127" s="13">
        <v>0</v>
      </c>
      <c r="F127" s="43">
        <f t="shared" si="2"/>
        <v>0</v>
      </c>
      <c r="G127" s="7"/>
    </row>
    <row r="128" spans="1:7" s="4" customFormat="1" ht="13.2" x14ac:dyDescent="0.25">
      <c r="A128" s="119" t="s">
        <v>202</v>
      </c>
      <c r="B128" s="121" t="s">
        <v>1349</v>
      </c>
      <c r="C128" s="105" t="s">
        <v>13</v>
      </c>
      <c r="D128" s="150">
        <v>0</v>
      </c>
      <c r="E128" s="13">
        <v>0</v>
      </c>
      <c r="F128" s="43">
        <f t="shared" si="2"/>
        <v>0</v>
      </c>
      <c r="G128" s="7"/>
    </row>
    <row r="129" spans="1:7" s="4" customFormat="1" ht="13.2" x14ac:dyDescent="0.25">
      <c r="A129" s="32" t="s">
        <v>23</v>
      </c>
      <c r="B129" s="33" t="s">
        <v>1314</v>
      </c>
      <c r="C129" s="101"/>
      <c r="D129" s="17"/>
      <c r="E129" s="13"/>
      <c r="F129" s="43"/>
      <c r="G129" s="7"/>
    </row>
    <row r="130" spans="1:7" s="4" customFormat="1" ht="13.2" x14ac:dyDescent="0.25">
      <c r="A130" s="119" t="s">
        <v>1351</v>
      </c>
      <c r="B130" s="120" t="s">
        <v>1345</v>
      </c>
      <c r="C130" s="101" t="s">
        <v>13</v>
      </c>
      <c r="D130" s="150">
        <v>0</v>
      </c>
      <c r="E130" s="13">
        <v>0</v>
      </c>
      <c r="F130" s="43">
        <f t="shared" si="2"/>
        <v>0</v>
      </c>
      <c r="G130" s="7"/>
    </row>
    <row r="131" spans="1:7" s="4" customFormat="1" ht="13.2" x14ac:dyDescent="0.25">
      <c r="A131" s="119" t="s">
        <v>1352</v>
      </c>
      <c r="B131" s="120" t="s">
        <v>1346</v>
      </c>
      <c r="C131" s="101" t="s">
        <v>13</v>
      </c>
      <c r="D131" s="150">
        <v>0</v>
      </c>
      <c r="E131" s="13">
        <v>0</v>
      </c>
      <c r="F131" s="43">
        <f t="shared" si="2"/>
        <v>0</v>
      </c>
      <c r="G131" s="7"/>
    </row>
    <row r="132" spans="1:7" s="4" customFormat="1" ht="13.2" x14ac:dyDescent="0.25">
      <c r="A132" s="119" t="s">
        <v>1353</v>
      </c>
      <c r="B132" s="120" t="s">
        <v>1991</v>
      </c>
      <c r="C132" s="101" t="s">
        <v>13</v>
      </c>
      <c r="D132" s="150">
        <v>0</v>
      </c>
      <c r="E132" s="13">
        <v>0</v>
      </c>
      <c r="F132" s="43">
        <f t="shared" si="2"/>
        <v>0</v>
      </c>
      <c r="G132" s="7"/>
    </row>
    <row r="133" spans="1:7" s="4" customFormat="1" ht="13.2" x14ac:dyDescent="0.25">
      <c r="A133" s="119" t="s">
        <v>1354</v>
      </c>
      <c r="B133" s="120" t="s">
        <v>1987</v>
      </c>
      <c r="C133" s="101" t="s">
        <v>13</v>
      </c>
      <c r="D133" s="150">
        <v>0</v>
      </c>
      <c r="E133" s="13">
        <v>0</v>
      </c>
      <c r="F133" s="43">
        <f t="shared" si="2"/>
        <v>0</v>
      </c>
      <c r="G133" s="7"/>
    </row>
    <row r="134" spans="1:7" s="4" customFormat="1" ht="13.2" x14ac:dyDescent="0.25">
      <c r="A134" s="119" t="s">
        <v>1355</v>
      </c>
      <c r="B134" s="120" t="s">
        <v>1988</v>
      </c>
      <c r="C134" s="101" t="s">
        <v>13</v>
      </c>
      <c r="D134" s="150">
        <v>0</v>
      </c>
      <c r="E134" s="13">
        <v>0</v>
      </c>
      <c r="F134" s="43">
        <f t="shared" si="2"/>
        <v>0</v>
      </c>
      <c r="G134" s="7"/>
    </row>
    <row r="135" spans="1:7" s="4" customFormat="1" ht="13.2" x14ac:dyDescent="0.25">
      <c r="A135" s="119" t="s">
        <v>1356</v>
      </c>
      <c r="B135" s="120" t="s">
        <v>1347</v>
      </c>
      <c r="C135" s="101" t="s">
        <v>13</v>
      </c>
      <c r="D135" s="150">
        <v>0</v>
      </c>
      <c r="E135" s="13">
        <v>0</v>
      </c>
      <c r="F135" s="43">
        <f t="shared" si="2"/>
        <v>0</v>
      </c>
      <c r="G135" s="7"/>
    </row>
    <row r="136" spans="1:7" s="4" customFormat="1" ht="13.2" x14ac:dyDescent="0.25">
      <c r="A136" s="119" t="s">
        <v>1357</v>
      </c>
      <c r="B136" s="120" t="s">
        <v>1989</v>
      </c>
      <c r="C136" s="101" t="s">
        <v>1302</v>
      </c>
      <c r="D136" s="150">
        <v>0</v>
      </c>
      <c r="E136" s="13">
        <v>0</v>
      </c>
      <c r="F136" s="43">
        <f t="shared" si="2"/>
        <v>0</v>
      </c>
      <c r="G136" s="7"/>
    </row>
    <row r="137" spans="1:7" s="4" customFormat="1" ht="13.2" x14ac:dyDescent="0.25">
      <c r="A137" s="119" t="s">
        <v>1366</v>
      </c>
      <c r="B137" s="120" t="s">
        <v>1990</v>
      </c>
      <c r="C137" s="101" t="s">
        <v>13</v>
      </c>
      <c r="D137" s="150">
        <v>0</v>
      </c>
      <c r="E137" s="13">
        <v>0</v>
      </c>
      <c r="F137" s="43">
        <f t="shared" si="2"/>
        <v>0</v>
      </c>
      <c r="G137" s="7"/>
    </row>
    <row r="138" spans="1:7" s="4" customFormat="1" ht="13.2" x14ac:dyDescent="0.25">
      <c r="A138" s="119" t="s">
        <v>1367</v>
      </c>
      <c r="B138" s="120" t="s">
        <v>1992</v>
      </c>
      <c r="C138" s="101" t="s">
        <v>13</v>
      </c>
      <c r="D138" s="150">
        <v>0</v>
      </c>
      <c r="E138" s="13">
        <v>0</v>
      </c>
      <c r="F138" s="43">
        <f t="shared" si="2"/>
        <v>0</v>
      </c>
      <c r="G138" s="7"/>
    </row>
    <row r="139" spans="1:7" s="4" customFormat="1" ht="13.2" x14ac:dyDescent="0.25">
      <c r="A139" s="119" t="s">
        <v>1368</v>
      </c>
      <c r="B139" s="120" t="s">
        <v>2314</v>
      </c>
      <c r="C139" s="101" t="s">
        <v>13</v>
      </c>
      <c r="D139" s="150">
        <v>0</v>
      </c>
      <c r="E139" s="13">
        <v>0</v>
      </c>
      <c r="F139" s="43">
        <f>D139*E139</f>
        <v>0</v>
      </c>
      <c r="G139" s="7"/>
    </row>
    <row r="140" spans="1:7" s="4" customFormat="1" ht="13.2" x14ac:dyDescent="0.25">
      <c r="A140" s="119" t="s">
        <v>1369</v>
      </c>
      <c r="B140" s="120" t="s">
        <v>1370</v>
      </c>
      <c r="C140" s="101" t="s">
        <v>13</v>
      </c>
      <c r="D140" s="150">
        <v>0</v>
      </c>
      <c r="E140" s="13">
        <v>0</v>
      </c>
      <c r="F140" s="43">
        <f t="shared" si="2"/>
        <v>0</v>
      </c>
      <c r="G140" s="7"/>
    </row>
    <row r="141" spans="1:7" s="4" customFormat="1" ht="13.2" x14ac:dyDescent="0.25">
      <c r="A141" s="119" t="s">
        <v>1383</v>
      </c>
      <c r="B141" s="121" t="s">
        <v>1388</v>
      </c>
      <c r="C141" s="101" t="s">
        <v>13</v>
      </c>
      <c r="D141" s="150">
        <v>0</v>
      </c>
      <c r="E141" s="13">
        <v>0</v>
      </c>
      <c r="F141" s="43">
        <f t="shared" si="2"/>
        <v>0</v>
      </c>
      <c r="G141" s="7"/>
    </row>
    <row r="142" spans="1:7" s="4" customFormat="1" ht="13.2" x14ac:dyDescent="0.25">
      <c r="A142" s="119" t="s">
        <v>1387</v>
      </c>
      <c r="B142" s="121" t="s">
        <v>1390</v>
      </c>
      <c r="C142" s="101" t="s">
        <v>13</v>
      </c>
      <c r="D142" s="150">
        <v>0</v>
      </c>
      <c r="E142" s="13">
        <v>0</v>
      </c>
      <c r="F142" s="43">
        <f t="shared" si="2"/>
        <v>0</v>
      </c>
      <c r="G142" s="7"/>
    </row>
    <row r="143" spans="1:7" s="4" customFormat="1" ht="13.2" x14ac:dyDescent="0.25">
      <c r="A143" s="119" t="s">
        <v>1389</v>
      </c>
      <c r="B143" s="120" t="s">
        <v>2096</v>
      </c>
      <c r="C143" s="101" t="s">
        <v>13</v>
      </c>
      <c r="D143" s="150">
        <v>0</v>
      </c>
      <c r="E143" s="13">
        <v>0</v>
      </c>
      <c r="F143" s="43">
        <f>D143*E143</f>
        <v>0</v>
      </c>
      <c r="G143" s="7"/>
    </row>
    <row r="144" spans="1:7" s="4" customFormat="1" ht="13.2" x14ac:dyDescent="0.25">
      <c r="A144" s="119" t="s">
        <v>1437</v>
      </c>
      <c r="B144" s="120" t="s">
        <v>2540</v>
      </c>
      <c r="C144" s="101"/>
      <c r="D144" s="17"/>
      <c r="E144" s="13"/>
      <c r="F144" s="43"/>
      <c r="G144" s="7"/>
    </row>
    <row r="145" spans="1:7" s="4" customFormat="1" ht="13.2" x14ac:dyDescent="0.25">
      <c r="A145" s="119" t="s">
        <v>1994</v>
      </c>
      <c r="B145" s="120" t="s">
        <v>2232</v>
      </c>
      <c r="C145" s="101" t="s">
        <v>13</v>
      </c>
      <c r="D145" s="150">
        <v>0</v>
      </c>
      <c r="E145" s="13">
        <v>0</v>
      </c>
      <c r="F145" s="43">
        <f>D145*E145</f>
        <v>0</v>
      </c>
      <c r="G145" s="7"/>
    </row>
    <row r="146" spans="1:7" s="4" customFormat="1" ht="13.2" x14ac:dyDescent="0.25">
      <c r="A146" s="119" t="s">
        <v>3167</v>
      </c>
      <c r="B146" s="120" t="s">
        <v>2233</v>
      </c>
      <c r="C146" s="101" t="s">
        <v>13</v>
      </c>
      <c r="D146" s="150">
        <v>0</v>
      </c>
      <c r="E146" s="13">
        <v>0</v>
      </c>
      <c r="F146" s="43">
        <f>D146*E146</f>
        <v>0</v>
      </c>
      <c r="G146" s="7"/>
    </row>
    <row r="147" spans="1:7" s="4" customFormat="1" ht="13.2" x14ac:dyDescent="0.25">
      <c r="A147" s="32" t="s">
        <v>24</v>
      </c>
      <c r="B147" s="33" t="s">
        <v>1363</v>
      </c>
      <c r="C147" s="101"/>
      <c r="D147" s="17"/>
      <c r="E147" s="13"/>
      <c r="F147" s="43"/>
      <c r="G147" s="7"/>
    </row>
    <row r="148" spans="1:7" s="4" customFormat="1" ht="13.2" x14ac:dyDescent="0.25">
      <c r="A148" s="119" t="s">
        <v>556</v>
      </c>
      <c r="B148" s="120" t="s">
        <v>1651</v>
      </c>
      <c r="C148" s="101" t="s">
        <v>13</v>
      </c>
      <c r="D148" s="150">
        <v>0</v>
      </c>
      <c r="E148" s="13">
        <v>0</v>
      </c>
      <c r="F148" s="43">
        <f t="shared" ref="F148:F214" si="3">D148*E148</f>
        <v>0</v>
      </c>
      <c r="G148" s="7"/>
    </row>
    <row r="149" spans="1:7" s="4" customFormat="1" ht="13.2" x14ac:dyDescent="0.25">
      <c r="A149" s="119" t="s">
        <v>557</v>
      </c>
      <c r="B149" s="120" t="s">
        <v>1643</v>
      </c>
      <c r="C149" s="101" t="s">
        <v>13</v>
      </c>
      <c r="D149" s="150">
        <v>0</v>
      </c>
      <c r="E149" s="13">
        <v>0</v>
      </c>
      <c r="F149" s="43">
        <f t="shared" si="3"/>
        <v>0</v>
      </c>
      <c r="G149" s="7"/>
    </row>
    <row r="150" spans="1:7" s="4" customFormat="1" ht="13.2" x14ac:dyDescent="0.25">
      <c r="A150" s="119" t="s">
        <v>1358</v>
      </c>
      <c r="B150" s="120" t="s">
        <v>1644</v>
      </c>
      <c r="C150" s="101" t="s">
        <v>13</v>
      </c>
      <c r="D150" s="150">
        <v>0</v>
      </c>
      <c r="E150" s="13">
        <v>0</v>
      </c>
      <c r="F150" s="43">
        <f t="shared" si="3"/>
        <v>0</v>
      </c>
      <c r="G150" s="7"/>
    </row>
    <row r="151" spans="1:7" s="4" customFormat="1" ht="13.2" x14ac:dyDescent="0.25">
      <c r="A151" s="119" t="s">
        <v>1359</v>
      </c>
      <c r="B151" s="120" t="s">
        <v>1645</v>
      </c>
      <c r="C151" s="101" t="s">
        <v>13</v>
      </c>
      <c r="D151" s="150">
        <v>0</v>
      </c>
      <c r="E151" s="13">
        <v>0</v>
      </c>
      <c r="F151" s="43">
        <f t="shared" si="3"/>
        <v>0</v>
      </c>
      <c r="G151" s="7"/>
    </row>
    <row r="152" spans="1:7" s="4" customFormat="1" ht="13.2" x14ac:dyDescent="0.25">
      <c r="A152" s="119" t="s">
        <v>1360</v>
      </c>
      <c r="B152" s="120" t="s">
        <v>1646</v>
      </c>
      <c r="C152" s="101" t="s">
        <v>13</v>
      </c>
      <c r="D152" s="150">
        <v>0</v>
      </c>
      <c r="E152" s="13">
        <v>0</v>
      </c>
      <c r="F152" s="43">
        <f t="shared" si="3"/>
        <v>0</v>
      </c>
      <c r="G152" s="7"/>
    </row>
    <row r="153" spans="1:7" s="4" customFormat="1" ht="13.2" x14ac:dyDescent="0.25">
      <c r="A153" s="32" t="s">
        <v>25</v>
      </c>
      <c r="B153" s="33" t="s">
        <v>1350</v>
      </c>
      <c r="C153" s="101"/>
      <c r="D153" s="17"/>
      <c r="E153" s="13"/>
      <c r="F153" s="43"/>
      <c r="G153" s="7"/>
    </row>
    <row r="154" spans="1:7" s="4" customFormat="1" ht="13.2" x14ac:dyDescent="0.25">
      <c r="A154" s="119" t="s">
        <v>1361</v>
      </c>
      <c r="B154" s="120" t="s">
        <v>1995</v>
      </c>
      <c r="C154" s="101" t="s">
        <v>13</v>
      </c>
      <c r="D154" s="150">
        <v>0</v>
      </c>
      <c r="E154" s="13">
        <v>0</v>
      </c>
      <c r="F154" s="43">
        <f t="shared" si="3"/>
        <v>0</v>
      </c>
      <c r="G154" s="7"/>
    </row>
    <row r="155" spans="1:7" s="4" customFormat="1" ht="13.2" x14ac:dyDescent="0.25">
      <c r="A155" s="119" t="s">
        <v>1362</v>
      </c>
      <c r="B155" s="120" t="s">
        <v>1391</v>
      </c>
      <c r="C155" s="101" t="s">
        <v>13</v>
      </c>
      <c r="D155" s="150">
        <v>0</v>
      </c>
      <c r="E155" s="13">
        <v>0</v>
      </c>
      <c r="F155" s="43">
        <f t="shared" si="3"/>
        <v>0</v>
      </c>
      <c r="G155" s="7"/>
    </row>
    <row r="156" spans="1:7" s="4" customFormat="1" ht="13.2" x14ac:dyDescent="0.25">
      <c r="A156" s="119" t="s">
        <v>1436</v>
      </c>
      <c r="B156" s="120" t="s">
        <v>2541</v>
      </c>
      <c r="C156" s="101"/>
      <c r="D156" s="17"/>
      <c r="E156" s="13"/>
      <c r="F156" s="43"/>
      <c r="G156" s="7"/>
    </row>
    <row r="157" spans="1:7" s="4" customFormat="1" ht="13.2" x14ac:dyDescent="0.25">
      <c r="A157" s="119" t="s">
        <v>2542</v>
      </c>
      <c r="B157" s="120" t="s">
        <v>2232</v>
      </c>
      <c r="C157" s="101" t="s">
        <v>13</v>
      </c>
      <c r="D157" s="150">
        <v>0</v>
      </c>
      <c r="E157" s="13">
        <v>0</v>
      </c>
      <c r="F157" s="43">
        <f>D157*E157</f>
        <v>0</v>
      </c>
      <c r="G157" s="7"/>
    </row>
    <row r="158" spans="1:7" s="4" customFormat="1" ht="13.2" x14ac:dyDescent="0.25">
      <c r="A158" s="119" t="s">
        <v>2543</v>
      </c>
      <c r="B158" s="120" t="s">
        <v>2233</v>
      </c>
      <c r="C158" s="101" t="s">
        <v>13</v>
      </c>
      <c r="D158" s="150">
        <v>0</v>
      </c>
      <c r="E158" s="13">
        <v>0</v>
      </c>
      <c r="F158" s="43">
        <f>D158*E158</f>
        <v>0</v>
      </c>
      <c r="G158" s="7"/>
    </row>
    <row r="159" spans="1:7" s="4" customFormat="1" ht="13.2" x14ac:dyDescent="0.25">
      <c r="A159" s="32" t="s">
        <v>26</v>
      </c>
      <c r="B159" s="33" t="s">
        <v>1364</v>
      </c>
      <c r="C159" s="101"/>
      <c r="D159" s="17"/>
      <c r="E159" s="13"/>
      <c r="F159" s="43"/>
      <c r="G159" s="7"/>
    </row>
    <row r="160" spans="1:7" s="9" customFormat="1" ht="13.2" x14ac:dyDescent="0.25">
      <c r="A160" s="119" t="s">
        <v>1371</v>
      </c>
      <c r="B160" s="121" t="s">
        <v>1648</v>
      </c>
      <c r="C160" s="101" t="s">
        <v>13</v>
      </c>
      <c r="D160" s="150">
        <v>0</v>
      </c>
      <c r="E160" s="13">
        <v>0</v>
      </c>
      <c r="F160" s="43">
        <f t="shared" si="3"/>
        <v>0</v>
      </c>
      <c r="G160" s="7"/>
    </row>
    <row r="161" spans="1:7" s="9" customFormat="1" ht="13.2" x14ac:dyDescent="0.25">
      <c r="A161" s="119" t="s">
        <v>1372</v>
      </c>
      <c r="B161" s="121" t="s">
        <v>1647</v>
      </c>
      <c r="C161" s="101" t="s">
        <v>13</v>
      </c>
      <c r="D161" s="150">
        <v>0</v>
      </c>
      <c r="E161" s="13">
        <v>0</v>
      </c>
      <c r="F161" s="43">
        <f t="shared" si="3"/>
        <v>0</v>
      </c>
      <c r="G161" s="7"/>
    </row>
    <row r="162" spans="1:7" s="9" customFormat="1" ht="13.2" x14ac:dyDescent="0.25">
      <c r="A162" s="119" t="s">
        <v>1373</v>
      </c>
      <c r="B162" s="121" t="s">
        <v>1652</v>
      </c>
      <c r="C162" s="101" t="s">
        <v>13</v>
      </c>
      <c r="D162" s="150">
        <v>0</v>
      </c>
      <c r="E162" s="13">
        <v>0</v>
      </c>
      <c r="F162" s="43">
        <f t="shared" si="3"/>
        <v>0</v>
      </c>
      <c r="G162" s="7"/>
    </row>
    <row r="163" spans="1:7" s="9" customFormat="1" ht="13.2" x14ac:dyDescent="0.25">
      <c r="A163" s="119" t="s">
        <v>1374</v>
      </c>
      <c r="B163" s="121" t="s">
        <v>1653</v>
      </c>
      <c r="C163" s="101" t="s">
        <v>13</v>
      </c>
      <c r="D163" s="150">
        <v>0</v>
      </c>
      <c r="E163" s="13">
        <v>0</v>
      </c>
      <c r="F163" s="43">
        <f t="shared" si="3"/>
        <v>0</v>
      </c>
      <c r="G163" s="7"/>
    </row>
    <row r="164" spans="1:7" s="9" customFormat="1" ht="13.2" x14ac:dyDescent="0.25">
      <c r="A164" s="119" t="s">
        <v>1375</v>
      </c>
      <c r="B164" s="121" t="s">
        <v>1654</v>
      </c>
      <c r="C164" s="101" t="s">
        <v>13</v>
      </c>
      <c r="D164" s="150">
        <v>0</v>
      </c>
      <c r="E164" s="13">
        <v>0</v>
      </c>
      <c r="F164" s="43">
        <f t="shared" si="3"/>
        <v>0</v>
      </c>
      <c r="G164" s="7"/>
    </row>
    <row r="165" spans="1:7" s="9" customFormat="1" ht="13.2" x14ac:dyDescent="0.25">
      <c r="A165" s="119" t="s">
        <v>1376</v>
      </c>
      <c r="B165" s="121" t="s">
        <v>1655</v>
      </c>
      <c r="C165" s="101" t="s">
        <v>13</v>
      </c>
      <c r="D165" s="150">
        <v>0</v>
      </c>
      <c r="E165" s="13">
        <v>0</v>
      </c>
      <c r="F165" s="43">
        <f t="shared" si="3"/>
        <v>0</v>
      </c>
      <c r="G165" s="7"/>
    </row>
    <row r="166" spans="1:7" s="9" customFormat="1" ht="13.2" x14ac:dyDescent="0.25">
      <c r="A166" s="119" t="s">
        <v>1377</v>
      </c>
      <c r="B166" s="121" t="s">
        <v>1656</v>
      </c>
      <c r="C166" s="101" t="s">
        <v>13</v>
      </c>
      <c r="D166" s="150">
        <v>0</v>
      </c>
      <c r="E166" s="13">
        <v>0</v>
      </c>
      <c r="F166" s="43">
        <f t="shared" si="3"/>
        <v>0</v>
      </c>
      <c r="G166" s="7"/>
    </row>
    <row r="167" spans="1:7" s="9" customFormat="1" ht="13.2" x14ac:dyDescent="0.25">
      <c r="A167" s="119" t="s">
        <v>1378</v>
      </c>
      <c r="B167" s="121" t="s">
        <v>1649</v>
      </c>
      <c r="C167" s="101" t="s">
        <v>13</v>
      </c>
      <c r="D167" s="150">
        <v>0</v>
      </c>
      <c r="E167" s="13">
        <v>0</v>
      </c>
      <c r="F167" s="43">
        <f t="shared" si="3"/>
        <v>0</v>
      </c>
      <c r="G167" s="7"/>
    </row>
    <row r="168" spans="1:7" s="9" customFormat="1" ht="13.2" x14ac:dyDescent="0.25">
      <c r="A168" s="119" t="s">
        <v>1379</v>
      </c>
      <c r="B168" s="121" t="s">
        <v>1657</v>
      </c>
      <c r="C168" s="101" t="s">
        <v>13</v>
      </c>
      <c r="D168" s="150">
        <v>0</v>
      </c>
      <c r="E168" s="13">
        <v>0</v>
      </c>
      <c r="F168" s="43">
        <f t="shared" si="3"/>
        <v>0</v>
      </c>
      <c r="G168" s="7"/>
    </row>
    <row r="169" spans="1:7" s="9" customFormat="1" ht="13.2" x14ac:dyDescent="0.25">
      <c r="A169" s="119" t="s">
        <v>1380</v>
      </c>
      <c r="B169" s="120" t="s">
        <v>1650</v>
      </c>
      <c r="C169" s="101" t="s">
        <v>13</v>
      </c>
      <c r="D169" s="150">
        <v>0</v>
      </c>
      <c r="E169" s="13">
        <v>0</v>
      </c>
      <c r="F169" s="43">
        <f t="shared" si="3"/>
        <v>0</v>
      </c>
      <c r="G169" s="7"/>
    </row>
    <row r="170" spans="1:7" s="9" customFormat="1" ht="13.2" x14ac:dyDescent="0.25">
      <c r="A170" s="119" t="s">
        <v>1381</v>
      </c>
      <c r="B170" s="120" t="s">
        <v>1722</v>
      </c>
      <c r="C170" s="101" t="s">
        <v>13</v>
      </c>
      <c r="D170" s="150">
        <v>0</v>
      </c>
      <c r="E170" s="13">
        <v>0</v>
      </c>
      <c r="F170" s="43">
        <f t="shared" si="3"/>
        <v>0</v>
      </c>
      <c r="G170" s="7"/>
    </row>
    <row r="171" spans="1:7" s="9" customFormat="1" ht="13.2" x14ac:dyDescent="0.25">
      <c r="A171" s="32" t="s">
        <v>27</v>
      </c>
      <c r="B171" s="28" t="s">
        <v>1384</v>
      </c>
      <c r="C171" s="101" t="s">
        <v>268</v>
      </c>
      <c r="D171" s="150">
        <v>0</v>
      </c>
      <c r="E171" s="13">
        <v>0</v>
      </c>
      <c r="F171" s="43">
        <f t="shared" si="3"/>
        <v>0</v>
      </c>
      <c r="G171" s="7"/>
    </row>
    <row r="172" spans="1:7" s="4" customFormat="1" ht="13.2" x14ac:dyDescent="0.25">
      <c r="A172" s="32" t="s">
        <v>28</v>
      </c>
      <c r="B172" s="28" t="s">
        <v>1724</v>
      </c>
      <c r="C172" s="101"/>
      <c r="D172" s="17"/>
      <c r="E172" s="13"/>
      <c r="F172" s="43"/>
      <c r="G172" s="7"/>
    </row>
    <row r="173" spans="1:7" s="4" customFormat="1" ht="13.2" x14ac:dyDescent="0.25">
      <c r="A173" s="119" t="s">
        <v>1725</v>
      </c>
      <c r="B173" s="121" t="s">
        <v>1723</v>
      </c>
      <c r="C173" s="101" t="s">
        <v>268</v>
      </c>
      <c r="D173" s="150">
        <v>0</v>
      </c>
      <c r="E173" s="13">
        <v>0</v>
      </c>
      <c r="F173" s="43">
        <f t="shared" si="3"/>
        <v>0</v>
      </c>
      <c r="G173" s="7"/>
    </row>
    <row r="174" spans="1:7" s="4" customFormat="1" ht="13.2" x14ac:dyDescent="0.25">
      <c r="A174" s="119" t="s">
        <v>1726</v>
      </c>
      <c r="B174" s="121" t="s">
        <v>1727</v>
      </c>
      <c r="C174" s="101" t="s">
        <v>268</v>
      </c>
      <c r="D174" s="150">
        <v>0</v>
      </c>
      <c r="E174" s="13">
        <v>0</v>
      </c>
      <c r="F174" s="43">
        <f t="shared" si="3"/>
        <v>0</v>
      </c>
      <c r="G174" s="7"/>
    </row>
    <row r="175" spans="1:7" s="4" customFormat="1" ht="13.2" x14ac:dyDescent="0.25">
      <c r="A175" s="32" t="s">
        <v>3168</v>
      </c>
      <c r="B175" s="28" t="s">
        <v>3169</v>
      </c>
      <c r="C175" s="101"/>
      <c r="D175" s="21"/>
      <c r="E175" s="13">
        <v>0</v>
      </c>
      <c r="F175" s="43">
        <f t="shared" si="3"/>
        <v>0</v>
      </c>
      <c r="G175" s="7"/>
    </row>
    <row r="176" spans="1:7" s="4" customFormat="1" ht="13.2" x14ac:dyDescent="0.25">
      <c r="A176" s="119" t="s">
        <v>3170</v>
      </c>
      <c r="B176" s="121" t="s">
        <v>3171</v>
      </c>
      <c r="C176" s="101" t="s">
        <v>13</v>
      </c>
      <c r="D176" s="150">
        <v>0</v>
      </c>
      <c r="E176" s="13">
        <v>0</v>
      </c>
      <c r="F176" s="43">
        <f t="shared" si="3"/>
        <v>0</v>
      </c>
      <c r="G176" s="7"/>
    </row>
    <row r="177" spans="1:7" s="4" customFormat="1" ht="13.2" x14ac:dyDescent="0.25">
      <c r="A177" s="119" t="s">
        <v>3172</v>
      </c>
      <c r="B177" s="121" t="s">
        <v>3173</v>
      </c>
      <c r="C177" s="101" t="s">
        <v>13</v>
      </c>
      <c r="D177" s="150">
        <v>0</v>
      </c>
      <c r="E177" s="13">
        <v>0</v>
      </c>
      <c r="F177" s="43">
        <f t="shared" si="3"/>
        <v>0</v>
      </c>
      <c r="G177" s="7"/>
    </row>
    <row r="178" spans="1:7" s="4" customFormat="1" ht="13.2" x14ac:dyDescent="0.25">
      <c r="A178" s="119" t="s">
        <v>3174</v>
      </c>
      <c r="B178" s="121" t="s">
        <v>3175</v>
      </c>
      <c r="C178" s="101" t="s">
        <v>13</v>
      </c>
      <c r="D178" s="150">
        <v>0</v>
      </c>
      <c r="E178" s="13">
        <v>0</v>
      </c>
      <c r="F178" s="43">
        <f t="shared" si="3"/>
        <v>0</v>
      </c>
      <c r="G178" s="7"/>
    </row>
    <row r="179" spans="1:7" s="4" customFormat="1" ht="13.2" x14ac:dyDescent="0.25">
      <c r="A179" s="119" t="s">
        <v>3176</v>
      </c>
      <c r="B179" s="121" t="s">
        <v>3177</v>
      </c>
      <c r="C179" s="101" t="s">
        <v>13</v>
      </c>
      <c r="D179" s="150">
        <v>0</v>
      </c>
      <c r="E179" s="13">
        <v>0</v>
      </c>
      <c r="F179" s="43">
        <f t="shared" si="3"/>
        <v>0</v>
      </c>
      <c r="G179" s="7"/>
    </row>
    <row r="180" spans="1:7" s="4" customFormat="1" ht="13.2" x14ac:dyDescent="0.25">
      <c r="A180" s="119" t="s">
        <v>3178</v>
      </c>
      <c r="B180" s="121" t="s">
        <v>3179</v>
      </c>
      <c r="C180" s="101" t="s">
        <v>13</v>
      </c>
      <c r="D180" s="150">
        <v>0</v>
      </c>
      <c r="E180" s="13">
        <v>0</v>
      </c>
      <c r="F180" s="43">
        <f t="shared" si="3"/>
        <v>0</v>
      </c>
      <c r="G180" s="7"/>
    </row>
    <row r="181" spans="1:7" s="4" customFormat="1" ht="13.2" x14ac:dyDescent="0.25">
      <c r="A181" s="119" t="s">
        <v>3180</v>
      </c>
      <c r="B181" s="121" t="s">
        <v>3181</v>
      </c>
      <c r="C181" s="101" t="s">
        <v>13</v>
      </c>
      <c r="D181" s="150">
        <v>0</v>
      </c>
      <c r="E181" s="13">
        <v>0</v>
      </c>
      <c r="F181" s="43">
        <f t="shared" si="3"/>
        <v>0</v>
      </c>
      <c r="G181" s="7"/>
    </row>
    <row r="182" spans="1:7" s="4" customFormat="1" ht="13.2" x14ac:dyDescent="0.25">
      <c r="A182" s="119" t="s">
        <v>3182</v>
      </c>
      <c r="B182" s="121" t="s">
        <v>3183</v>
      </c>
      <c r="C182" s="101" t="s">
        <v>1081</v>
      </c>
      <c r="D182" s="150">
        <v>0</v>
      </c>
      <c r="E182" s="13">
        <v>0</v>
      </c>
      <c r="F182" s="43">
        <f t="shared" si="3"/>
        <v>0</v>
      </c>
      <c r="G182" s="7"/>
    </row>
    <row r="183" spans="1:7" s="4" customFormat="1" ht="13.2" x14ac:dyDescent="0.25">
      <c r="A183" s="27" t="s">
        <v>156</v>
      </c>
      <c r="B183" s="28" t="s">
        <v>597</v>
      </c>
      <c r="C183" s="101"/>
      <c r="D183" s="17"/>
      <c r="E183" s="13"/>
      <c r="F183" s="43"/>
      <c r="G183" s="7"/>
    </row>
    <row r="184" spans="1:7" s="4" customFormat="1" ht="13.2" x14ac:dyDescent="0.25">
      <c r="A184" s="119" t="s">
        <v>29</v>
      </c>
      <c r="B184" s="120" t="s">
        <v>5</v>
      </c>
      <c r="C184" s="101" t="s">
        <v>1081</v>
      </c>
      <c r="D184" s="150">
        <v>0</v>
      </c>
      <c r="E184" s="13">
        <v>0</v>
      </c>
      <c r="F184" s="43">
        <f t="shared" si="3"/>
        <v>0</v>
      </c>
      <c r="G184" s="7"/>
    </row>
    <row r="185" spans="1:7" s="4" customFormat="1" ht="13.2" x14ac:dyDescent="0.25">
      <c r="A185" s="119" t="s">
        <v>30</v>
      </c>
      <c r="B185" s="120" t="s">
        <v>1405</v>
      </c>
      <c r="C185" s="101"/>
      <c r="D185" s="17"/>
      <c r="E185" s="13"/>
      <c r="F185" s="43"/>
      <c r="G185" s="7"/>
    </row>
    <row r="186" spans="1:7" s="4" customFormat="1" ht="13.2" x14ac:dyDescent="0.25">
      <c r="A186" s="119" t="s">
        <v>1407</v>
      </c>
      <c r="B186" s="120" t="s">
        <v>1406</v>
      </c>
      <c r="C186" s="101" t="s">
        <v>1302</v>
      </c>
      <c r="D186" s="150">
        <v>0</v>
      </c>
      <c r="E186" s="13">
        <v>0</v>
      </c>
      <c r="F186" s="43">
        <f t="shared" si="3"/>
        <v>0</v>
      </c>
      <c r="G186" s="7"/>
    </row>
    <row r="187" spans="1:7" s="4" customFormat="1" ht="13.2" x14ac:dyDescent="0.25">
      <c r="A187" s="119" t="s">
        <v>1410</v>
      </c>
      <c r="B187" s="120" t="s">
        <v>1408</v>
      </c>
      <c r="C187" s="101" t="s">
        <v>268</v>
      </c>
      <c r="D187" s="150">
        <v>0</v>
      </c>
      <c r="E187" s="13">
        <v>0</v>
      </c>
      <c r="F187" s="43">
        <f t="shared" si="3"/>
        <v>0</v>
      </c>
      <c r="G187" s="7"/>
    </row>
    <row r="188" spans="1:7" s="4" customFormat="1" ht="13.2" x14ac:dyDescent="0.25">
      <c r="A188" s="119" t="s">
        <v>1411</v>
      </c>
      <c r="B188" s="120" t="s">
        <v>1409</v>
      </c>
      <c r="C188" s="101" t="s">
        <v>13</v>
      </c>
      <c r="D188" s="150">
        <v>0</v>
      </c>
      <c r="E188" s="13">
        <v>0</v>
      </c>
      <c r="F188" s="43">
        <f t="shared" si="3"/>
        <v>0</v>
      </c>
      <c r="G188" s="7"/>
    </row>
    <row r="189" spans="1:7" s="4" customFormat="1" ht="13.2" x14ac:dyDescent="0.25">
      <c r="A189" s="119" t="s">
        <v>31</v>
      </c>
      <c r="B189" s="120" t="s">
        <v>1412</v>
      </c>
      <c r="C189" s="101"/>
      <c r="D189" s="17"/>
      <c r="E189" s="13"/>
      <c r="F189" s="43"/>
      <c r="G189" s="7"/>
    </row>
    <row r="190" spans="1:7" s="4" customFormat="1" ht="13.2" x14ac:dyDescent="0.25">
      <c r="A190" s="119" t="s">
        <v>1413</v>
      </c>
      <c r="B190" s="120" t="s">
        <v>1658</v>
      </c>
      <c r="C190" s="101" t="s">
        <v>1302</v>
      </c>
      <c r="D190" s="150">
        <v>0</v>
      </c>
      <c r="E190" s="13">
        <v>0</v>
      </c>
      <c r="F190" s="43">
        <f t="shared" si="3"/>
        <v>0</v>
      </c>
      <c r="G190" s="7"/>
    </row>
    <row r="191" spans="1:7" s="4" customFormat="1" ht="13.2" x14ac:dyDescent="0.25">
      <c r="A191" s="119" t="s">
        <v>1414</v>
      </c>
      <c r="B191" s="120" t="s">
        <v>1661</v>
      </c>
      <c r="C191" s="101" t="s">
        <v>268</v>
      </c>
      <c r="D191" s="150">
        <v>0</v>
      </c>
      <c r="E191" s="13">
        <v>0</v>
      </c>
      <c r="F191" s="43">
        <f t="shared" si="3"/>
        <v>0</v>
      </c>
      <c r="G191" s="7"/>
    </row>
    <row r="192" spans="1:7" s="4" customFormat="1" ht="13.2" x14ac:dyDescent="0.25">
      <c r="A192" s="119" t="s">
        <v>1659</v>
      </c>
      <c r="B192" s="120" t="s">
        <v>1660</v>
      </c>
      <c r="C192" s="101" t="s">
        <v>13</v>
      </c>
      <c r="D192" s="150">
        <v>0</v>
      </c>
      <c r="E192" s="13">
        <v>0</v>
      </c>
      <c r="F192" s="43">
        <f t="shared" si="3"/>
        <v>0</v>
      </c>
      <c r="G192" s="7"/>
    </row>
    <row r="193" spans="1:7" s="6" customFormat="1" ht="13.2" x14ac:dyDescent="0.25">
      <c r="A193" s="119" t="s">
        <v>32</v>
      </c>
      <c r="B193" s="120" t="s">
        <v>568</v>
      </c>
      <c r="C193" s="101"/>
      <c r="D193" s="17"/>
      <c r="E193" s="13"/>
      <c r="F193" s="43"/>
      <c r="G193" s="7"/>
    </row>
    <row r="194" spans="1:7" s="6" customFormat="1" ht="13.2" x14ac:dyDescent="0.25">
      <c r="A194" s="119" t="s">
        <v>1415</v>
      </c>
      <c r="B194" s="120" t="s">
        <v>6</v>
      </c>
      <c r="C194" s="101" t="s">
        <v>1302</v>
      </c>
      <c r="D194" s="150">
        <v>0</v>
      </c>
      <c r="E194" s="13">
        <v>0</v>
      </c>
      <c r="F194" s="43">
        <f t="shared" si="3"/>
        <v>0</v>
      </c>
      <c r="G194" s="7"/>
    </row>
    <row r="195" spans="1:7" s="6" customFormat="1" ht="13.2" x14ac:dyDescent="0.25">
      <c r="A195" s="119" t="s">
        <v>1416</v>
      </c>
      <c r="B195" s="120" t="s">
        <v>7</v>
      </c>
      <c r="C195" s="101" t="s">
        <v>1302</v>
      </c>
      <c r="D195" s="150">
        <v>0</v>
      </c>
      <c r="E195" s="13">
        <v>0</v>
      </c>
      <c r="F195" s="43">
        <f t="shared" si="3"/>
        <v>0</v>
      </c>
      <c r="G195" s="7"/>
    </row>
    <row r="196" spans="1:7" s="6" customFormat="1" ht="13.2" x14ac:dyDescent="0.25">
      <c r="A196" s="119" t="s">
        <v>1417</v>
      </c>
      <c r="B196" s="120" t="s">
        <v>8</v>
      </c>
      <c r="C196" s="101" t="s">
        <v>1302</v>
      </c>
      <c r="D196" s="150">
        <v>0</v>
      </c>
      <c r="E196" s="13">
        <v>0</v>
      </c>
      <c r="F196" s="43">
        <f t="shared" si="3"/>
        <v>0</v>
      </c>
      <c r="G196" s="7"/>
    </row>
    <row r="197" spans="1:7" s="6" customFormat="1" ht="13.2" x14ac:dyDescent="0.25">
      <c r="A197" s="119" t="s">
        <v>1418</v>
      </c>
      <c r="B197" s="120" t="s">
        <v>1434</v>
      </c>
      <c r="C197" s="101" t="s">
        <v>1302</v>
      </c>
      <c r="D197" s="19">
        <v>0</v>
      </c>
      <c r="E197" s="13">
        <v>0</v>
      </c>
      <c r="F197" s="43">
        <f t="shared" si="3"/>
        <v>0</v>
      </c>
      <c r="G197" s="7"/>
    </row>
    <row r="198" spans="1:7" s="6" customFormat="1" ht="13.2" x14ac:dyDescent="0.25">
      <c r="A198" s="119" t="s">
        <v>1419</v>
      </c>
      <c r="B198" s="120" t="s">
        <v>9</v>
      </c>
      <c r="C198" s="101" t="s">
        <v>1302</v>
      </c>
      <c r="D198" s="150">
        <v>0</v>
      </c>
      <c r="E198" s="13">
        <v>0</v>
      </c>
      <c r="F198" s="43">
        <f t="shared" si="3"/>
        <v>0</v>
      </c>
      <c r="G198" s="7"/>
    </row>
    <row r="199" spans="1:7" s="6" customFormat="1" ht="13.2" x14ac:dyDescent="0.25">
      <c r="A199" s="119" t="s">
        <v>1420</v>
      </c>
      <c r="B199" s="120" t="s">
        <v>10</v>
      </c>
      <c r="C199" s="101" t="s">
        <v>1302</v>
      </c>
      <c r="D199" s="150">
        <v>0</v>
      </c>
      <c r="E199" s="13">
        <v>0</v>
      </c>
      <c r="F199" s="43">
        <f t="shared" si="3"/>
        <v>0</v>
      </c>
      <c r="G199" s="7"/>
    </row>
    <row r="200" spans="1:7" s="6" customFormat="1" ht="13.2" x14ac:dyDescent="0.25">
      <c r="A200" s="119" t="s">
        <v>1421</v>
      </c>
      <c r="B200" s="120" t="s">
        <v>11</v>
      </c>
      <c r="C200" s="101" t="s">
        <v>13</v>
      </c>
      <c r="D200" s="150">
        <v>0</v>
      </c>
      <c r="E200" s="13">
        <v>0</v>
      </c>
      <c r="F200" s="43">
        <f t="shared" si="3"/>
        <v>0</v>
      </c>
      <c r="G200" s="7"/>
    </row>
    <row r="201" spans="1:7" s="6" customFormat="1" ht="13.2" x14ac:dyDescent="0.25">
      <c r="A201" s="119" t="s">
        <v>1422</v>
      </c>
      <c r="B201" s="120" t="s">
        <v>12</v>
      </c>
      <c r="C201" s="101" t="s">
        <v>268</v>
      </c>
      <c r="D201" s="19">
        <v>0</v>
      </c>
      <c r="E201" s="13">
        <v>0</v>
      </c>
      <c r="F201" s="43">
        <f t="shared" si="3"/>
        <v>0</v>
      </c>
      <c r="G201" s="7"/>
    </row>
    <row r="202" spans="1:7" s="6" customFormat="1" ht="13.2" x14ac:dyDescent="0.25">
      <c r="A202" s="119" t="s">
        <v>1423</v>
      </c>
      <c r="B202" s="120" t="s">
        <v>223</v>
      </c>
      <c r="C202" s="101" t="s">
        <v>13</v>
      </c>
      <c r="D202" s="150">
        <v>0</v>
      </c>
      <c r="E202" s="13">
        <v>0</v>
      </c>
      <c r="F202" s="43">
        <f t="shared" si="3"/>
        <v>0</v>
      </c>
      <c r="G202" s="7"/>
    </row>
    <row r="203" spans="1:7" s="6" customFormat="1" ht="13.2" x14ac:dyDescent="0.25">
      <c r="A203" s="119" t="s">
        <v>1424</v>
      </c>
      <c r="B203" s="120" t="s">
        <v>224</v>
      </c>
      <c r="C203" s="101" t="s">
        <v>268</v>
      </c>
      <c r="D203" s="150">
        <v>0</v>
      </c>
      <c r="E203" s="13">
        <v>0</v>
      </c>
      <c r="F203" s="43">
        <f t="shared" si="3"/>
        <v>0</v>
      </c>
      <c r="G203" s="7"/>
    </row>
    <row r="204" spans="1:7" s="6" customFormat="1" ht="13.2" x14ac:dyDescent="0.25">
      <c r="A204" s="119" t="s">
        <v>1425</v>
      </c>
      <c r="B204" s="120" t="s">
        <v>225</v>
      </c>
      <c r="C204" s="101" t="s">
        <v>1302</v>
      </c>
      <c r="D204" s="150">
        <v>0</v>
      </c>
      <c r="E204" s="13">
        <v>0</v>
      </c>
      <c r="F204" s="43">
        <f t="shared" si="3"/>
        <v>0</v>
      </c>
      <c r="G204" s="7"/>
    </row>
    <row r="205" spans="1:7" s="12" customFormat="1" ht="13.2" x14ac:dyDescent="0.25">
      <c r="A205" s="119" t="s">
        <v>1427</v>
      </c>
      <c r="B205" s="120" t="s">
        <v>1426</v>
      </c>
      <c r="C205" s="101" t="s">
        <v>1302</v>
      </c>
      <c r="D205" s="150">
        <v>0</v>
      </c>
      <c r="E205" s="13">
        <v>0</v>
      </c>
      <c r="F205" s="43">
        <f t="shared" si="3"/>
        <v>0</v>
      </c>
      <c r="G205" s="7"/>
    </row>
    <row r="206" spans="1:7" s="12" customFormat="1" ht="13.2" x14ac:dyDescent="0.25">
      <c r="A206" s="119" t="s">
        <v>1428</v>
      </c>
      <c r="B206" s="120" t="s">
        <v>1430</v>
      </c>
      <c r="C206" s="101" t="s">
        <v>13</v>
      </c>
      <c r="D206" s="150">
        <v>0</v>
      </c>
      <c r="E206" s="13">
        <v>0</v>
      </c>
      <c r="F206" s="43">
        <f t="shared" si="3"/>
        <v>0</v>
      </c>
      <c r="G206" s="7"/>
    </row>
    <row r="207" spans="1:7" s="12" customFormat="1" ht="13.2" x14ac:dyDescent="0.25">
      <c r="A207" s="119" t="s">
        <v>1429</v>
      </c>
      <c r="B207" s="120" t="s">
        <v>1431</v>
      </c>
      <c r="C207" s="101" t="s">
        <v>13</v>
      </c>
      <c r="D207" s="150">
        <v>0</v>
      </c>
      <c r="E207" s="13">
        <v>0</v>
      </c>
      <c r="F207" s="43">
        <f t="shared" si="3"/>
        <v>0</v>
      </c>
      <c r="G207" s="7"/>
    </row>
    <row r="208" spans="1:7" s="12" customFormat="1" ht="13.2" x14ac:dyDescent="0.25">
      <c r="A208" s="119" t="s">
        <v>1432</v>
      </c>
      <c r="B208" s="120" t="s">
        <v>1433</v>
      </c>
      <c r="C208" s="101" t="s">
        <v>13</v>
      </c>
      <c r="D208" s="150">
        <v>0</v>
      </c>
      <c r="E208" s="13">
        <v>0</v>
      </c>
      <c r="F208" s="43">
        <f t="shared" si="3"/>
        <v>0</v>
      </c>
      <c r="G208" s="7"/>
    </row>
    <row r="209" spans="1:7" s="6" customFormat="1" ht="13.2" x14ac:dyDescent="0.25">
      <c r="A209" s="119"/>
      <c r="B209" s="120"/>
      <c r="C209" s="101"/>
      <c r="D209" s="17"/>
      <c r="E209" s="13"/>
      <c r="F209" s="43"/>
      <c r="G209" s="7"/>
    </row>
    <row r="210" spans="1:7" s="12" customFormat="1" ht="13.2" x14ac:dyDescent="0.25">
      <c r="A210" s="119"/>
      <c r="B210" s="152" t="s">
        <v>1435</v>
      </c>
      <c r="C210" s="101"/>
      <c r="D210" s="17"/>
      <c r="E210" s="13"/>
      <c r="F210" s="43">
        <f>SUM(F100:F208)</f>
        <v>0</v>
      </c>
      <c r="G210" s="7"/>
    </row>
    <row r="211" spans="1:7" s="12" customFormat="1" ht="12" customHeight="1" x14ac:dyDescent="0.25">
      <c r="A211" s="122"/>
      <c r="B211" s="123"/>
      <c r="C211" s="103"/>
      <c r="D211" s="18"/>
      <c r="E211" s="16"/>
      <c r="F211" s="44"/>
      <c r="G211" s="7"/>
    </row>
    <row r="212" spans="1:7" s="11" customFormat="1" ht="13.2" x14ac:dyDescent="0.25">
      <c r="A212" s="30" t="s">
        <v>1066</v>
      </c>
      <c r="B212" s="31" t="s">
        <v>118</v>
      </c>
      <c r="C212" s="104"/>
      <c r="D212" s="108"/>
      <c r="E212" s="158"/>
      <c r="F212" s="124"/>
      <c r="G212" s="7"/>
    </row>
    <row r="213" spans="1:7" s="11" customFormat="1" ht="13.2" x14ac:dyDescent="0.25">
      <c r="A213" s="27" t="s">
        <v>1067</v>
      </c>
      <c r="B213" s="28" t="s">
        <v>593</v>
      </c>
      <c r="C213" s="101"/>
      <c r="D213" s="17"/>
      <c r="E213" s="13"/>
      <c r="F213" s="43"/>
      <c r="G213" s="7"/>
    </row>
    <row r="214" spans="1:7" s="6" customFormat="1" ht="13.2" x14ac:dyDescent="0.25">
      <c r="A214" s="119" t="s">
        <v>50</v>
      </c>
      <c r="B214" s="120" t="s">
        <v>1189</v>
      </c>
      <c r="C214" s="101" t="s">
        <v>1302</v>
      </c>
      <c r="D214" s="19">
        <v>0</v>
      </c>
      <c r="E214" s="13">
        <v>0</v>
      </c>
      <c r="F214" s="43">
        <f t="shared" si="3"/>
        <v>0</v>
      </c>
      <c r="G214" s="7"/>
    </row>
    <row r="215" spans="1:7" s="12" customFormat="1" ht="13.2" x14ac:dyDescent="0.25">
      <c r="A215" s="119" t="s">
        <v>51</v>
      </c>
      <c r="B215" s="120" t="s">
        <v>558</v>
      </c>
      <c r="C215" s="101" t="s">
        <v>1155</v>
      </c>
      <c r="D215" s="19">
        <v>0</v>
      </c>
      <c r="E215" s="13">
        <v>0</v>
      </c>
      <c r="F215" s="43">
        <f t="shared" ref="F215:F264" si="4">D215*E215</f>
        <v>0</v>
      </c>
      <c r="G215" s="7"/>
    </row>
    <row r="216" spans="1:7" s="12" customFormat="1" ht="13.2" x14ac:dyDescent="0.25">
      <c r="A216" s="27" t="s">
        <v>67</v>
      </c>
      <c r="B216" s="28" t="s">
        <v>594</v>
      </c>
      <c r="C216" s="101"/>
      <c r="D216" s="17"/>
      <c r="E216" s="13"/>
      <c r="F216" s="43"/>
      <c r="G216" s="7"/>
    </row>
    <row r="217" spans="1:7" s="6" customFormat="1" ht="13.2" x14ac:dyDescent="0.25">
      <c r="A217" s="119" t="s">
        <v>55</v>
      </c>
      <c r="B217" s="120" t="s">
        <v>559</v>
      </c>
      <c r="C217" s="101" t="s">
        <v>268</v>
      </c>
      <c r="D217" s="19">
        <v>0</v>
      </c>
      <c r="E217" s="13">
        <v>0</v>
      </c>
      <c r="F217" s="43">
        <f t="shared" si="4"/>
        <v>0</v>
      </c>
      <c r="G217" s="7"/>
    </row>
    <row r="218" spans="1:7" s="6" customFormat="1" ht="13.2" x14ac:dyDescent="0.25">
      <c r="A218" s="119" t="s">
        <v>56</v>
      </c>
      <c r="B218" s="120" t="s">
        <v>1190</v>
      </c>
      <c r="C218" s="101" t="s">
        <v>505</v>
      </c>
      <c r="D218" s="19">
        <v>0</v>
      </c>
      <c r="E218" s="13">
        <v>0</v>
      </c>
      <c r="F218" s="43">
        <f t="shared" si="4"/>
        <v>0</v>
      </c>
      <c r="G218" s="7"/>
    </row>
    <row r="219" spans="1:7" s="6" customFormat="1" ht="13.2" x14ac:dyDescent="0.25">
      <c r="A219" s="27" t="s">
        <v>58</v>
      </c>
      <c r="B219" s="28" t="s">
        <v>1191</v>
      </c>
      <c r="C219" s="101"/>
      <c r="D219" s="17"/>
      <c r="E219" s="13"/>
      <c r="F219" s="43"/>
      <c r="G219" s="7"/>
    </row>
    <row r="220" spans="1:7" s="6" customFormat="1" ht="13.5" customHeight="1" x14ac:dyDescent="0.25">
      <c r="A220" s="119" t="s">
        <v>59</v>
      </c>
      <c r="B220" s="120" t="s">
        <v>1996</v>
      </c>
      <c r="C220" s="101" t="s">
        <v>1302</v>
      </c>
      <c r="D220" s="19">
        <v>0</v>
      </c>
      <c r="E220" s="13">
        <v>0</v>
      </c>
      <c r="F220" s="43">
        <f t="shared" si="4"/>
        <v>0</v>
      </c>
      <c r="G220" s="7"/>
    </row>
    <row r="221" spans="1:7" s="10" customFormat="1" ht="13.2" x14ac:dyDescent="0.25">
      <c r="A221" s="119" t="s">
        <v>60</v>
      </c>
      <c r="B221" s="120" t="s">
        <v>1997</v>
      </c>
      <c r="C221" s="101" t="s">
        <v>1302</v>
      </c>
      <c r="D221" s="150">
        <v>0</v>
      </c>
      <c r="E221" s="13">
        <v>0</v>
      </c>
      <c r="F221" s="43">
        <f t="shared" si="4"/>
        <v>0</v>
      </c>
      <c r="G221" s="7"/>
    </row>
    <row r="222" spans="1:7" s="6" customFormat="1" ht="13.2" x14ac:dyDescent="0.25">
      <c r="A222" s="119" t="s">
        <v>61</v>
      </c>
      <c r="B222" s="120" t="s">
        <v>560</v>
      </c>
      <c r="C222" s="101" t="s">
        <v>1302</v>
      </c>
      <c r="D222" s="150">
        <v>0</v>
      </c>
      <c r="E222" s="13">
        <v>0</v>
      </c>
      <c r="F222" s="43">
        <f t="shared" si="4"/>
        <v>0</v>
      </c>
      <c r="G222" s="7"/>
    </row>
    <row r="223" spans="1:7" s="10" customFormat="1" ht="13.2" x14ac:dyDescent="0.25">
      <c r="A223" s="27" t="s">
        <v>68</v>
      </c>
      <c r="B223" s="28" t="s">
        <v>595</v>
      </c>
      <c r="C223" s="101"/>
      <c r="D223" s="17"/>
      <c r="E223" s="13"/>
      <c r="F223" s="43"/>
      <c r="G223" s="7"/>
    </row>
    <row r="224" spans="1:7" s="6" customFormat="1" ht="13.2" x14ac:dyDescent="0.25">
      <c r="A224" s="119" t="s">
        <v>62</v>
      </c>
      <c r="B224" s="120" t="s">
        <v>415</v>
      </c>
      <c r="C224" s="101" t="s">
        <v>268</v>
      </c>
      <c r="D224" s="19">
        <v>0</v>
      </c>
      <c r="E224" s="13">
        <v>0</v>
      </c>
      <c r="F224" s="43">
        <f t="shared" si="4"/>
        <v>0</v>
      </c>
      <c r="G224" s="7"/>
    </row>
    <row r="225" spans="1:7" s="6" customFormat="1" ht="13.2" x14ac:dyDescent="0.25">
      <c r="A225" s="119" t="s">
        <v>63</v>
      </c>
      <c r="B225" s="120" t="s">
        <v>561</v>
      </c>
      <c r="C225" s="101" t="s">
        <v>268</v>
      </c>
      <c r="D225" s="150">
        <v>0</v>
      </c>
      <c r="E225" s="13">
        <v>0</v>
      </c>
      <c r="F225" s="43">
        <f t="shared" si="4"/>
        <v>0</v>
      </c>
      <c r="G225" s="7"/>
    </row>
    <row r="226" spans="1:7" s="6" customFormat="1" ht="13.2" x14ac:dyDescent="0.25">
      <c r="A226" s="27" t="s">
        <v>69</v>
      </c>
      <c r="B226" s="28" t="s">
        <v>1841</v>
      </c>
      <c r="C226" s="101" t="s">
        <v>268</v>
      </c>
      <c r="D226" s="150">
        <v>0</v>
      </c>
      <c r="E226" s="13">
        <v>0</v>
      </c>
      <c r="F226" s="43">
        <f t="shared" si="4"/>
        <v>0</v>
      </c>
      <c r="G226" s="7"/>
    </row>
    <row r="227" spans="1:7" s="6" customFormat="1" ht="13.2" x14ac:dyDescent="0.25">
      <c r="A227" s="27" t="s">
        <v>562</v>
      </c>
      <c r="B227" s="28" t="s">
        <v>1192</v>
      </c>
      <c r="C227" s="101" t="s">
        <v>268</v>
      </c>
      <c r="D227" s="150">
        <v>0</v>
      </c>
      <c r="E227" s="13">
        <v>0</v>
      </c>
      <c r="F227" s="43">
        <f t="shared" si="4"/>
        <v>0</v>
      </c>
      <c r="G227" s="7"/>
    </row>
    <row r="228" spans="1:7" s="6" customFormat="1" ht="13.2" x14ac:dyDescent="0.25">
      <c r="A228" s="27" t="s">
        <v>1068</v>
      </c>
      <c r="B228" s="28" t="s">
        <v>226</v>
      </c>
      <c r="C228" s="101"/>
      <c r="D228" s="17"/>
      <c r="E228" s="13"/>
      <c r="F228" s="43"/>
      <c r="G228" s="7"/>
    </row>
    <row r="229" spans="1:7" s="6" customFormat="1" ht="13.2" x14ac:dyDescent="0.25">
      <c r="A229" s="119" t="s">
        <v>563</v>
      </c>
      <c r="B229" s="120" t="s">
        <v>1156</v>
      </c>
      <c r="C229" s="101" t="s">
        <v>204</v>
      </c>
      <c r="D229" s="19">
        <v>0</v>
      </c>
      <c r="E229" s="13">
        <v>0</v>
      </c>
      <c r="F229" s="43">
        <f t="shared" si="4"/>
        <v>0</v>
      </c>
      <c r="G229" s="7"/>
    </row>
    <row r="230" spans="1:7" s="10" customFormat="1" ht="13.2" x14ac:dyDescent="0.25">
      <c r="A230" s="119" t="s">
        <v>564</v>
      </c>
      <c r="B230" s="120" t="s">
        <v>1157</v>
      </c>
      <c r="C230" s="101" t="s">
        <v>204</v>
      </c>
      <c r="D230" s="19">
        <v>0</v>
      </c>
      <c r="E230" s="13">
        <v>0</v>
      </c>
      <c r="F230" s="43">
        <f t="shared" si="4"/>
        <v>0</v>
      </c>
      <c r="G230" s="7"/>
    </row>
    <row r="231" spans="1:7" s="10" customFormat="1" ht="13.2" x14ac:dyDescent="0.25">
      <c r="A231" s="27" t="s">
        <v>1069</v>
      </c>
      <c r="B231" s="28" t="s">
        <v>596</v>
      </c>
      <c r="C231" s="101"/>
      <c r="D231" s="17"/>
      <c r="E231" s="13"/>
      <c r="F231" s="43"/>
      <c r="G231" s="7"/>
    </row>
    <row r="232" spans="1:7" s="10" customFormat="1" ht="13.2" x14ac:dyDescent="0.25">
      <c r="A232" s="119" t="s">
        <v>566</v>
      </c>
      <c r="B232" s="120" t="s">
        <v>344</v>
      </c>
      <c r="C232" s="101" t="s">
        <v>268</v>
      </c>
      <c r="D232" s="150">
        <v>0</v>
      </c>
      <c r="E232" s="13">
        <v>0</v>
      </c>
      <c r="F232" s="43">
        <f t="shared" si="4"/>
        <v>0</v>
      </c>
      <c r="G232" s="7"/>
    </row>
    <row r="233" spans="1:7" s="12" customFormat="1" ht="13.2" x14ac:dyDescent="0.25">
      <c r="A233" s="119" t="s">
        <v>567</v>
      </c>
      <c r="B233" s="120" t="s">
        <v>1394</v>
      </c>
      <c r="C233" s="101"/>
      <c r="D233" s="17"/>
      <c r="E233" s="13"/>
      <c r="F233" s="43"/>
      <c r="G233" s="7"/>
    </row>
    <row r="234" spans="1:7" s="12" customFormat="1" ht="13.2" x14ac:dyDescent="0.25">
      <c r="A234" s="119" t="s">
        <v>2575</v>
      </c>
      <c r="B234" s="120" t="s">
        <v>2017</v>
      </c>
      <c r="C234" s="101" t="s">
        <v>204</v>
      </c>
      <c r="D234" s="19">
        <v>0</v>
      </c>
      <c r="E234" s="13">
        <v>0</v>
      </c>
      <c r="F234" s="43">
        <f t="shared" si="4"/>
        <v>0</v>
      </c>
      <c r="G234" s="7"/>
    </row>
    <row r="235" spans="1:7" s="12" customFormat="1" ht="13.2" x14ac:dyDescent="0.25">
      <c r="A235" s="119" t="s">
        <v>2576</v>
      </c>
      <c r="B235" s="120" t="s">
        <v>1396</v>
      </c>
      <c r="C235" s="101" t="s">
        <v>204</v>
      </c>
      <c r="D235" s="150">
        <v>0</v>
      </c>
      <c r="E235" s="13">
        <v>0</v>
      </c>
      <c r="F235" s="43">
        <f t="shared" si="4"/>
        <v>0</v>
      </c>
      <c r="G235" s="7"/>
    </row>
    <row r="236" spans="1:7" s="12" customFormat="1" ht="13.2" x14ac:dyDescent="0.25">
      <c r="A236" s="119" t="s">
        <v>2577</v>
      </c>
      <c r="B236" s="120" t="s">
        <v>1397</v>
      </c>
      <c r="C236" s="101" t="s">
        <v>204</v>
      </c>
      <c r="D236" s="150">
        <v>0</v>
      </c>
      <c r="E236" s="13">
        <v>0</v>
      </c>
      <c r="F236" s="43">
        <f t="shared" si="4"/>
        <v>0</v>
      </c>
      <c r="G236" s="7"/>
    </row>
    <row r="237" spans="1:7" s="12" customFormat="1" ht="13.2" x14ac:dyDescent="0.25">
      <c r="A237" s="119" t="s">
        <v>2578</v>
      </c>
      <c r="B237" s="120" t="s">
        <v>1395</v>
      </c>
      <c r="C237" s="101"/>
      <c r="D237" s="17"/>
      <c r="E237" s="13"/>
      <c r="F237" s="43"/>
      <c r="G237" s="7"/>
    </row>
    <row r="238" spans="1:7" s="12" customFormat="1" ht="13.2" x14ac:dyDescent="0.25">
      <c r="A238" s="119" t="s">
        <v>2579</v>
      </c>
      <c r="B238" s="120" t="s">
        <v>2017</v>
      </c>
      <c r="C238" s="101" t="s">
        <v>204</v>
      </c>
      <c r="D238" s="19">
        <v>0</v>
      </c>
      <c r="E238" s="13">
        <v>0</v>
      </c>
      <c r="F238" s="43">
        <f t="shared" si="4"/>
        <v>0</v>
      </c>
      <c r="G238" s="7"/>
    </row>
    <row r="239" spans="1:7" s="12" customFormat="1" ht="13.2" x14ac:dyDescent="0.25">
      <c r="A239" s="119" t="s">
        <v>2580</v>
      </c>
      <c r="B239" s="120" t="s">
        <v>1396</v>
      </c>
      <c r="C239" s="101" t="s">
        <v>204</v>
      </c>
      <c r="D239" s="150">
        <v>0</v>
      </c>
      <c r="E239" s="13">
        <v>0</v>
      </c>
      <c r="F239" s="43">
        <f t="shared" si="4"/>
        <v>0</v>
      </c>
      <c r="G239" s="7"/>
    </row>
    <row r="240" spans="1:7" s="6" customFormat="1" ht="13.2" x14ac:dyDescent="0.25">
      <c r="A240" s="119" t="s">
        <v>2581</v>
      </c>
      <c r="B240" s="120" t="s">
        <v>1397</v>
      </c>
      <c r="C240" s="101" t="s">
        <v>204</v>
      </c>
      <c r="D240" s="150">
        <v>0</v>
      </c>
      <c r="E240" s="13">
        <v>0</v>
      </c>
      <c r="F240" s="43">
        <f t="shared" si="4"/>
        <v>0</v>
      </c>
      <c r="G240" s="7"/>
    </row>
    <row r="241" spans="1:7" s="12" customFormat="1" ht="13.2" x14ac:dyDescent="0.25">
      <c r="A241" s="119" t="s">
        <v>2582</v>
      </c>
      <c r="B241" s="120" t="s">
        <v>2024</v>
      </c>
      <c r="C241" s="101" t="s">
        <v>268</v>
      </c>
      <c r="D241" s="19">
        <v>0</v>
      </c>
      <c r="E241" s="13">
        <v>0</v>
      </c>
      <c r="F241" s="43">
        <f t="shared" si="4"/>
        <v>0</v>
      </c>
      <c r="G241" s="7"/>
    </row>
    <row r="242" spans="1:7" s="12" customFormat="1" ht="13.2" x14ac:dyDescent="0.25">
      <c r="A242" s="119" t="s">
        <v>2583</v>
      </c>
      <c r="B242" s="120" t="s">
        <v>2777</v>
      </c>
      <c r="C242" s="101" t="s">
        <v>268</v>
      </c>
      <c r="D242" s="150">
        <v>0</v>
      </c>
      <c r="E242" s="13">
        <v>0</v>
      </c>
      <c r="F242" s="43">
        <f t="shared" si="4"/>
        <v>0</v>
      </c>
      <c r="G242" s="7"/>
    </row>
    <row r="243" spans="1:7" s="12" customFormat="1" ht="13.2" x14ac:dyDescent="0.25">
      <c r="A243" s="119" t="s">
        <v>2584</v>
      </c>
      <c r="B243" s="120" t="s">
        <v>1319</v>
      </c>
      <c r="C243" s="101" t="s">
        <v>1302</v>
      </c>
      <c r="D243" s="150">
        <v>0</v>
      </c>
      <c r="E243" s="13">
        <v>0</v>
      </c>
      <c r="F243" s="43">
        <f t="shared" si="4"/>
        <v>0</v>
      </c>
      <c r="G243" s="7"/>
    </row>
    <row r="244" spans="1:7" s="12" customFormat="1" ht="13.2" x14ac:dyDescent="0.25">
      <c r="A244" s="119" t="s">
        <v>2585</v>
      </c>
      <c r="B244" s="120" t="s">
        <v>1636</v>
      </c>
      <c r="C244" s="101"/>
      <c r="D244" s="17"/>
      <c r="E244" s="13"/>
      <c r="F244" s="43"/>
      <c r="G244" s="7"/>
    </row>
    <row r="245" spans="1:7" s="12" customFormat="1" ht="13.2" x14ac:dyDescent="0.25">
      <c r="A245" s="119" t="s">
        <v>2586</v>
      </c>
      <c r="B245" s="120" t="s">
        <v>1998</v>
      </c>
      <c r="C245" s="101" t="s">
        <v>315</v>
      </c>
      <c r="D245" s="150">
        <v>0</v>
      </c>
      <c r="E245" s="13">
        <v>0</v>
      </c>
      <c r="F245" s="43">
        <f t="shared" si="4"/>
        <v>0</v>
      </c>
      <c r="G245" s="7"/>
    </row>
    <row r="246" spans="1:7" s="12" customFormat="1" ht="13.2" x14ac:dyDescent="0.25">
      <c r="A246" s="119" t="s">
        <v>2587</v>
      </c>
      <c r="B246" s="120" t="s">
        <v>1634</v>
      </c>
      <c r="C246" s="101" t="s">
        <v>315</v>
      </c>
      <c r="D246" s="19">
        <v>0</v>
      </c>
      <c r="E246" s="13">
        <v>0</v>
      </c>
      <c r="F246" s="43">
        <f t="shared" si="4"/>
        <v>0</v>
      </c>
      <c r="G246" s="7"/>
    </row>
    <row r="247" spans="1:7" s="12" customFormat="1" ht="13.2" x14ac:dyDescent="0.25">
      <c r="A247" s="119" t="s">
        <v>2588</v>
      </c>
      <c r="B247" s="120" t="s">
        <v>1662</v>
      </c>
      <c r="C247" s="101" t="s">
        <v>315</v>
      </c>
      <c r="D247" s="150">
        <v>0</v>
      </c>
      <c r="E247" s="13">
        <v>0</v>
      </c>
      <c r="F247" s="43">
        <f t="shared" si="4"/>
        <v>0</v>
      </c>
      <c r="G247" s="7"/>
    </row>
    <row r="248" spans="1:7" s="12" customFormat="1" ht="13.2" x14ac:dyDescent="0.25">
      <c r="A248" s="119" t="s">
        <v>2589</v>
      </c>
      <c r="B248" s="120" t="s">
        <v>1635</v>
      </c>
      <c r="C248" s="101" t="s">
        <v>315</v>
      </c>
      <c r="D248" s="150">
        <v>0</v>
      </c>
      <c r="E248" s="13">
        <v>0</v>
      </c>
      <c r="F248" s="43">
        <f t="shared" si="4"/>
        <v>0</v>
      </c>
      <c r="G248" s="7"/>
    </row>
    <row r="249" spans="1:7" s="12" customFormat="1" ht="13.2" x14ac:dyDescent="0.25">
      <c r="A249" s="119" t="s">
        <v>2590</v>
      </c>
      <c r="B249" s="120" t="s">
        <v>1638</v>
      </c>
      <c r="C249" s="101" t="s">
        <v>315</v>
      </c>
      <c r="D249" s="150">
        <v>0</v>
      </c>
      <c r="E249" s="13">
        <v>0</v>
      </c>
      <c r="F249" s="43">
        <f t="shared" si="4"/>
        <v>0</v>
      </c>
      <c r="G249" s="7"/>
    </row>
    <row r="250" spans="1:7" s="12" customFormat="1" ht="13.2" x14ac:dyDescent="0.25">
      <c r="A250" s="119" t="s">
        <v>2591</v>
      </c>
      <c r="B250" s="120" t="s">
        <v>1639</v>
      </c>
      <c r="C250" s="101" t="s">
        <v>315</v>
      </c>
      <c r="D250" s="150">
        <v>0</v>
      </c>
      <c r="E250" s="13">
        <v>0</v>
      </c>
      <c r="F250" s="43">
        <f t="shared" si="4"/>
        <v>0</v>
      </c>
      <c r="G250" s="7"/>
    </row>
    <row r="251" spans="1:7" s="12" customFormat="1" ht="13.2" x14ac:dyDescent="0.25">
      <c r="A251" s="119" t="s">
        <v>2592</v>
      </c>
      <c r="B251" s="120" t="s">
        <v>1398</v>
      </c>
      <c r="C251" s="101" t="s">
        <v>315</v>
      </c>
      <c r="D251" s="150">
        <v>0</v>
      </c>
      <c r="E251" s="13">
        <v>0</v>
      </c>
      <c r="F251" s="43">
        <f t="shared" si="4"/>
        <v>0</v>
      </c>
      <c r="G251" s="7"/>
    </row>
    <row r="252" spans="1:7" s="12" customFormat="1" ht="13.2" x14ac:dyDescent="0.25">
      <c r="A252" s="119" t="s">
        <v>2593</v>
      </c>
      <c r="B252" s="120" t="s">
        <v>1158</v>
      </c>
      <c r="C252" s="101" t="s">
        <v>315</v>
      </c>
      <c r="D252" s="19">
        <v>0</v>
      </c>
      <c r="E252" s="13">
        <v>0</v>
      </c>
      <c r="F252" s="43">
        <f t="shared" si="4"/>
        <v>0</v>
      </c>
      <c r="G252" s="7"/>
    </row>
    <row r="253" spans="1:7" s="12" customFormat="1" ht="13.2" x14ac:dyDescent="0.25">
      <c r="A253" s="119" t="s">
        <v>2594</v>
      </c>
      <c r="B253" s="120" t="s">
        <v>1637</v>
      </c>
      <c r="C253" s="101"/>
      <c r="D253" s="17"/>
      <c r="E253" s="13"/>
      <c r="F253" s="43"/>
      <c r="G253" s="7"/>
    </row>
    <row r="254" spans="1:7" s="4" customFormat="1" ht="13.2" x14ac:dyDescent="0.25">
      <c r="A254" s="119" t="s">
        <v>2595</v>
      </c>
      <c r="B254" s="120" t="s">
        <v>1663</v>
      </c>
      <c r="C254" s="101" t="s">
        <v>315</v>
      </c>
      <c r="D254" s="150">
        <v>0</v>
      </c>
      <c r="E254" s="13">
        <v>0</v>
      </c>
      <c r="F254" s="43">
        <f t="shared" si="4"/>
        <v>0</v>
      </c>
      <c r="G254" s="7"/>
    </row>
    <row r="255" spans="1:7" s="4" customFormat="1" ht="13.2" x14ac:dyDescent="0.25">
      <c r="A255" s="119" t="s">
        <v>2596</v>
      </c>
      <c r="B255" s="120" t="s">
        <v>1399</v>
      </c>
      <c r="C255" s="101" t="s">
        <v>315</v>
      </c>
      <c r="D255" s="19">
        <v>0</v>
      </c>
      <c r="E255" s="13">
        <v>0</v>
      </c>
      <c r="F255" s="43">
        <f t="shared" si="4"/>
        <v>0</v>
      </c>
      <c r="G255" s="7"/>
    </row>
    <row r="256" spans="1:7" s="4" customFormat="1" ht="13.2" x14ac:dyDescent="0.25">
      <c r="A256" s="119" t="s">
        <v>2597</v>
      </c>
      <c r="B256" s="120" t="s">
        <v>1401</v>
      </c>
      <c r="C256" s="101" t="s">
        <v>315</v>
      </c>
      <c r="D256" s="19">
        <v>0</v>
      </c>
      <c r="E256" s="13">
        <v>0</v>
      </c>
      <c r="F256" s="43">
        <f t="shared" si="4"/>
        <v>0</v>
      </c>
      <c r="G256" s="7"/>
    </row>
    <row r="257" spans="1:7" s="4" customFormat="1" ht="13.2" x14ac:dyDescent="0.25">
      <c r="A257" s="119" t="s">
        <v>2598</v>
      </c>
      <c r="B257" s="120" t="s">
        <v>1400</v>
      </c>
      <c r="C257" s="101" t="s">
        <v>315</v>
      </c>
      <c r="D257" s="150">
        <v>0</v>
      </c>
      <c r="E257" s="13">
        <v>0</v>
      </c>
      <c r="F257" s="43">
        <f t="shared" si="4"/>
        <v>0</v>
      </c>
      <c r="G257" s="7"/>
    </row>
    <row r="258" spans="1:7" s="12" customFormat="1" ht="13.2" x14ac:dyDescent="0.25">
      <c r="A258" s="119" t="s">
        <v>2599</v>
      </c>
      <c r="B258" s="120" t="s">
        <v>1158</v>
      </c>
      <c r="C258" s="101" t="s">
        <v>315</v>
      </c>
      <c r="D258" s="150">
        <v>0</v>
      </c>
      <c r="E258" s="13">
        <v>0</v>
      </c>
      <c r="F258" s="43">
        <f t="shared" si="4"/>
        <v>0</v>
      </c>
      <c r="G258" s="7"/>
    </row>
    <row r="259" spans="1:7" s="12" customFormat="1" ht="13.2" x14ac:dyDescent="0.25">
      <c r="A259" s="119" t="s">
        <v>2600</v>
      </c>
      <c r="B259" s="120" t="s">
        <v>1162</v>
      </c>
      <c r="C259" s="101"/>
      <c r="D259" s="17"/>
      <c r="E259" s="13"/>
      <c r="F259" s="43"/>
      <c r="G259" s="7"/>
    </row>
    <row r="260" spans="1:7" s="12" customFormat="1" ht="13.2" x14ac:dyDescent="0.25">
      <c r="A260" s="119" t="s">
        <v>3133</v>
      </c>
      <c r="B260" s="120" t="s">
        <v>1159</v>
      </c>
      <c r="C260" s="101" t="s">
        <v>268</v>
      </c>
      <c r="D260" s="150">
        <v>0</v>
      </c>
      <c r="E260" s="13">
        <v>0</v>
      </c>
      <c r="F260" s="43">
        <f t="shared" si="4"/>
        <v>0</v>
      </c>
      <c r="G260" s="7"/>
    </row>
    <row r="261" spans="1:7" s="12" customFormat="1" ht="13.2" x14ac:dyDescent="0.25">
      <c r="A261" s="119" t="s">
        <v>3134</v>
      </c>
      <c r="B261" s="120" t="s">
        <v>1160</v>
      </c>
      <c r="C261" s="101" t="s">
        <v>268</v>
      </c>
      <c r="D261" s="19">
        <v>0</v>
      </c>
      <c r="E261" s="13">
        <v>0</v>
      </c>
      <c r="F261" s="43">
        <f t="shared" si="4"/>
        <v>0</v>
      </c>
      <c r="G261" s="7"/>
    </row>
    <row r="262" spans="1:7" s="12" customFormat="1" ht="13.2" x14ac:dyDescent="0.25">
      <c r="A262" s="119" t="s">
        <v>3135</v>
      </c>
      <c r="B262" s="120" t="s">
        <v>1161</v>
      </c>
      <c r="C262" s="101" t="s">
        <v>268</v>
      </c>
      <c r="D262" s="150">
        <v>0</v>
      </c>
      <c r="E262" s="13">
        <v>0</v>
      </c>
      <c r="F262" s="43">
        <f t="shared" si="4"/>
        <v>0</v>
      </c>
      <c r="G262" s="7"/>
    </row>
    <row r="263" spans="1:7" s="12" customFormat="1" ht="13.2" x14ac:dyDescent="0.25">
      <c r="A263" s="119" t="s">
        <v>2601</v>
      </c>
      <c r="B263" s="120" t="s">
        <v>1999</v>
      </c>
      <c r="C263" s="101" t="s">
        <v>268</v>
      </c>
      <c r="D263" s="19">
        <v>0</v>
      </c>
      <c r="E263" s="13">
        <v>0</v>
      </c>
      <c r="F263" s="43">
        <f t="shared" si="4"/>
        <v>0</v>
      </c>
      <c r="G263" s="7"/>
    </row>
    <row r="264" spans="1:7" s="12" customFormat="1" ht="13.2" x14ac:dyDescent="0.25">
      <c r="A264" s="119" t="s">
        <v>2602</v>
      </c>
      <c r="B264" s="120" t="s">
        <v>2000</v>
      </c>
      <c r="C264" s="101" t="s">
        <v>268</v>
      </c>
      <c r="D264" s="150">
        <v>0</v>
      </c>
      <c r="E264" s="13">
        <v>0</v>
      </c>
      <c r="F264" s="43">
        <f t="shared" si="4"/>
        <v>0</v>
      </c>
      <c r="G264" s="7"/>
    </row>
    <row r="265" spans="1:7" s="12" customFormat="1" ht="13.2" x14ac:dyDescent="0.25">
      <c r="A265" s="119" t="s">
        <v>2603</v>
      </c>
      <c r="B265" s="120" t="s">
        <v>1402</v>
      </c>
      <c r="C265" s="101" t="s">
        <v>505</v>
      </c>
      <c r="D265" s="150">
        <v>0</v>
      </c>
      <c r="E265" s="13">
        <v>0</v>
      </c>
      <c r="F265" s="43">
        <f>D265*E265</f>
        <v>0</v>
      </c>
      <c r="G265" s="7"/>
    </row>
    <row r="266" spans="1:7" s="12" customFormat="1" ht="13.2" x14ac:dyDescent="0.25">
      <c r="A266" s="119" t="s">
        <v>2604</v>
      </c>
      <c r="B266" s="120" t="s">
        <v>440</v>
      </c>
      <c r="C266" s="101" t="s">
        <v>1080</v>
      </c>
      <c r="D266" s="17"/>
      <c r="E266" s="13"/>
      <c r="F266" s="43"/>
      <c r="G266" s="7"/>
    </row>
    <row r="267" spans="1:7" s="4" customFormat="1" ht="13.2" x14ac:dyDescent="0.25">
      <c r="A267" s="119" t="s">
        <v>3136</v>
      </c>
      <c r="B267" s="120" t="s">
        <v>2001</v>
      </c>
      <c r="C267" s="101" t="s">
        <v>1302</v>
      </c>
      <c r="D267" s="150">
        <v>0</v>
      </c>
      <c r="E267" s="13">
        <v>0</v>
      </c>
      <c r="F267" s="43">
        <f>D267*E267</f>
        <v>0</v>
      </c>
      <c r="G267" s="7"/>
    </row>
    <row r="268" spans="1:7" s="9" customFormat="1" ht="13.2" x14ac:dyDescent="0.25">
      <c r="A268" s="119" t="s">
        <v>3137</v>
      </c>
      <c r="B268" s="120" t="s">
        <v>2002</v>
      </c>
      <c r="C268" s="101" t="s">
        <v>1302</v>
      </c>
      <c r="D268" s="150">
        <v>0</v>
      </c>
      <c r="E268" s="13">
        <v>0</v>
      </c>
      <c r="F268" s="43">
        <f>D268*E268</f>
        <v>0</v>
      </c>
      <c r="G268" s="7"/>
    </row>
    <row r="269" spans="1:7" s="9" customFormat="1" ht="13.2" x14ac:dyDescent="0.25">
      <c r="A269" s="119" t="s">
        <v>2605</v>
      </c>
      <c r="B269" s="120" t="s">
        <v>441</v>
      </c>
      <c r="C269" s="101" t="s">
        <v>1080</v>
      </c>
      <c r="D269" s="17"/>
      <c r="E269" s="13"/>
      <c r="F269" s="43"/>
      <c r="G269" s="7"/>
    </row>
    <row r="270" spans="1:7" s="9" customFormat="1" ht="13.2" x14ac:dyDescent="0.25">
      <c r="A270" s="119" t="s">
        <v>2606</v>
      </c>
      <c r="B270" s="120" t="s">
        <v>1299</v>
      </c>
      <c r="C270" s="101" t="s">
        <v>1302</v>
      </c>
      <c r="D270" s="150">
        <v>0</v>
      </c>
      <c r="E270" s="13">
        <v>0</v>
      </c>
      <c r="F270" s="43">
        <f>D270*E270</f>
        <v>0</v>
      </c>
      <c r="G270" s="7"/>
    </row>
    <row r="271" spans="1:7" s="9" customFormat="1" ht="13.2" x14ac:dyDescent="0.25">
      <c r="A271" s="119" t="s">
        <v>2607</v>
      </c>
      <c r="B271" s="120" t="s">
        <v>1300</v>
      </c>
      <c r="C271" s="101" t="s">
        <v>1302</v>
      </c>
      <c r="D271" s="19">
        <v>0</v>
      </c>
      <c r="E271" s="13">
        <v>0</v>
      </c>
      <c r="F271" s="43">
        <f t="shared" ref="F271:F286" si="5">D271*E271</f>
        <v>0</v>
      </c>
      <c r="G271" s="7"/>
    </row>
    <row r="272" spans="1:7" s="9" customFormat="1" ht="13.2" x14ac:dyDescent="0.25">
      <c r="A272" s="119" t="s">
        <v>3138</v>
      </c>
      <c r="B272" s="120" t="s">
        <v>1301</v>
      </c>
      <c r="C272" s="101" t="s">
        <v>1302</v>
      </c>
      <c r="D272" s="19">
        <v>0</v>
      </c>
      <c r="E272" s="13">
        <v>0</v>
      </c>
      <c r="F272" s="43">
        <f t="shared" si="5"/>
        <v>0</v>
      </c>
      <c r="G272" s="7"/>
    </row>
    <row r="273" spans="1:7" s="9" customFormat="1" ht="13.2" x14ac:dyDescent="0.25">
      <c r="A273" s="119" t="s">
        <v>3139</v>
      </c>
      <c r="B273" s="120" t="s">
        <v>1303</v>
      </c>
      <c r="C273" s="101" t="s">
        <v>1302</v>
      </c>
      <c r="D273" s="19">
        <v>0</v>
      </c>
      <c r="E273" s="13">
        <v>0</v>
      </c>
      <c r="F273" s="43">
        <f t="shared" si="5"/>
        <v>0</v>
      </c>
      <c r="G273" s="7"/>
    </row>
    <row r="274" spans="1:7" s="9" customFormat="1" ht="13.2" x14ac:dyDescent="0.25">
      <c r="A274" s="119" t="s">
        <v>3140</v>
      </c>
      <c r="B274" s="120" t="s">
        <v>1304</v>
      </c>
      <c r="C274" s="101" t="s">
        <v>1302</v>
      </c>
      <c r="D274" s="19">
        <v>0</v>
      </c>
      <c r="E274" s="13">
        <v>0</v>
      </c>
      <c r="F274" s="43">
        <f t="shared" si="5"/>
        <v>0</v>
      </c>
      <c r="G274" s="7"/>
    </row>
    <row r="275" spans="1:7" s="6" customFormat="1" ht="13.2" x14ac:dyDescent="0.25">
      <c r="A275" s="119" t="s">
        <v>3141</v>
      </c>
      <c r="B275" s="120" t="s">
        <v>1305</v>
      </c>
      <c r="C275" s="101" t="s">
        <v>1302</v>
      </c>
      <c r="D275" s="19">
        <v>0</v>
      </c>
      <c r="E275" s="13">
        <v>0</v>
      </c>
      <c r="F275" s="43">
        <f t="shared" si="5"/>
        <v>0</v>
      </c>
      <c r="G275" s="7"/>
    </row>
    <row r="276" spans="1:7" s="12" customFormat="1" ht="13.2" x14ac:dyDescent="0.25">
      <c r="A276" s="119" t="s">
        <v>3142</v>
      </c>
      <c r="B276" s="120" t="s">
        <v>1306</v>
      </c>
      <c r="C276" s="101" t="s">
        <v>1302</v>
      </c>
      <c r="D276" s="19">
        <v>0</v>
      </c>
      <c r="E276" s="13">
        <v>0</v>
      </c>
      <c r="F276" s="43">
        <f t="shared" si="5"/>
        <v>0</v>
      </c>
      <c r="G276" s="7"/>
    </row>
    <row r="277" spans="1:7" s="12" customFormat="1" ht="13.2" x14ac:dyDescent="0.25">
      <c r="A277" s="119" t="s">
        <v>3143</v>
      </c>
      <c r="B277" s="120" t="s">
        <v>1307</v>
      </c>
      <c r="C277" s="101" t="s">
        <v>1302</v>
      </c>
      <c r="D277" s="19">
        <v>0</v>
      </c>
      <c r="E277" s="13">
        <v>0</v>
      </c>
      <c r="F277" s="43">
        <f t="shared" si="5"/>
        <v>0</v>
      </c>
      <c r="G277" s="7"/>
    </row>
    <row r="278" spans="1:7" s="12" customFormat="1" ht="13.2" x14ac:dyDescent="0.25">
      <c r="A278" s="119" t="s">
        <v>3144</v>
      </c>
      <c r="B278" s="120" t="s">
        <v>1308</v>
      </c>
      <c r="C278" s="101" t="s">
        <v>1302</v>
      </c>
      <c r="D278" s="19">
        <v>0</v>
      </c>
      <c r="E278" s="13">
        <v>0</v>
      </c>
      <c r="F278" s="43">
        <f t="shared" si="5"/>
        <v>0</v>
      </c>
      <c r="G278" s="7"/>
    </row>
    <row r="279" spans="1:7" s="12" customFormat="1" ht="13.2" x14ac:dyDescent="0.25">
      <c r="A279" s="119" t="s">
        <v>3145</v>
      </c>
      <c r="B279" s="120" t="s">
        <v>1309</v>
      </c>
      <c r="C279" s="101" t="s">
        <v>1302</v>
      </c>
      <c r="D279" s="19">
        <v>0</v>
      </c>
      <c r="E279" s="13">
        <v>0</v>
      </c>
      <c r="F279" s="43">
        <f t="shared" si="5"/>
        <v>0</v>
      </c>
      <c r="G279" s="7"/>
    </row>
    <row r="280" spans="1:7" s="12" customFormat="1" ht="13.2" x14ac:dyDescent="0.25">
      <c r="A280" s="119" t="s">
        <v>3146</v>
      </c>
      <c r="B280" s="120" t="s">
        <v>1310</v>
      </c>
      <c r="C280" s="101" t="s">
        <v>1302</v>
      </c>
      <c r="D280" s="19">
        <v>0</v>
      </c>
      <c r="E280" s="13">
        <v>0</v>
      </c>
      <c r="F280" s="43">
        <f t="shared" si="5"/>
        <v>0</v>
      </c>
      <c r="G280" s="7"/>
    </row>
    <row r="281" spans="1:7" s="12" customFormat="1" ht="13.2" x14ac:dyDescent="0.25">
      <c r="A281" s="119" t="s">
        <v>3147</v>
      </c>
      <c r="B281" s="120" t="s">
        <v>1311</v>
      </c>
      <c r="C281" s="101" t="s">
        <v>1302</v>
      </c>
      <c r="D281" s="19">
        <v>0</v>
      </c>
      <c r="E281" s="13">
        <v>0</v>
      </c>
      <c r="F281" s="43">
        <f t="shared" si="5"/>
        <v>0</v>
      </c>
      <c r="G281" s="7"/>
    </row>
    <row r="282" spans="1:7" s="12" customFormat="1" ht="13.2" x14ac:dyDescent="0.25">
      <c r="A282" s="119" t="s">
        <v>3148</v>
      </c>
      <c r="B282" s="120" t="s">
        <v>1312</v>
      </c>
      <c r="C282" s="101" t="s">
        <v>1302</v>
      </c>
      <c r="D282" s="19">
        <v>0</v>
      </c>
      <c r="E282" s="13">
        <v>0</v>
      </c>
      <c r="F282" s="43">
        <f t="shared" si="5"/>
        <v>0</v>
      </c>
      <c r="G282" s="7"/>
    </row>
    <row r="283" spans="1:7" s="12" customFormat="1" ht="13.2" x14ac:dyDescent="0.25">
      <c r="A283" s="119" t="s">
        <v>3149</v>
      </c>
      <c r="B283" s="120" t="s">
        <v>1403</v>
      </c>
      <c r="C283" s="101" t="s">
        <v>1302</v>
      </c>
      <c r="D283" s="19">
        <v>0</v>
      </c>
      <c r="E283" s="13">
        <v>0</v>
      </c>
      <c r="F283" s="43">
        <f t="shared" si="5"/>
        <v>0</v>
      </c>
      <c r="G283" s="7"/>
    </row>
    <row r="284" spans="1:7" s="12" customFormat="1" ht="12" customHeight="1" x14ac:dyDescent="0.25">
      <c r="A284" s="119" t="s">
        <v>3150</v>
      </c>
      <c r="B284" s="120" t="s">
        <v>1404</v>
      </c>
      <c r="C284" s="101" t="s">
        <v>1302</v>
      </c>
      <c r="D284" s="19">
        <v>0</v>
      </c>
      <c r="E284" s="13">
        <v>0</v>
      </c>
      <c r="F284" s="43">
        <f t="shared" si="5"/>
        <v>0</v>
      </c>
      <c r="G284" s="7"/>
    </row>
    <row r="285" spans="1:7" s="4" customFormat="1" ht="13.2" x14ac:dyDescent="0.25">
      <c r="A285" s="119" t="s">
        <v>2608</v>
      </c>
      <c r="B285" s="120" t="s">
        <v>1313</v>
      </c>
      <c r="C285" s="101" t="s">
        <v>1302</v>
      </c>
      <c r="D285" s="19">
        <v>0</v>
      </c>
      <c r="E285" s="13">
        <v>0</v>
      </c>
      <c r="F285" s="43">
        <f t="shared" si="5"/>
        <v>0</v>
      </c>
      <c r="G285" s="7"/>
    </row>
    <row r="286" spans="1:7" s="4" customFormat="1" ht="13.2" x14ac:dyDescent="0.25">
      <c r="A286" s="119" t="s">
        <v>2609</v>
      </c>
      <c r="B286" s="120" t="s">
        <v>3</v>
      </c>
      <c r="C286" s="101" t="s">
        <v>1302</v>
      </c>
      <c r="D286" s="19">
        <v>0</v>
      </c>
      <c r="E286" s="13">
        <v>0</v>
      </c>
      <c r="F286" s="43">
        <f t="shared" si="5"/>
        <v>0</v>
      </c>
      <c r="G286" s="7"/>
    </row>
    <row r="287" spans="1:7" s="4" customFormat="1" ht="13.2" x14ac:dyDescent="0.25">
      <c r="A287" s="119" t="s">
        <v>2610</v>
      </c>
      <c r="B287" s="120" t="s">
        <v>4</v>
      </c>
      <c r="C287" s="101" t="s">
        <v>1302</v>
      </c>
      <c r="D287" s="19">
        <v>0</v>
      </c>
      <c r="E287" s="13">
        <v>0</v>
      </c>
      <c r="F287" s="43">
        <f>D287*E287</f>
        <v>0</v>
      </c>
      <c r="G287" s="7"/>
    </row>
    <row r="288" spans="1:7" s="4" customFormat="1" ht="13.2" x14ac:dyDescent="0.25">
      <c r="A288" s="119" t="s">
        <v>2611</v>
      </c>
      <c r="B288" s="120" t="s">
        <v>565</v>
      </c>
      <c r="C288" s="101"/>
      <c r="D288" s="17"/>
      <c r="E288" s="13"/>
      <c r="F288" s="43"/>
      <c r="G288" s="7"/>
    </row>
    <row r="289" spans="1:7" s="4" customFormat="1" ht="13.2" x14ac:dyDescent="0.25">
      <c r="A289" s="119" t="s">
        <v>3151</v>
      </c>
      <c r="B289" s="120" t="s">
        <v>1163</v>
      </c>
      <c r="C289" s="101" t="s">
        <v>268</v>
      </c>
      <c r="D289" s="150">
        <v>0</v>
      </c>
      <c r="E289" s="13">
        <v>0</v>
      </c>
      <c r="F289" s="43">
        <f>D289*E289</f>
        <v>0</v>
      </c>
      <c r="G289" s="7"/>
    </row>
    <row r="290" spans="1:7" s="4" customFormat="1" ht="13.2" x14ac:dyDescent="0.25">
      <c r="A290" s="119" t="s">
        <v>3152</v>
      </c>
      <c r="B290" s="120" t="s">
        <v>1164</v>
      </c>
      <c r="C290" s="101" t="s">
        <v>268</v>
      </c>
      <c r="D290" s="150">
        <v>0</v>
      </c>
      <c r="E290" s="13">
        <v>0</v>
      </c>
      <c r="F290" s="43">
        <f>D290*E290</f>
        <v>0</v>
      </c>
      <c r="G290" s="7"/>
    </row>
    <row r="291" spans="1:7" s="12" customFormat="1" ht="13.2" x14ac:dyDescent="0.25">
      <c r="A291" s="119" t="s">
        <v>3153</v>
      </c>
      <c r="B291" s="120" t="s">
        <v>1165</v>
      </c>
      <c r="C291" s="101" t="s">
        <v>268</v>
      </c>
      <c r="D291" s="150">
        <v>0</v>
      </c>
      <c r="E291" s="13">
        <v>0</v>
      </c>
      <c r="F291" s="43">
        <f>D291*E291</f>
        <v>0</v>
      </c>
      <c r="G291" s="7"/>
    </row>
    <row r="292" spans="1:7" s="4" customFormat="1" ht="13.2" x14ac:dyDescent="0.25">
      <c r="A292" s="34" t="s">
        <v>296</v>
      </c>
      <c r="B292" s="33" t="s">
        <v>1477</v>
      </c>
      <c r="C292" s="101"/>
      <c r="D292" s="17"/>
      <c r="E292" s="13"/>
      <c r="F292" s="43"/>
      <c r="G292" s="7"/>
    </row>
    <row r="293" spans="1:7" s="6" customFormat="1" ht="13.2" x14ac:dyDescent="0.25">
      <c r="A293" s="119" t="s">
        <v>297</v>
      </c>
      <c r="B293" s="120" t="s">
        <v>1478</v>
      </c>
      <c r="C293" s="101" t="s">
        <v>1459</v>
      </c>
      <c r="D293" s="150">
        <v>0</v>
      </c>
      <c r="E293" s="13">
        <v>0</v>
      </c>
      <c r="F293" s="43">
        <f t="shared" ref="F293:F299" si="6">D293*E293</f>
        <v>0</v>
      </c>
      <c r="G293" s="7"/>
    </row>
    <row r="294" spans="1:7" s="6" customFormat="1" ht="13.2" x14ac:dyDescent="0.25">
      <c r="A294" s="119" t="s">
        <v>298</v>
      </c>
      <c r="B294" s="120" t="s">
        <v>1479</v>
      </c>
      <c r="C294" s="101" t="s">
        <v>1459</v>
      </c>
      <c r="D294" s="150">
        <v>0</v>
      </c>
      <c r="E294" s="13">
        <v>0</v>
      </c>
      <c r="F294" s="43">
        <f t="shared" si="6"/>
        <v>0</v>
      </c>
      <c r="G294" s="7"/>
    </row>
    <row r="295" spans="1:7" s="6" customFormat="1" ht="13.2" x14ac:dyDescent="0.25">
      <c r="A295" s="119" t="s">
        <v>299</v>
      </c>
      <c r="B295" s="120" t="s">
        <v>1480</v>
      </c>
      <c r="C295" s="101" t="s">
        <v>1459</v>
      </c>
      <c r="D295" s="150">
        <v>0</v>
      </c>
      <c r="E295" s="13">
        <v>0</v>
      </c>
      <c r="F295" s="43">
        <f t="shared" si="6"/>
        <v>0</v>
      </c>
      <c r="G295" s="7"/>
    </row>
    <row r="296" spans="1:7" s="6" customFormat="1" ht="13.2" x14ac:dyDescent="0.25">
      <c r="A296" s="119" t="s">
        <v>300</v>
      </c>
      <c r="B296" s="120" t="s">
        <v>1481</v>
      </c>
      <c r="C296" s="101" t="s">
        <v>1459</v>
      </c>
      <c r="D296" s="150">
        <v>0</v>
      </c>
      <c r="E296" s="13">
        <v>0</v>
      </c>
      <c r="F296" s="43">
        <f t="shared" si="6"/>
        <v>0</v>
      </c>
      <c r="G296" s="7"/>
    </row>
    <row r="297" spans="1:7" s="6" customFormat="1" ht="13.2" x14ac:dyDescent="0.25">
      <c r="A297" s="119" t="s">
        <v>301</v>
      </c>
      <c r="B297" s="120" t="s">
        <v>1482</v>
      </c>
      <c r="C297" s="101" t="s">
        <v>1459</v>
      </c>
      <c r="D297" s="150">
        <v>0</v>
      </c>
      <c r="E297" s="13">
        <v>0</v>
      </c>
      <c r="F297" s="43">
        <f t="shared" si="6"/>
        <v>0</v>
      </c>
      <c r="G297" s="7"/>
    </row>
    <row r="298" spans="1:7" s="6" customFormat="1" ht="13.2" x14ac:dyDescent="0.25">
      <c r="A298" s="119" t="s">
        <v>302</v>
      </c>
      <c r="B298" s="120" t="s">
        <v>1483</v>
      </c>
      <c r="C298" s="101" t="s">
        <v>1459</v>
      </c>
      <c r="D298" s="150">
        <v>0</v>
      </c>
      <c r="E298" s="13">
        <v>0</v>
      </c>
      <c r="F298" s="43">
        <f t="shared" si="6"/>
        <v>0</v>
      </c>
      <c r="G298" s="7"/>
    </row>
    <row r="299" spans="1:7" s="6" customFormat="1" ht="13.2" x14ac:dyDescent="0.25">
      <c r="A299" s="34" t="s">
        <v>3184</v>
      </c>
      <c r="B299" s="120" t="s">
        <v>3154</v>
      </c>
      <c r="C299" s="101" t="s">
        <v>13</v>
      </c>
      <c r="D299" s="150">
        <v>0</v>
      </c>
      <c r="E299" s="13"/>
      <c r="F299" s="43">
        <f t="shared" si="6"/>
        <v>0</v>
      </c>
      <c r="G299" s="7"/>
    </row>
    <row r="300" spans="1:7" s="6" customFormat="1" ht="13.2" x14ac:dyDescent="0.25">
      <c r="A300" s="119"/>
      <c r="B300" s="120"/>
      <c r="C300" s="101"/>
      <c r="D300" s="17"/>
      <c r="E300" s="13"/>
      <c r="F300" s="43"/>
      <c r="G300" s="7"/>
    </row>
    <row r="301" spans="1:7" s="6" customFormat="1" ht="13.2" x14ac:dyDescent="0.25">
      <c r="A301" s="119"/>
      <c r="B301" s="152" t="s">
        <v>155</v>
      </c>
      <c r="C301" s="101"/>
      <c r="D301" s="17"/>
      <c r="E301" s="13"/>
      <c r="F301" s="43">
        <f>SUM(F213:F300)</f>
        <v>0</v>
      </c>
      <c r="G301" s="7"/>
    </row>
    <row r="302" spans="1:7" s="6" customFormat="1" ht="13.2" x14ac:dyDescent="0.25">
      <c r="A302" s="122"/>
      <c r="B302" s="123"/>
      <c r="C302" s="103"/>
      <c r="D302" s="18"/>
      <c r="E302" s="16"/>
      <c r="F302" s="44"/>
      <c r="G302" s="7"/>
    </row>
    <row r="303" spans="1:7" s="6" customFormat="1" ht="13.2" x14ac:dyDescent="0.25">
      <c r="A303" s="30" t="s">
        <v>569</v>
      </c>
      <c r="B303" s="31" t="s">
        <v>1452</v>
      </c>
      <c r="C303" s="104"/>
      <c r="D303" s="108"/>
      <c r="E303" s="158"/>
      <c r="F303" s="124"/>
      <c r="G303" s="7"/>
    </row>
    <row r="304" spans="1:7" s="6" customFormat="1" ht="13.2" x14ac:dyDescent="0.25">
      <c r="A304" s="27" t="s">
        <v>570</v>
      </c>
      <c r="B304" s="35" t="s">
        <v>1438</v>
      </c>
      <c r="C304" s="101" t="s">
        <v>13</v>
      </c>
      <c r="D304" s="150">
        <v>0</v>
      </c>
      <c r="E304" s="13">
        <v>0</v>
      </c>
      <c r="F304" s="43">
        <f t="shared" ref="F304:F351" si="7">D304*E304</f>
        <v>0</v>
      </c>
      <c r="G304" s="7"/>
    </row>
    <row r="305" spans="1:7" s="6" customFormat="1" ht="13.2" x14ac:dyDescent="0.25">
      <c r="A305" s="27" t="s">
        <v>571</v>
      </c>
      <c r="B305" s="35" t="s">
        <v>1730</v>
      </c>
      <c r="C305" s="101" t="s">
        <v>268</v>
      </c>
      <c r="D305" s="150">
        <v>0</v>
      </c>
      <c r="E305" s="13">
        <v>0</v>
      </c>
      <c r="F305" s="43">
        <f t="shared" si="7"/>
        <v>0</v>
      </c>
      <c r="G305" s="7"/>
    </row>
    <row r="306" spans="1:7" s="6" customFormat="1" ht="13.2" x14ac:dyDescent="0.25">
      <c r="A306" s="27" t="s">
        <v>572</v>
      </c>
      <c r="B306" s="28" t="s">
        <v>1731</v>
      </c>
      <c r="C306" s="101"/>
      <c r="D306" s="17"/>
      <c r="E306" s="13"/>
      <c r="F306" s="43"/>
      <c r="G306" s="7"/>
    </row>
    <row r="307" spans="1:7" s="6" customFormat="1" ht="13.2" x14ac:dyDescent="0.25">
      <c r="A307" s="119" t="s">
        <v>573</v>
      </c>
      <c r="B307" s="120" t="s">
        <v>1732</v>
      </c>
      <c r="C307" s="101" t="s">
        <v>204</v>
      </c>
      <c r="D307" s="19">
        <v>0</v>
      </c>
      <c r="E307" s="13">
        <v>0</v>
      </c>
      <c r="F307" s="43">
        <f t="shared" si="7"/>
        <v>0</v>
      </c>
      <c r="G307" s="7"/>
    </row>
    <row r="308" spans="1:7" s="12" customFormat="1" ht="13.2" x14ac:dyDescent="0.25">
      <c r="A308" s="119" t="s">
        <v>574</v>
      </c>
      <c r="B308" s="120" t="s">
        <v>1733</v>
      </c>
      <c r="C308" s="101" t="s">
        <v>204</v>
      </c>
      <c r="D308" s="19">
        <v>0</v>
      </c>
      <c r="E308" s="13">
        <v>0</v>
      </c>
      <c r="F308" s="43">
        <f t="shared" si="7"/>
        <v>0</v>
      </c>
      <c r="G308" s="7"/>
    </row>
    <row r="309" spans="1:7" s="12" customFormat="1" ht="26.4" x14ac:dyDescent="0.25">
      <c r="A309" s="27" t="s">
        <v>575</v>
      </c>
      <c r="B309" s="28" t="s">
        <v>507</v>
      </c>
      <c r="C309" s="101"/>
      <c r="D309" s="17"/>
      <c r="E309" s="13"/>
      <c r="F309" s="43"/>
      <c r="G309" s="7"/>
    </row>
    <row r="310" spans="1:7" s="12" customFormat="1" ht="13.2" x14ac:dyDescent="0.25">
      <c r="A310" s="119" t="s">
        <v>2349</v>
      </c>
      <c r="B310" s="120" t="s">
        <v>1439</v>
      </c>
      <c r="C310" s="101" t="s">
        <v>204</v>
      </c>
      <c r="D310" s="150">
        <v>0</v>
      </c>
      <c r="E310" s="13">
        <v>0</v>
      </c>
      <c r="F310" s="43">
        <f t="shared" si="7"/>
        <v>0</v>
      </c>
      <c r="G310" s="7"/>
    </row>
    <row r="311" spans="1:7" s="12" customFormat="1" ht="13.2" x14ac:dyDescent="0.25">
      <c r="A311" s="119" t="s">
        <v>2350</v>
      </c>
      <c r="B311" s="120" t="s">
        <v>2003</v>
      </c>
      <c r="C311" s="101" t="s">
        <v>204</v>
      </c>
      <c r="D311" s="19">
        <v>0</v>
      </c>
      <c r="E311" s="13">
        <v>0</v>
      </c>
      <c r="F311" s="43">
        <f t="shared" si="7"/>
        <v>0</v>
      </c>
      <c r="G311" s="7"/>
    </row>
    <row r="312" spans="1:7" s="12" customFormat="1" ht="13.2" x14ac:dyDescent="0.25">
      <c r="A312" s="119" t="s">
        <v>2351</v>
      </c>
      <c r="B312" s="120" t="s">
        <v>1440</v>
      </c>
      <c r="C312" s="101" t="s">
        <v>204</v>
      </c>
      <c r="D312" s="150">
        <v>0</v>
      </c>
      <c r="E312" s="13">
        <v>0</v>
      </c>
      <c r="F312" s="43">
        <f t="shared" si="7"/>
        <v>0</v>
      </c>
      <c r="G312" s="7"/>
    </row>
    <row r="313" spans="1:7" s="6" customFormat="1" ht="13.2" x14ac:dyDescent="0.25">
      <c r="A313" s="119" t="s">
        <v>2352</v>
      </c>
      <c r="B313" s="120" t="s">
        <v>1441</v>
      </c>
      <c r="C313" s="101" t="s">
        <v>204</v>
      </c>
      <c r="D313" s="150">
        <v>0</v>
      </c>
      <c r="E313" s="13">
        <v>0</v>
      </c>
      <c r="F313" s="43">
        <f t="shared" si="7"/>
        <v>0</v>
      </c>
      <c r="G313" s="7"/>
    </row>
    <row r="314" spans="1:7" s="12" customFormat="1" ht="13.2" x14ac:dyDescent="0.25">
      <c r="A314" s="119" t="s">
        <v>2353</v>
      </c>
      <c r="B314" s="120" t="s">
        <v>1442</v>
      </c>
      <c r="C314" s="101" t="s">
        <v>204</v>
      </c>
      <c r="D314" s="150">
        <v>0</v>
      </c>
      <c r="E314" s="13">
        <v>0</v>
      </c>
      <c r="F314" s="43">
        <f t="shared" si="7"/>
        <v>0</v>
      </c>
      <c r="G314" s="7"/>
    </row>
    <row r="315" spans="1:7" s="12" customFormat="1" ht="13.2" x14ac:dyDescent="0.25">
      <c r="A315" s="27" t="s">
        <v>576</v>
      </c>
      <c r="B315" s="28" t="s">
        <v>598</v>
      </c>
      <c r="C315" s="101"/>
      <c r="D315" s="17"/>
      <c r="E315" s="13"/>
      <c r="F315" s="43"/>
      <c r="G315" s="7"/>
    </row>
    <row r="316" spans="1:7" s="12" customFormat="1" ht="13.2" x14ac:dyDescent="0.25">
      <c r="A316" s="119" t="s">
        <v>2354</v>
      </c>
      <c r="B316" s="120" t="s">
        <v>1443</v>
      </c>
      <c r="C316" s="101" t="s">
        <v>268</v>
      </c>
      <c r="D316" s="150">
        <v>0</v>
      </c>
      <c r="E316" s="13">
        <v>0</v>
      </c>
      <c r="F316" s="43">
        <f t="shared" si="7"/>
        <v>0</v>
      </c>
      <c r="G316" s="7"/>
    </row>
    <row r="317" spans="1:7" s="12" customFormat="1" ht="13.2" x14ac:dyDescent="0.25">
      <c r="A317" s="119" t="s">
        <v>2355</v>
      </c>
      <c r="B317" s="120" t="s">
        <v>1444</v>
      </c>
      <c r="C317" s="101" t="s">
        <v>268</v>
      </c>
      <c r="D317" s="150">
        <v>0</v>
      </c>
      <c r="E317" s="13">
        <v>0</v>
      </c>
      <c r="F317" s="43">
        <f t="shared" si="7"/>
        <v>0</v>
      </c>
      <c r="G317" s="7"/>
    </row>
    <row r="318" spans="1:7" s="12" customFormat="1" ht="13.2" x14ac:dyDescent="0.25">
      <c r="A318" s="119" t="s">
        <v>2356</v>
      </c>
      <c r="B318" s="120" t="s">
        <v>1445</v>
      </c>
      <c r="C318" s="101" t="s">
        <v>268</v>
      </c>
      <c r="D318" s="150">
        <v>0</v>
      </c>
      <c r="E318" s="13">
        <v>0</v>
      </c>
      <c r="F318" s="43">
        <f t="shared" si="7"/>
        <v>0</v>
      </c>
      <c r="G318" s="7"/>
    </row>
    <row r="319" spans="1:7" s="6" customFormat="1" ht="13.2" x14ac:dyDescent="0.25">
      <c r="A319" s="119" t="s">
        <v>2357</v>
      </c>
      <c r="B319" s="120" t="s">
        <v>2544</v>
      </c>
      <c r="C319" s="101" t="s">
        <v>268</v>
      </c>
      <c r="D319" s="150">
        <v>0</v>
      </c>
      <c r="E319" s="13">
        <v>0</v>
      </c>
      <c r="F319" s="43">
        <f>D319*E319</f>
        <v>0</v>
      </c>
      <c r="G319" s="7"/>
    </row>
    <row r="320" spans="1:7" s="6" customFormat="1" ht="13.2" x14ac:dyDescent="0.25">
      <c r="A320" s="27" t="s">
        <v>577</v>
      </c>
      <c r="B320" s="35" t="s">
        <v>139</v>
      </c>
      <c r="C320" s="101"/>
      <c r="D320" s="17"/>
      <c r="E320" s="13"/>
      <c r="F320" s="43"/>
      <c r="G320" s="7"/>
    </row>
    <row r="321" spans="1:7" s="6" customFormat="1" ht="13.2" x14ac:dyDescent="0.25">
      <c r="A321" s="119" t="s">
        <v>1168</v>
      </c>
      <c r="B321" s="120" t="s">
        <v>1446</v>
      </c>
      <c r="C321" s="101" t="s">
        <v>204</v>
      </c>
      <c r="D321" s="150">
        <v>0</v>
      </c>
      <c r="E321" s="13">
        <v>0</v>
      </c>
      <c r="F321" s="43">
        <f t="shared" si="7"/>
        <v>0</v>
      </c>
      <c r="G321" s="7"/>
    </row>
    <row r="322" spans="1:7" s="6" customFormat="1" ht="13.2" x14ac:dyDescent="0.25">
      <c r="A322" s="119" t="s">
        <v>1169</v>
      </c>
      <c r="B322" s="120" t="s">
        <v>1664</v>
      </c>
      <c r="C322" s="101" t="s">
        <v>204</v>
      </c>
      <c r="D322" s="150">
        <v>0</v>
      </c>
      <c r="E322" s="13">
        <v>0</v>
      </c>
      <c r="F322" s="43">
        <f t="shared" si="7"/>
        <v>0</v>
      </c>
      <c r="G322" s="7"/>
    </row>
    <row r="323" spans="1:7" s="6" customFormat="1" ht="13.2" x14ac:dyDescent="0.25">
      <c r="A323" s="34" t="s">
        <v>578</v>
      </c>
      <c r="B323" s="33" t="s">
        <v>1450</v>
      </c>
      <c r="C323" s="101"/>
      <c r="D323" s="17"/>
      <c r="E323" s="13"/>
      <c r="F323" s="43"/>
      <c r="G323" s="7"/>
    </row>
    <row r="324" spans="1:7" s="6" customFormat="1" ht="13.2" x14ac:dyDescent="0.25">
      <c r="A324" s="119" t="s">
        <v>1392</v>
      </c>
      <c r="B324" s="120" t="s">
        <v>1451</v>
      </c>
      <c r="C324" s="106" t="s">
        <v>268</v>
      </c>
      <c r="D324" s="19">
        <v>0</v>
      </c>
      <c r="E324" s="13">
        <v>0</v>
      </c>
      <c r="F324" s="43">
        <f t="shared" si="7"/>
        <v>0</v>
      </c>
      <c r="G324" s="7"/>
    </row>
    <row r="325" spans="1:7" s="12" customFormat="1" ht="13.2" x14ac:dyDescent="0.25">
      <c r="A325" s="119" t="s">
        <v>1393</v>
      </c>
      <c r="B325" s="120" t="s">
        <v>2236</v>
      </c>
      <c r="C325" s="106" t="s">
        <v>13</v>
      </c>
      <c r="D325" s="150">
        <v>0</v>
      </c>
      <c r="E325" s="13">
        <v>0</v>
      </c>
      <c r="F325" s="43">
        <f>D325*E325</f>
        <v>0</v>
      </c>
      <c r="G325" s="7"/>
    </row>
    <row r="326" spans="1:7" s="12" customFormat="1" ht="13.2" x14ac:dyDescent="0.25">
      <c r="A326" s="119" t="s">
        <v>1734</v>
      </c>
      <c r="B326" s="120" t="s">
        <v>309</v>
      </c>
      <c r="C326" s="101" t="s">
        <v>204</v>
      </c>
      <c r="D326" s="19">
        <v>0</v>
      </c>
      <c r="E326" s="13">
        <v>0</v>
      </c>
      <c r="F326" s="43">
        <f t="shared" si="7"/>
        <v>0</v>
      </c>
      <c r="G326" s="7"/>
    </row>
    <row r="327" spans="1:7" s="12" customFormat="1" ht="13.2" x14ac:dyDescent="0.25">
      <c r="A327" s="119" t="s">
        <v>2358</v>
      </c>
      <c r="B327" s="120" t="s">
        <v>1094</v>
      </c>
      <c r="C327" s="101" t="s">
        <v>204</v>
      </c>
      <c r="D327" s="19">
        <v>0</v>
      </c>
      <c r="E327" s="13">
        <v>0</v>
      </c>
      <c r="F327" s="43">
        <f t="shared" si="7"/>
        <v>0</v>
      </c>
      <c r="G327" s="7"/>
    </row>
    <row r="328" spans="1:7" s="12" customFormat="1" ht="13.2" x14ac:dyDescent="0.25">
      <c r="A328" s="119" t="s">
        <v>2359</v>
      </c>
      <c r="B328" s="120" t="s">
        <v>1665</v>
      </c>
      <c r="C328" s="107" t="s">
        <v>1080</v>
      </c>
      <c r="D328" s="17"/>
      <c r="E328" s="13"/>
      <c r="F328" s="43"/>
      <c r="G328" s="7"/>
    </row>
    <row r="329" spans="1:7" s="12" customFormat="1" ht="13.2" x14ac:dyDescent="0.25">
      <c r="A329" s="119" t="s">
        <v>2360</v>
      </c>
      <c r="B329" s="121" t="s">
        <v>1492</v>
      </c>
      <c r="C329" s="101" t="s">
        <v>204</v>
      </c>
      <c r="D329" s="150">
        <v>0</v>
      </c>
      <c r="E329" s="13">
        <v>0</v>
      </c>
      <c r="F329" s="43">
        <f t="shared" si="7"/>
        <v>0</v>
      </c>
      <c r="G329" s="7"/>
    </row>
    <row r="330" spans="1:7" s="12" customFormat="1" ht="13.2" x14ac:dyDescent="0.25">
      <c r="A330" s="119" t="s">
        <v>2361</v>
      </c>
      <c r="B330" s="121" t="s">
        <v>1728</v>
      </c>
      <c r="C330" s="101" t="s">
        <v>204</v>
      </c>
      <c r="D330" s="150">
        <v>0</v>
      </c>
      <c r="E330" s="13">
        <v>0</v>
      </c>
      <c r="F330" s="43">
        <f t="shared" si="7"/>
        <v>0</v>
      </c>
      <c r="G330" s="7"/>
    </row>
    <row r="331" spans="1:7" s="12" customFormat="1" ht="13.2" x14ac:dyDescent="0.25">
      <c r="A331" s="119" t="s">
        <v>2362</v>
      </c>
      <c r="B331" s="121" t="s">
        <v>1729</v>
      </c>
      <c r="C331" s="101" t="s">
        <v>204</v>
      </c>
      <c r="D331" s="150">
        <v>0</v>
      </c>
      <c r="E331" s="13">
        <v>0</v>
      </c>
      <c r="F331" s="43">
        <f t="shared" si="7"/>
        <v>0</v>
      </c>
      <c r="G331" s="7"/>
    </row>
    <row r="332" spans="1:7" s="12" customFormat="1" ht="13.2" x14ac:dyDescent="0.25">
      <c r="A332" s="119" t="s">
        <v>2363</v>
      </c>
      <c r="B332" s="120" t="s">
        <v>1447</v>
      </c>
      <c r="C332" s="101" t="s">
        <v>204</v>
      </c>
      <c r="D332" s="150">
        <v>0</v>
      </c>
      <c r="E332" s="13">
        <v>0</v>
      </c>
      <c r="F332" s="43">
        <f t="shared" si="7"/>
        <v>0</v>
      </c>
      <c r="G332" s="7"/>
    </row>
    <row r="333" spans="1:7" s="12" customFormat="1" ht="13.2" x14ac:dyDescent="0.25">
      <c r="A333" s="119" t="s">
        <v>2364</v>
      </c>
      <c r="B333" s="120" t="s">
        <v>1448</v>
      </c>
      <c r="C333" s="101" t="s">
        <v>204</v>
      </c>
      <c r="D333" s="19">
        <v>0</v>
      </c>
      <c r="E333" s="13">
        <v>0</v>
      </c>
      <c r="F333" s="43">
        <f t="shared" si="7"/>
        <v>0</v>
      </c>
      <c r="G333" s="7"/>
    </row>
    <row r="334" spans="1:7" s="12" customFormat="1" ht="13.2" x14ac:dyDescent="0.25">
      <c r="A334" s="119" t="s">
        <v>2365</v>
      </c>
      <c r="B334" s="120" t="s">
        <v>1449</v>
      </c>
      <c r="C334" s="101" t="s">
        <v>204</v>
      </c>
      <c r="D334" s="150">
        <v>0</v>
      </c>
      <c r="E334" s="13">
        <v>0</v>
      </c>
      <c r="F334" s="43">
        <f t="shared" si="7"/>
        <v>0</v>
      </c>
      <c r="G334" s="7"/>
    </row>
    <row r="335" spans="1:7" s="12" customFormat="1" ht="13.2" x14ac:dyDescent="0.25">
      <c r="A335" s="119" t="s">
        <v>2366</v>
      </c>
      <c r="B335" s="120" t="s">
        <v>1132</v>
      </c>
      <c r="C335" s="101" t="s">
        <v>204</v>
      </c>
      <c r="D335" s="150">
        <v>0</v>
      </c>
      <c r="E335" s="13">
        <v>0</v>
      </c>
      <c r="F335" s="43">
        <f t="shared" si="7"/>
        <v>0</v>
      </c>
      <c r="G335" s="7"/>
    </row>
    <row r="336" spans="1:7" s="12" customFormat="1" ht="13.2" x14ac:dyDescent="0.25">
      <c r="A336" s="119"/>
      <c r="B336" s="120"/>
      <c r="C336" s="101"/>
      <c r="D336" s="17"/>
      <c r="E336" s="13"/>
      <c r="F336" s="43"/>
      <c r="G336" s="7"/>
    </row>
    <row r="337" spans="1:7" s="12" customFormat="1" ht="13.2" x14ac:dyDescent="0.25">
      <c r="A337" s="119"/>
      <c r="B337" s="152" t="s">
        <v>1453</v>
      </c>
      <c r="C337" s="101"/>
      <c r="D337" s="17"/>
      <c r="E337" s="13"/>
      <c r="F337" s="43">
        <f>SUM(F304:F336)</f>
        <v>0</v>
      </c>
      <c r="G337" s="7"/>
    </row>
    <row r="338" spans="1:7" s="12" customFormat="1" ht="13.2" x14ac:dyDescent="0.25">
      <c r="A338" s="122"/>
      <c r="B338" s="123"/>
      <c r="C338" s="103"/>
      <c r="D338" s="18"/>
      <c r="E338" s="16"/>
      <c r="F338" s="44"/>
      <c r="G338" s="7"/>
    </row>
    <row r="339" spans="1:7" s="12" customFormat="1" ht="13.2" x14ac:dyDescent="0.25">
      <c r="A339" s="30" t="s">
        <v>579</v>
      </c>
      <c r="B339" s="36" t="s">
        <v>1735</v>
      </c>
      <c r="C339" s="104" t="s">
        <v>1080</v>
      </c>
      <c r="D339" s="108"/>
      <c r="E339" s="158" t="s">
        <v>1080</v>
      </c>
      <c r="F339" s="124" t="s">
        <v>1080</v>
      </c>
      <c r="G339" s="7"/>
    </row>
    <row r="340" spans="1:7" s="12" customFormat="1" ht="13.2" x14ac:dyDescent="0.25">
      <c r="A340" s="27" t="s">
        <v>580</v>
      </c>
      <c r="B340" s="35" t="s">
        <v>1842</v>
      </c>
      <c r="C340" s="101"/>
      <c r="D340" s="17"/>
      <c r="E340" s="13"/>
      <c r="F340" s="43"/>
      <c r="G340" s="7"/>
    </row>
    <row r="341" spans="1:7" s="12" customFormat="1" ht="13.2" x14ac:dyDescent="0.25">
      <c r="A341" s="119" t="s">
        <v>82</v>
      </c>
      <c r="B341" s="120" t="s">
        <v>3124</v>
      </c>
      <c r="C341" s="101" t="s">
        <v>1302</v>
      </c>
      <c r="D341" s="19">
        <v>0</v>
      </c>
      <c r="E341" s="13">
        <v>0</v>
      </c>
      <c r="F341" s="43">
        <f t="shared" si="7"/>
        <v>0</v>
      </c>
      <c r="G341" s="7"/>
    </row>
    <row r="342" spans="1:7" s="12" customFormat="1" ht="13.2" x14ac:dyDescent="0.25">
      <c r="A342" s="119" t="s">
        <v>83</v>
      </c>
      <c r="B342" s="120" t="s">
        <v>1740</v>
      </c>
      <c r="C342" s="101" t="s">
        <v>1302</v>
      </c>
      <c r="D342" s="19">
        <v>0</v>
      </c>
      <c r="E342" s="13">
        <v>0</v>
      </c>
      <c r="F342" s="43">
        <f t="shared" si="7"/>
        <v>0</v>
      </c>
      <c r="G342" s="7"/>
    </row>
    <row r="343" spans="1:7" s="12" customFormat="1" ht="13.2" x14ac:dyDescent="0.25">
      <c r="A343" s="27" t="s">
        <v>581</v>
      </c>
      <c r="B343" s="35" t="s">
        <v>2004</v>
      </c>
      <c r="C343" s="101"/>
      <c r="D343" s="17"/>
      <c r="E343" s="13"/>
      <c r="F343" s="43"/>
      <c r="G343" s="7"/>
    </row>
    <row r="344" spans="1:7" s="12" customFormat="1" ht="13.2" x14ac:dyDescent="0.25">
      <c r="A344" s="119" t="s">
        <v>1736</v>
      </c>
      <c r="B344" s="120" t="s">
        <v>276</v>
      </c>
      <c r="C344" s="101" t="s">
        <v>1302</v>
      </c>
      <c r="D344" s="150">
        <v>0</v>
      </c>
      <c r="E344" s="13">
        <v>0</v>
      </c>
      <c r="F344" s="43">
        <f t="shared" si="7"/>
        <v>0</v>
      </c>
      <c r="G344" s="7"/>
    </row>
    <row r="345" spans="1:7" s="6" customFormat="1" ht="13.2" x14ac:dyDescent="0.25">
      <c r="A345" s="119" t="s">
        <v>1737</v>
      </c>
      <c r="B345" s="120" t="s">
        <v>277</v>
      </c>
      <c r="C345" s="101" t="s">
        <v>1302</v>
      </c>
      <c r="D345" s="19">
        <v>0</v>
      </c>
      <c r="E345" s="13">
        <v>0</v>
      </c>
      <c r="F345" s="43">
        <f t="shared" si="7"/>
        <v>0</v>
      </c>
      <c r="G345" s="7"/>
    </row>
    <row r="346" spans="1:7" s="12" customFormat="1" ht="13.2" x14ac:dyDescent="0.25">
      <c r="A346" s="119" t="s">
        <v>1738</v>
      </c>
      <c r="B346" s="120" t="s">
        <v>278</v>
      </c>
      <c r="C346" s="101" t="s">
        <v>1302</v>
      </c>
      <c r="D346" s="150">
        <v>0</v>
      </c>
      <c r="E346" s="13">
        <v>0</v>
      </c>
      <c r="F346" s="43">
        <f t="shared" si="7"/>
        <v>0</v>
      </c>
      <c r="G346" s="7"/>
    </row>
    <row r="347" spans="1:7" s="12" customFormat="1" ht="13.2" x14ac:dyDescent="0.25">
      <c r="A347" s="27" t="s">
        <v>518</v>
      </c>
      <c r="B347" s="35" t="s">
        <v>203</v>
      </c>
      <c r="C347" s="101"/>
      <c r="D347" s="17"/>
      <c r="E347" s="13"/>
      <c r="F347" s="43"/>
      <c r="G347" s="7"/>
    </row>
    <row r="348" spans="1:7" s="12" customFormat="1" ht="13.2" x14ac:dyDescent="0.25">
      <c r="A348" s="119" t="s">
        <v>390</v>
      </c>
      <c r="B348" s="120" t="s">
        <v>1089</v>
      </c>
      <c r="C348" s="101" t="s">
        <v>1302</v>
      </c>
      <c r="D348" s="19">
        <v>0</v>
      </c>
      <c r="E348" s="13">
        <v>0</v>
      </c>
      <c r="F348" s="43">
        <f>D348*E348</f>
        <v>0</v>
      </c>
      <c r="G348" s="7"/>
    </row>
    <row r="349" spans="1:7" s="4" customFormat="1" ht="13.2" x14ac:dyDescent="0.25">
      <c r="A349" s="119" t="s">
        <v>391</v>
      </c>
      <c r="B349" s="120" t="s">
        <v>1082</v>
      </c>
      <c r="C349" s="101" t="s">
        <v>1302</v>
      </c>
      <c r="D349" s="150">
        <v>0</v>
      </c>
      <c r="E349" s="13">
        <v>0</v>
      </c>
      <c r="F349" s="43">
        <f t="shared" si="7"/>
        <v>0</v>
      </c>
      <c r="G349" s="7"/>
    </row>
    <row r="350" spans="1:7" s="4" customFormat="1" ht="13.2" x14ac:dyDescent="0.25">
      <c r="A350" s="119" t="s">
        <v>392</v>
      </c>
      <c r="B350" s="120" t="s">
        <v>1083</v>
      </c>
      <c r="C350" s="101" t="s">
        <v>1302</v>
      </c>
      <c r="D350" s="19">
        <v>0</v>
      </c>
      <c r="E350" s="13">
        <v>0</v>
      </c>
      <c r="F350" s="43">
        <f>D350*E350</f>
        <v>0</v>
      </c>
      <c r="G350" s="7"/>
    </row>
    <row r="351" spans="1:7" s="4" customFormat="1" ht="13.2" x14ac:dyDescent="0.25">
      <c r="A351" s="119" t="s">
        <v>393</v>
      </c>
      <c r="B351" s="120" t="s">
        <v>1084</v>
      </c>
      <c r="C351" s="101" t="s">
        <v>1302</v>
      </c>
      <c r="D351" s="19">
        <v>480</v>
      </c>
      <c r="E351" s="13">
        <v>0</v>
      </c>
      <c r="F351" s="43">
        <f t="shared" si="7"/>
        <v>0</v>
      </c>
      <c r="G351" s="7"/>
    </row>
    <row r="352" spans="1:7" s="4" customFormat="1" ht="13.2" x14ac:dyDescent="0.25">
      <c r="A352" s="119" t="s">
        <v>394</v>
      </c>
      <c r="B352" s="120" t="s">
        <v>1085</v>
      </c>
      <c r="C352" s="101" t="s">
        <v>1302</v>
      </c>
      <c r="D352" s="150">
        <v>0</v>
      </c>
      <c r="E352" s="13">
        <v>0</v>
      </c>
      <c r="F352" s="43">
        <f>D352*E352</f>
        <v>0</v>
      </c>
      <c r="G352" s="7"/>
    </row>
    <row r="353" spans="1:7" s="8" customFormat="1" ht="13.2" x14ac:dyDescent="0.25">
      <c r="A353" s="119" t="s">
        <v>395</v>
      </c>
      <c r="B353" s="120" t="s">
        <v>1086</v>
      </c>
      <c r="C353" s="101" t="s">
        <v>1302</v>
      </c>
      <c r="D353" s="150">
        <v>0</v>
      </c>
      <c r="E353" s="13">
        <v>0</v>
      </c>
      <c r="F353" s="43">
        <f>D353*E353</f>
        <v>0</v>
      </c>
      <c r="G353" s="7"/>
    </row>
    <row r="354" spans="1:7" s="8" customFormat="1" ht="13.2" x14ac:dyDescent="0.25">
      <c r="A354" s="119" t="s">
        <v>396</v>
      </c>
      <c r="B354" s="120" t="s">
        <v>1087</v>
      </c>
      <c r="C354" s="101" t="s">
        <v>1302</v>
      </c>
      <c r="D354" s="150">
        <v>0</v>
      </c>
      <c r="E354" s="13">
        <v>0</v>
      </c>
      <c r="F354" s="43">
        <f>D354*E354</f>
        <v>0</v>
      </c>
      <c r="G354" s="7"/>
    </row>
    <row r="355" spans="1:7" s="8" customFormat="1" ht="13.2" x14ac:dyDescent="0.25">
      <c r="A355" s="119" t="s">
        <v>397</v>
      </c>
      <c r="B355" s="120" t="s">
        <v>1088</v>
      </c>
      <c r="C355" s="101" t="s">
        <v>1302</v>
      </c>
      <c r="D355" s="150">
        <v>0</v>
      </c>
      <c r="E355" s="13">
        <v>0</v>
      </c>
      <c r="F355" s="43">
        <f>D355*E355</f>
        <v>0</v>
      </c>
      <c r="G355" s="7"/>
    </row>
    <row r="356" spans="1:7" s="8" customFormat="1" ht="13.2" x14ac:dyDescent="0.25">
      <c r="A356" s="27" t="s">
        <v>519</v>
      </c>
      <c r="B356" s="35" t="s">
        <v>1843</v>
      </c>
      <c r="C356" s="101"/>
      <c r="D356" s="17"/>
      <c r="E356" s="13"/>
      <c r="F356" s="43"/>
      <c r="G356" s="7"/>
    </row>
    <row r="357" spans="1:7" s="8" customFormat="1" ht="13.2" x14ac:dyDescent="0.25">
      <c r="A357" s="119" t="s">
        <v>520</v>
      </c>
      <c r="B357" s="120" t="s">
        <v>1093</v>
      </c>
      <c r="C357" s="101" t="s">
        <v>1302</v>
      </c>
      <c r="D357" s="150">
        <v>180</v>
      </c>
      <c r="E357" s="13">
        <v>0</v>
      </c>
      <c r="F357" s="43">
        <f>D357*E357</f>
        <v>0</v>
      </c>
      <c r="G357" s="7"/>
    </row>
    <row r="358" spans="1:7" s="8" customFormat="1" ht="13.2" x14ac:dyDescent="0.25">
      <c r="A358" s="119" t="s">
        <v>521</v>
      </c>
      <c r="B358" s="120" t="s">
        <v>1090</v>
      </c>
      <c r="C358" s="101" t="s">
        <v>1302</v>
      </c>
      <c r="D358" s="150">
        <v>0</v>
      </c>
      <c r="E358" s="13">
        <v>0</v>
      </c>
      <c r="F358" s="43">
        <f>D358*E358</f>
        <v>0</v>
      </c>
      <c r="G358" s="7"/>
    </row>
    <row r="359" spans="1:7" s="8" customFormat="1" ht="13.2" x14ac:dyDescent="0.25">
      <c r="A359" s="119" t="s">
        <v>522</v>
      </c>
      <c r="B359" s="120" t="s">
        <v>3053</v>
      </c>
      <c r="C359" s="101" t="s">
        <v>1302</v>
      </c>
      <c r="D359" s="150">
        <v>190</v>
      </c>
      <c r="E359" s="13">
        <v>0</v>
      </c>
      <c r="F359" s="43">
        <f>D359*E359</f>
        <v>0</v>
      </c>
      <c r="G359" s="7"/>
    </row>
    <row r="360" spans="1:7" s="8" customFormat="1" ht="13.2" x14ac:dyDescent="0.25">
      <c r="A360" s="119" t="s">
        <v>1739</v>
      </c>
      <c r="B360" s="120" t="s">
        <v>1091</v>
      </c>
      <c r="C360" s="101" t="s">
        <v>1302</v>
      </c>
      <c r="D360" s="150">
        <v>0</v>
      </c>
      <c r="E360" s="13">
        <v>0</v>
      </c>
      <c r="F360" s="43">
        <f>D360*E360</f>
        <v>0</v>
      </c>
      <c r="G360" s="7"/>
    </row>
    <row r="361" spans="1:7" s="8" customFormat="1" ht="13.2" x14ac:dyDescent="0.25">
      <c r="A361" s="119" t="s">
        <v>1741</v>
      </c>
      <c r="B361" s="120" t="s">
        <v>1092</v>
      </c>
      <c r="C361" s="101" t="s">
        <v>1302</v>
      </c>
      <c r="D361" s="150">
        <v>0</v>
      </c>
      <c r="E361" s="13">
        <v>0</v>
      </c>
      <c r="F361" s="43">
        <f>D361*E361</f>
        <v>0</v>
      </c>
      <c r="G361" s="7"/>
    </row>
    <row r="362" spans="1:7" s="8" customFormat="1" ht="13.2" x14ac:dyDescent="0.25">
      <c r="A362" s="119"/>
      <c r="B362" s="120"/>
      <c r="C362" s="101"/>
      <c r="D362" s="17"/>
      <c r="E362" s="13"/>
      <c r="F362" s="43"/>
      <c r="G362" s="7"/>
    </row>
    <row r="363" spans="1:7" s="8" customFormat="1" ht="13.2" x14ac:dyDescent="0.25">
      <c r="A363" s="119"/>
      <c r="B363" s="152" t="s">
        <v>1788</v>
      </c>
      <c r="C363" s="101"/>
      <c r="D363" s="17"/>
      <c r="E363" s="13"/>
      <c r="F363" s="43">
        <f>SUM(F341:F362)</f>
        <v>0</v>
      </c>
      <c r="G363" s="7"/>
    </row>
    <row r="364" spans="1:7" s="8" customFormat="1" ht="13.2" x14ac:dyDescent="0.25">
      <c r="A364" s="122"/>
      <c r="B364" s="123"/>
      <c r="C364" s="101"/>
      <c r="D364" s="18"/>
      <c r="E364" s="16"/>
      <c r="F364" s="44"/>
      <c r="G364" s="7"/>
    </row>
    <row r="365" spans="1:7" s="8" customFormat="1" ht="13.2" x14ac:dyDescent="0.25">
      <c r="A365" s="30" t="s">
        <v>1070</v>
      </c>
      <c r="B365" s="36" t="s">
        <v>1742</v>
      </c>
      <c r="C365" s="104" t="s">
        <v>1080</v>
      </c>
      <c r="D365" s="108"/>
      <c r="E365" s="158" t="s">
        <v>1080</v>
      </c>
      <c r="F365" s="124" t="s">
        <v>1080</v>
      </c>
      <c r="G365" s="7"/>
    </row>
    <row r="366" spans="1:7" s="8" customFormat="1" ht="26.4" x14ac:dyDescent="0.25">
      <c r="A366" s="27" t="s">
        <v>407</v>
      </c>
      <c r="B366" s="120" t="s">
        <v>3185</v>
      </c>
      <c r="C366" s="101"/>
      <c r="D366" s="17"/>
      <c r="E366" s="13"/>
      <c r="F366" s="43"/>
      <c r="G366" s="7"/>
    </row>
    <row r="367" spans="1:7" s="8" customFormat="1" ht="13.2" x14ac:dyDescent="0.25">
      <c r="A367" s="119" t="s">
        <v>153</v>
      </c>
      <c r="B367" s="120" t="s">
        <v>2026</v>
      </c>
      <c r="C367" s="101" t="s">
        <v>1302</v>
      </c>
      <c r="D367" s="150">
        <v>0</v>
      </c>
      <c r="E367" s="13">
        <v>0</v>
      </c>
      <c r="F367" s="43">
        <f t="shared" ref="F367:F436" si="8">D367*E367</f>
        <v>0</v>
      </c>
      <c r="G367" s="7"/>
    </row>
    <row r="368" spans="1:7" s="8" customFormat="1" ht="13.2" x14ac:dyDescent="0.25">
      <c r="A368" s="119" t="s">
        <v>1454</v>
      </c>
      <c r="B368" s="120" t="s">
        <v>1166</v>
      </c>
      <c r="C368" s="101" t="s">
        <v>1302</v>
      </c>
      <c r="D368" s="19">
        <v>0</v>
      </c>
      <c r="E368" s="13">
        <v>0</v>
      </c>
      <c r="F368" s="43">
        <f t="shared" si="8"/>
        <v>0</v>
      </c>
      <c r="G368" s="7"/>
    </row>
    <row r="369" spans="1:7" s="8" customFormat="1" ht="13.2" x14ac:dyDescent="0.25">
      <c r="A369" s="119" t="s">
        <v>1455</v>
      </c>
      <c r="B369" s="120" t="s">
        <v>1167</v>
      </c>
      <c r="C369" s="101" t="s">
        <v>1302</v>
      </c>
      <c r="D369" s="19">
        <v>0</v>
      </c>
      <c r="E369" s="13">
        <v>0</v>
      </c>
      <c r="F369" s="43">
        <f t="shared" si="8"/>
        <v>0</v>
      </c>
      <c r="G369" s="7"/>
    </row>
    <row r="370" spans="1:7" s="8" customFormat="1" ht="13.2" x14ac:dyDescent="0.25">
      <c r="A370" s="119" t="s">
        <v>2025</v>
      </c>
      <c r="B370" s="120" t="s">
        <v>158</v>
      </c>
      <c r="C370" s="101" t="s">
        <v>1302</v>
      </c>
      <c r="D370" s="19">
        <v>0</v>
      </c>
      <c r="E370" s="13">
        <v>0</v>
      </c>
      <c r="F370" s="43">
        <f t="shared" si="8"/>
        <v>0</v>
      </c>
      <c r="G370" s="7"/>
    </row>
    <row r="371" spans="1:7" s="8" customFormat="1" ht="13.2" x14ac:dyDescent="0.25">
      <c r="A371" s="27" t="s">
        <v>408</v>
      </c>
      <c r="B371" s="35" t="s">
        <v>3097</v>
      </c>
      <c r="C371" s="101"/>
      <c r="D371" s="17"/>
      <c r="E371" s="13"/>
      <c r="F371" s="43"/>
      <c r="G371" s="7"/>
    </row>
    <row r="372" spans="1:7" s="8" customFormat="1" ht="13.2" x14ac:dyDescent="0.25">
      <c r="A372" s="119" t="s">
        <v>582</v>
      </c>
      <c r="B372" s="125" t="s">
        <v>2195</v>
      </c>
      <c r="C372" s="101"/>
      <c r="D372" s="17"/>
      <c r="E372" s="13"/>
      <c r="F372" s="43"/>
      <c r="G372" s="7"/>
    </row>
    <row r="373" spans="1:7" s="8" customFormat="1" ht="13.2" x14ac:dyDescent="0.25">
      <c r="A373" s="119" t="s">
        <v>1844</v>
      </c>
      <c r="B373" s="125" t="s">
        <v>2198</v>
      </c>
      <c r="C373" s="101" t="s">
        <v>1302</v>
      </c>
      <c r="D373" s="19">
        <v>0</v>
      </c>
      <c r="E373" s="13">
        <v>0</v>
      </c>
      <c r="F373" s="43">
        <f>D373*E373</f>
        <v>0</v>
      </c>
      <c r="G373" s="7"/>
    </row>
    <row r="374" spans="1:7" s="8" customFormat="1" ht="13.2" x14ac:dyDescent="0.25">
      <c r="A374" s="119" t="s">
        <v>1845</v>
      </c>
      <c r="B374" s="125" t="s">
        <v>2199</v>
      </c>
      <c r="C374" s="101" t="s">
        <v>1302</v>
      </c>
      <c r="D374" s="19">
        <v>0</v>
      </c>
      <c r="E374" s="13">
        <v>0</v>
      </c>
      <c r="F374" s="43">
        <f t="shared" si="8"/>
        <v>0</v>
      </c>
      <c r="G374" s="7"/>
    </row>
    <row r="375" spans="1:7" s="8" customFormat="1" ht="13.2" x14ac:dyDescent="0.25">
      <c r="A375" s="119" t="s">
        <v>1846</v>
      </c>
      <c r="B375" s="125" t="s">
        <v>2200</v>
      </c>
      <c r="C375" s="101" t="s">
        <v>1302</v>
      </c>
      <c r="D375" s="19">
        <v>0</v>
      </c>
      <c r="E375" s="13">
        <v>0</v>
      </c>
      <c r="F375" s="43">
        <f t="shared" si="8"/>
        <v>0</v>
      </c>
      <c r="G375" s="7"/>
    </row>
    <row r="376" spans="1:7" s="8" customFormat="1" ht="13.2" x14ac:dyDescent="0.25">
      <c r="A376" s="119" t="s">
        <v>1847</v>
      </c>
      <c r="B376" s="125" t="s">
        <v>2201</v>
      </c>
      <c r="C376" s="101" t="s">
        <v>1302</v>
      </c>
      <c r="D376" s="19">
        <v>0</v>
      </c>
      <c r="E376" s="13">
        <v>0</v>
      </c>
      <c r="F376" s="43">
        <f t="shared" si="8"/>
        <v>0</v>
      </c>
      <c r="G376" s="7"/>
    </row>
    <row r="377" spans="1:7" s="8" customFormat="1" ht="13.2" x14ac:dyDescent="0.25">
      <c r="A377" s="119" t="s">
        <v>1848</v>
      </c>
      <c r="B377" s="125" t="s">
        <v>2202</v>
      </c>
      <c r="C377" s="101" t="s">
        <v>1302</v>
      </c>
      <c r="D377" s="19">
        <v>0</v>
      </c>
      <c r="E377" s="13">
        <v>0</v>
      </c>
      <c r="F377" s="43">
        <f t="shared" si="8"/>
        <v>0</v>
      </c>
      <c r="G377" s="7"/>
    </row>
    <row r="378" spans="1:7" s="8" customFormat="1" ht="13.2" x14ac:dyDescent="0.25">
      <c r="A378" s="119" t="s">
        <v>1849</v>
      </c>
      <c r="B378" s="125" t="s">
        <v>2203</v>
      </c>
      <c r="C378" s="101" t="s">
        <v>1302</v>
      </c>
      <c r="D378" s="19">
        <v>0</v>
      </c>
      <c r="E378" s="13">
        <v>0</v>
      </c>
      <c r="F378" s="43">
        <f t="shared" si="8"/>
        <v>0</v>
      </c>
      <c r="G378" s="7"/>
    </row>
    <row r="379" spans="1:7" s="8" customFormat="1" ht="13.2" x14ac:dyDescent="0.25">
      <c r="A379" s="119" t="s">
        <v>1850</v>
      </c>
      <c r="B379" s="125" t="s">
        <v>2237</v>
      </c>
      <c r="C379" s="101" t="s">
        <v>1302</v>
      </c>
      <c r="D379" s="19">
        <v>0</v>
      </c>
      <c r="E379" s="13">
        <v>0</v>
      </c>
      <c r="F379" s="43">
        <f>D379*E379</f>
        <v>0</v>
      </c>
      <c r="G379" s="7"/>
    </row>
    <row r="380" spans="1:7" s="8" customFormat="1" ht="13.2" x14ac:dyDescent="0.25">
      <c r="A380" s="119" t="s">
        <v>1851</v>
      </c>
      <c r="B380" s="125" t="s">
        <v>2216</v>
      </c>
      <c r="C380" s="101" t="s">
        <v>1302</v>
      </c>
      <c r="D380" s="19">
        <v>0</v>
      </c>
      <c r="E380" s="13">
        <v>0</v>
      </c>
      <c r="F380" s="43">
        <f>D380*E380</f>
        <v>0</v>
      </c>
      <c r="G380" s="7"/>
    </row>
    <row r="381" spans="1:7" s="8" customFormat="1" ht="13.2" x14ac:dyDescent="0.25">
      <c r="A381" s="119" t="s">
        <v>1852</v>
      </c>
      <c r="B381" s="125" t="s">
        <v>2204</v>
      </c>
      <c r="C381" s="101" t="s">
        <v>1302</v>
      </c>
      <c r="D381" s="19">
        <v>0</v>
      </c>
      <c r="E381" s="13">
        <v>0</v>
      </c>
      <c r="F381" s="43">
        <f t="shared" si="8"/>
        <v>0</v>
      </c>
      <c r="G381" s="7"/>
    </row>
    <row r="382" spans="1:7" s="8" customFormat="1" ht="13.2" x14ac:dyDescent="0.25">
      <c r="A382" s="119" t="s">
        <v>1853</v>
      </c>
      <c r="B382" s="125" t="s">
        <v>2205</v>
      </c>
      <c r="C382" s="101" t="s">
        <v>1302</v>
      </c>
      <c r="D382" s="19">
        <v>0</v>
      </c>
      <c r="E382" s="13">
        <v>0</v>
      </c>
      <c r="F382" s="43">
        <f t="shared" si="8"/>
        <v>0</v>
      </c>
      <c r="G382" s="7"/>
    </row>
    <row r="383" spans="1:7" s="8" customFormat="1" ht="13.2" x14ac:dyDescent="0.25">
      <c r="A383" s="119" t="s">
        <v>1854</v>
      </c>
      <c r="B383" s="125" t="s">
        <v>2206</v>
      </c>
      <c r="C383" s="101" t="s">
        <v>1302</v>
      </c>
      <c r="D383" s="19">
        <v>0</v>
      </c>
      <c r="E383" s="13">
        <v>0</v>
      </c>
      <c r="F383" s="43">
        <f t="shared" si="8"/>
        <v>0</v>
      </c>
      <c r="G383" s="7"/>
    </row>
    <row r="384" spans="1:7" s="8" customFormat="1" ht="12.75" customHeight="1" x14ac:dyDescent="0.25">
      <c r="A384" s="119" t="s">
        <v>1855</v>
      </c>
      <c r="B384" s="125" t="s">
        <v>2207</v>
      </c>
      <c r="C384" s="101" t="s">
        <v>1302</v>
      </c>
      <c r="D384" s="19">
        <v>0</v>
      </c>
      <c r="E384" s="13">
        <v>0</v>
      </c>
      <c r="F384" s="43">
        <f t="shared" si="8"/>
        <v>0</v>
      </c>
      <c r="G384" s="7"/>
    </row>
    <row r="385" spans="1:7" s="8" customFormat="1" ht="12.75" customHeight="1" x14ac:dyDescent="0.25">
      <c r="A385" s="119" t="s">
        <v>1856</v>
      </c>
      <c r="B385" s="125" t="s">
        <v>2208</v>
      </c>
      <c r="C385" s="101" t="s">
        <v>1302</v>
      </c>
      <c r="D385" s="19">
        <v>0</v>
      </c>
      <c r="E385" s="13">
        <v>0</v>
      </c>
      <c r="F385" s="43">
        <f t="shared" si="8"/>
        <v>0</v>
      </c>
      <c r="G385" s="7"/>
    </row>
    <row r="386" spans="1:7" s="8" customFormat="1" ht="12.75" customHeight="1" x14ac:dyDescent="0.25">
      <c r="A386" s="119" t="s">
        <v>1857</v>
      </c>
      <c r="B386" s="125" t="s">
        <v>2209</v>
      </c>
      <c r="C386" s="101" t="s">
        <v>1302</v>
      </c>
      <c r="D386" s="19">
        <v>0</v>
      </c>
      <c r="E386" s="13">
        <v>0</v>
      </c>
      <c r="F386" s="43">
        <f t="shared" si="8"/>
        <v>0</v>
      </c>
      <c r="G386" s="7"/>
    </row>
    <row r="387" spans="1:7" s="8" customFormat="1" ht="12.75" customHeight="1" x14ac:dyDescent="0.25">
      <c r="A387" s="119" t="s">
        <v>1858</v>
      </c>
      <c r="B387" s="125" t="s">
        <v>2210</v>
      </c>
      <c r="C387" s="101" t="s">
        <v>1302</v>
      </c>
      <c r="D387" s="19">
        <v>0</v>
      </c>
      <c r="E387" s="13">
        <v>0</v>
      </c>
      <c r="F387" s="43">
        <f t="shared" si="8"/>
        <v>0</v>
      </c>
      <c r="G387" s="7"/>
    </row>
    <row r="388" spans="1:7" s="8" customFormat="1" ht="12.75" customHeight="1" x14ac:dyDescent="0.25">
      <c r="A388" s="119" t="s">
        <v>1859</v>
      </c>
      <c r="B388" s="125" t="s">
        <v>2211</v>
      </c>
      <c r="C388" s="101" t="s">
        <v>1302</v>
      </c>
      <c r="D388" s="19">
        <v>0</v>
      </c>
      <c r="E388" s="13">
        <v>0</v>
      </c>
      <c r="F388" s="43">
        <f t="shared" si="8"/>
        <v>0</v>
      </c>
      <c r="G388" s="7"/>
    </row>
    <row r="389" spans="1:7" s="8" customFormat="1" ht="12.75" customHeight="1" x14ac:dyDescent="0.25">
      <c r="A389" s="119" t="s">
        <v>1860</v>
      </c>
      <c r="B389" s="125" t="s">
        <v>2212</v>
      </c>
      <c r="C389" s="101" t="s">
        <v>1302</v>
      </c>
      <c r="D389" s="19">
        <v>0</v>
      </c>
      <c r="E389" s="13">
        <v>0</v>
      </c>
      <c r="F389" s="43">
        <f t="shared" si="8"/>
        <v>0</v>
      </c>
      <c r="G389" s="7"/>
    </row>
    <row r="390" spans="1:7" s="8" customFormat="1" ht="12.75" customHeight="1" x14ac:dyDescent="0.25">
      <c r="A390" s="119" t="s">
        <v>2051</v>
      </c>
      <c r="B390" s="125" t="s">
        <v>2213</v>
      </c>
      <c r="C390" s="101" t="s">
        <v>1302</v>
      </c>
      <c r="D390" s="19">
        <v>0</v>
      </c>
      <c r="E390" s="13">
        <v>0</v>
      </c>
      <c r="F390" s="43">
        <f t="shared" si="8"/>
        <v>0</v>
      </c>
      <c r="G390" s="7"/>
    </row>
    <row r="391" spans="1:7" s="8" customFormat="1" ht="12.75" customHeight="1" x14ac:dyDescent="0.25">
      <c r="A391" s="119" t="s">
        <v>2367</v>
      </c>
      <c r="B391" s="125" t="s">
        <v>2214</v>
      </c>
      <c r="C391" s="101" t="s">
        <v>1302</v>
      </c>
      <c r="D391" s="19">
        <v>0</v>
      </c>
      <c r="E391" s="13">
        <v>0</v>
      </c>
      <c r="F391" s="43">
        <f t="shared" si="8"/>
        <v>0</v>
      </c>
      <c r="G391" s="7"/>
    </row>
    <row r="392" spans="1:7" s="8" customFormat="1" ht="12.75" customHeight="1" x14ac:dyDescent="0.25">
      <c r="A392" s="119" t="s">
        <v>2368</v>
      </c>
      <c r="B392" s="125" t="s">
        <v>2215</v>
      </c>
      <c r="C392" s="101" t="s">
        <v>1302</v>
      </c>
      <c r="D392" s="19">
        <v>0</v>
      </c>
      <c r="E392" s="13">
        <v>0</v>
      </c>
      <c r="F392" s="43">
        <f t="shared" si="8"/>
        <v>0</v>
      </c>
      <c r="G392" s="7"/>
    </row>
    <row r="393" spans="1:7" s="8" customFormat="1" ht="13.2" x14ac:dyDescent="0.25">
      <c r="A393" s="119" t="s">
        <v>2369</v>
      </c>
      <c r="B393" s="125" t="s">
        <v>2217</v>
      </c>
      <c r="C393" s="101" t="s">
        <v>1302</v>
      </c>
      <c r="D393" s="150">
        <v>0</v>
      </c>
      <c r="E393" s="13">
        <v>0</v>
      </c>
      <c r="F393" s="43">
        <f t="shared" si="8"/>
        <v>0</v>
      </c>
      <c r="G393" s="7"/>
    </row>
    <row r="394" spans="1:7" s="8" customFormat="1" ht="13.2" x14ac:dyDescent="0.25">
      <c r="A394" s="119" t="s">
        <v>2370</v>
      </c>
      <c r="B394" s="125" t="s">
        <v>2218</v>
      </c>
      <c r="C394" s="101" t="s">
        <v>1302</v>
      </c>
      <c r="D394" s="150">
        <v>0</v>
      </c>
      <c r="E394" s="13">
        <v>0</v>
      </c>
      <c r="F394" s="43">
        <f t="shared" si="8"/>
        <v>0</v>
      </c>
      <c r="G394" s="7"/>
    </row>
    <row r="395" spans="1:7" s="8" customFormat="1" ht="13.2" x14ac:dyDescent="0.25">
      <c r="A395" s="119" t="s">
        <v>2371</v>
      </c>
      <c r="B395" s="125" t="s">
        <v>2219</v>
      </c>
      <c r="C395" s="101" t="s">
        <v>1302</v>
      </c>
      <c r="D395" s="19">
        <v>0</v>
      </c>
      <c r="E395" s="13">
        <v>0</v>
      </c>
      <c r="F395" s="43">
        <f t="shared" si="8"/>
        <v>0</v>
      </c>
      <c r="G395" s="7"/>
    </row>
    <row r="396" spans="1:7" s="8" customFormat="1" ht="13.2" x14ac:dyDescent="0.25">
      <c r="A396" s="119" t="s">
        <v>2372</v>
      </c>
      <c r="B396" s="125" t="s">
        <v>2220</v>
      </c>
      <c r="C396" s="101" t="s">
        <v>1302</v>
      </c>
      <c r="D396" s="19">
        <v>0</v>
      </c>
      <c r="E396" s="13">
        <v>0</v>
      </c>
      <c r="F396" s="43">
        <f t="shared" si="8"/>
        <v>0</v>
      </c>
      <c r="G396" s="7"/>
    </row>
    <row r="397" spans="1:7" s="8" customFormat="1" ht="13.2" x14ac:dyDescent="0.25">
      <c r="A397" s="119" t="s">
        <v>2373</v>
      </c>
      <c r="B397" s="125" t="s">
        <v>2221</v>
      </c>
      <c r="C397" s="101" t="s">
        <v>1302</v>
      </c>
      <c r="D397" s="19">
        <v>0</v>
      </c>
      <c r="E397" s="13">
        <v>0</v>
      </c>
      <c r="F397" s="43">
        <f t="shared" si="8"/>
        <v>0</v>
      </c>
      <c r="G397" s="7"/>
    </row>
    <row r="398" spans="1:7" s="8" customFormat="1" ht="13.2" x14ac:dyDescent="0.25">
      <c r="A398" s="119" t="s">
        <v>2374</v>
      </c>
      <c r="B398" s="125" t="s">
        <v>2222</v>
      </c>
      <c r="C398" s="101" t="s">
        <v>1302</v>
      </c>
      <c r="D398" s="19">
        <v>0</v>
      </c>
      <c r="E398" s="13">
        <v>0</v>
      </c>
      <c r="F398" s="43">
        <f t="shared" si="8"/>
        <v>0</v>
      </c>
      <c r="G398" s="7"/>
    </row>
    <row r="399" spans="1:7" s="8" customFormat="1" ht="13.2" x14ac:dyDescent="0.25">
      <c r="A399" s="119" t="s">
        <v>2375</v>
      </c>
      <c r="B399" s="125" t="s">
        <v>2223</v>
      </c>
      <c r="C399" s="101" t="s">
        <v>1302</v>
      </c>
      <c r="D399" s="19">
        <v>0</v>
      </c>
      <c r="E399" s="13">
        <v>0</v>
      </c>
      <c r="F399" s="43">
        <f t="shared" si="8"/>
        <v>0</v>
      </c>
      <c r="G399" s="7"/>
    </row>
    <row r="400" spans="1:7" s="8" customFormat="1" ht="13.2" x14ac:dyDescent="0.25">
      <c r="A400" s="119" t="s">
        <v>2376</v>
      </c>
      <c r="B400" s="125" t="s">
        <v>2224</v>
      </c>
      <c r="C400" s="101" t="s">
        <v>1302</v>
      </c>
      <c r="D400" s="19">
        <v>0</v>
      </c>
      <c r="E400" s="13">
        <v>0</v>
      </c>
      <c r="F400" s="43">
        <f t="shared" si="8"/>
        <v>0</v>
      </c>
      <c r="G400" s="7"/>
    </row>
    <row r="401" spans="1:7" s="8" customFormat="1" ht="13.2" x14ac:dyDescent="0.25">
      <c r="A401" s="119" t="s">
        <v>2377</v>
      </c>
      <c r="B401" s="125" t="s">
        <v>3155</v>
      </c>
      <c r="C401" s="101" t="s">
        <v>1302</v>
      </c>
      <c r="D401" s="150">
        <v>0</v>
      </c>
      <c r="E401" s="13">
        <v>0</v>
      </c>
      <c r="F401" s="43">
        <f t="shared" si="8"/>
        <v>0</v>
      </c>
      <c r="G401" s="7"/>
    </row>
    <row r="402" spans="1:7" s="8" customFormat="1" ht="13.2" x14ac:dyDescent="0.25">
      <c r="A402" s="119" t="s">
        <v>583</v>
      </c>
      <c r="B402" s="125" t="s">
        <v>1878</v>
      </c>
      <c r="C402" s="101"/>
      <c r="D402" s="17"/>
      <c r="E402" s="13"/>
      <c r="F402" s="43"/>
      <c r="G402" s="7"/>
    </row>
    <row r="403" spans="1:7" s="8" customFormat="1" ht="12.75" customHeight="1" x14ac:dyDescent="0.25">
      <c r="A403" s="119" t="s">
        <v>1861</v>
      </c>
      <c r="B403" s="125" t="s">
        <v>2202</v>
      </c>
      <c r="C403" s="101" t="s">
        <v>1302</v>
      </c>
      <c r="D403" s="150">
        <v>0</v>
      </c>
      <c r="E403" s="13">
        <v>0</v>
      </c>
      <c r="F403" s="43">
        <f t="shared" si="8"/>
        <v>0</v>
      </c>
      <c r="G403" s="7"/>
    </row>
    <row r="404" spans="1:7" s="8" customFormat="1" ht="12.75" customHeight="1" x14ac:dyDescent="0.25">
      <c r="A404" s="119" t="s">
        <v>1862</v>
      </c>
      <c r="B404" s="125" t="s">
        <v>2203</v>
      </c>
      <c r="C404" s="101" t="s">
        <v>1302</v>
      </c>
      <c r="D404" s="150">
        <v>0</v>
      </c>
      <c r="E404" s="13">
        <v>0</v>
      </c>
      <c r="F404" s="43">
        <f t="shared" si="8"/>
        <v>0</v>
      </c>
      <c r="G404" s="7"/>
    </row>
    <row r="405" spans="1:7" s="8" customFormat="1" ht="13.2" x14ac:dyDescent="0.25">
      <c r="A405" s="119" t="s">
        <v>1863</v>
      </c>
      <c r="B405" s="125" t="s">
        <v>2204</v>
      </c>
      <c r="C405" s="101" t="s">
        <v>1302</v>
      </c>
      <c r="D405" s="150">
        <v>0</v>
      </c>
      <c r="E405" s="13">
        <v>0</v>
      </c>
      <c r="F405" s="43">
        <f t="shared" si="8"/>
        <v>0</v>
      </c>
      <c r="G405" s="7"/>
    </row>
    <row r="406" spans="1:7" s="8" customFormat="1" ht="13.2" x14ac:dyDescent="0.25">
      <c r="A406" s="119" t="s">
        <v>1864</v>
      </c>
      <c r="B406" s="125" t="s">
        <v>2205</v>
      </c>
      <c r="C406" s="101" t="s">
        <v>1302</v>
      </c>
      <c r="D406" s="150">
        <v>0</v>
      </c>
      <c r="E406" s="13">
        <v>0</v>
      </c>
      <c r="F406" s="43">
        <f t="shared" si="8"/>
        <v>0</v>
      </c>
      <c r="G406" s="7"/>
    </row>
    <row r="407" spans="1:7" s="8" customFormat="1" ht="13.2" x14ac:dyDescent="0.25">
      <c r="A407" s="119" t="s">
        <v>1865</v>
      </c>
      <c r="B407" s="125" t="s">
        <v>2206</v>
      </c>
      <c r="C407" s="101" t="s">
        <v>1302</v>
      </c>
      <c r="D407" s="150">
        <v>0</v>
      </c>
      <c r="E407" s="13">
        <v>0</v>
      </c>
      <c r="F407" s="43">
        <f t="shared" si="8"/>
        <v>0</v>
      </c>
      <c r="G407" s="7"/>
    </row>
    <row r="408" spans="1:7" s="8" customFormat="1" ht="13.2" x14ac:dyDescent="0.25">
      <c r="A408" s="119" t="s">
        <v>2378</v>
      </c>
      <c r="B408" s="125" t="s">
        <v>2207</v>
      </c>
      <c r="C408" s="101" t="s">
        <v>1302</v>
      </c>
      <c r="D408" s="150">
        <v>0</v>
      </c>
      <c r="E408" s="13">
        <v>0</v>
      </c>
      <c r="F408" s="43">
        <f t="shared" si="8"/>
        <v>0</v>
      </c>
      <c r="G408" s="7"/>
    </row>
    <row r="409" spans="1:7" s="8" customFormat="1" ht="13.2" x14ac:dyDescent="0.25">
      <c r="A409" s="119" t="s">
        <v>2379</v>
      </c>
      <c r="B409" s="125" t="s">
        <v>2208</v>
      </c>
      <c r="C409" s="101" t="s">
        <v>1302</v>
      </c>
      <c r="D409" s="150">
        <v>0</v>
      </c>
      <c r="E409" s="13">
        <v>0</v>
      </c>
      <c r="F409" s="43">
        <f t="shared" si="8"/>
        <v>0</v>
      </c>
      <c r="G409" s="7"/>
    </row>
    <row r="410" spans="1:7" s="8" customFormat="1" ht="13.2" x14ac:dyDescent="0.25">
      <c r="A410" s="119" t="s">
        <v>2380</v>
      </c>
      <c r="B410" s="125" t="s">
        <v>2209</v>
      </c>
      <c r="C410" s="101" t="s">
        <v>1302</v>
      </c>
      <c r="D410" s="150">
        <v>0</v>
      </c>
      <c r="E410" s="13">
        <v>0</v>
      </c>
      <c r="F410" s="43">
        <f t="shared" si="8"/>
        <v>0</v>
      </c>
      <c r="G410" s="7"/>
    </row>
    <row r="411" spans="1:7" s="8" customFormat="1" ht="13.2" x14ac:dyDescent="0.25">
      <c r="A411" s="119" t="s">
        <v>2381</v>
      </c>
      <c r="B411" s="125" t="s">
        <v>2210</v>
      </c>
      <c r="C411" s="101" t="s">
        <v>1302</v>
      </c>
      <c r="D411" s="150">
        <v>0</v>
      </c>
      <c r="E411" s="13">
        <v>0</v>
      </c>
      <c r="F411" s="43">
        <f t="shared" si="8"/>
        <v>0</v>
      </c>
      <c r="G411" s="7"/>
    </row>
    <row r="412" spans="1:7" s="8" customFormat="1" ht="13.2" x14ac:dyDescent="0.25">
      <c r="A412" s="119" t="s">
        <v>2382</v>
      </c>
      <c r="B412" s="125" t="s">
        <v>2211</v>
      </c>
      <c r="C412" s="101" t="s">
        <v>1302</v>
      </c>
      <c r="D412" s="150">
        <v>0</v>
      </c>
      <c r="E412" s="13">
        <v>0</v>
      </c>
      <c r="F412" s="43">
        <f t="shared" si="8"/>
        <v>0</v>
      </c>
      <c r="G412" s="7"/>
    </row>
    <row r="413" spans="1:7" s="8" customFormat="1" ht="13.2" x14ac:dyDescent="0.25">
      <c r="A413" s="119" t="s">
        <v>2383</v>
      </c>
      <c r="B413" s="125" t="s">
        <v>2212</v>
      </c>
      <c r="C413" s="101" t="s">
        <v>1302</v>
      </c>
      <c r="D413" s="150">
        <v>0</v>
      </c>
      <c r="E413" s="13">
        <v>0</v>
      </c>
      <c r="F413" s="43">
        <f t="shared" si="8"/>
        <v>0</v>
      </c>
      <c r="G413" s="7"/>
    </row>
    <row r="414" spans="1:7" s="8" customFormat="1" ht="13.2" x14ac:dyDescent="0.25">
      <c r="A414" s="119" t="s">
        <v>2384</v>
      </c>
      <c r="B414" s="125" t="s">
        <v>2213</v>
      </c>
      <c r="C414" s="101" t="s">
        <v>1302</v>
      </c>
      <c r="D414" s="150">
        <v>0</v>
      </c>
      <c r="E414" s="13">
        <v>0</v>
      </c>
      <c r="F414" s="43">
        <f t="shared" si="8"/>
        <v>0</v>
      </c>
      <c r="G414" s="7"/>
    </row>
    <row r="415" spans="1:7" s="8" customFormat="1" ht="13.2" x14ac:dyDescent="0.25">
      <c r="A415" s="119" t="s">
        <v>2385</v>
      </c>
      <c r="B415" s="125" t="s">
        <v>2214</v>
      </c>
      <c r="C415" s="101" t="s">
        <v>1302</v>
      </c>
      <c r="D415" s="150">
        <v>0</v>
      </c>
      <c r="E415" s="13">
        <v>0</v>
      </c>
      <c r="F415" s="43">
        <f t="shared" si="8"/>
        <v>0</v>
      </c>
      <c r="G415" s="7"/>
    </row>
    <row r="416" spans="1:7" s="8" customFormat="1" ht="13.2" x14ac:dyDescent="0.25">
      <c r="A416" s="119" t="s">
        <v>2386</v>
      </c>
      <c r="B416" s="125" t="s">
        <v>2215</v>
      </c>
      <c r="C416" s="101" t="s">
        <v>1302</v>
      </c>
      <c r="D416" s="150">
        <v>0</v>
      </c>
      <c r="E416" s="13">
        <v>0</v>
      </c>
      <c r="F416" s="43">
        <f t="shared" si="8"/>
        <v>0</v>
      </c>
      <c r="G416" s="7"/>
    </row>
    <row r="417" spans="1:7" s="8" customFormat="1" ht="13.2" x14ac:dyDescent="0.25">
      <c r="A417" s="119" t="s">
        <v>1317</v>
      </c>
      <c r="B417" s="125" t="s">
        <v>2053</v>
      </c>
      <c r="C417" s="101"/>
      <c r="D417" s="17"/>
      <c r="E417" s="13"/>
      <c r="F417" s="43"/>
      <c r="G417" s="7"/>
    </row>
    <row r="418" spans="1:7" s="8" customFormat="1" ht="13.2" x14ac:dyDescent="0.25">
      <c r="A418" s="119" t="s">
        <v>1866</v>
      </c>
      <c r="B418" s="125" t="s">
        <v>2202</v>
      </c>
      <c r="C418" s="101" t="s">
        <v>1302</v>
      </c>
      <c r="D418" s="150">
        <v>0</v>
      </c>
      <c r="E418" s="13">
        <v>0</v>
      </c>
      <c r="F418" s="43">
        <f t="shared" ref="F418:F423" si="9">D418*E418</f>
        <v>0</v>
      </c>
      <c r="G418" s="7"/>
    </row>
    <row r="419" spans="1:7" s="8" customFormat="1" ht="13.2" x14ac:dyDescent="0.25">
      <c r="A419" s="119" t="s">
        <v>1867</v>
      </c>
      <c r="B419" s="125" t="s">
        <v>2203</v>
      </c>
      <c r="C419" s="101" t="s">
        <v>1302</v>
      </c>
      <c r="D419" s="150">
        <v>0</v>
      </c>
      <c r="E419" s="13">
        <v>0</v>
      </c>
      <c r="F419" s="43">
        <f t="shared" si="9"/>
        <v>0</v>
      </c>
      <c r="G419" s="7"/>
    </row>
    <row r="420" spans="1:7" s="8" customFormat="1" ht="13.2" x14ac:dyDescent="0.25">
      <c r="A420" s="119" t="s">
        <v>1868</v>
      </c>
      <c r="B420" s="125" t="s">
        <v>2237</v>
      </c>
      <c r="C420" s="101" t="s">
        <v>1302</v>
      </c>
      <c r="D420" s="150">
        <v>0</v>
      </c>
      <c r="E420" s="13">
        <v>0</v>
      </c>
      <c r="F420" s="43">
        <f t="shared" si="9"/>
        <v>0</v>
      </c>
      <c r="G420" s="7"/>
    </row>
    <row r="421" spans="1:7" s="8" customFormat="1" ht="13.2" x14ac:dyDescent="0.25">
      <c r="A421" s="119" t="s">
        <v>1869</v>
      </c>
      <c r="B421" s="125" t="s">
        <v>2207</v>
      </c>
      <c r="C421" s="101" t="s">
        <v>1302</v>
      </c>
      <c r="D421" s="150">
        <v>0</v>
      </c>
      <c r="E421" s="13">
        <v>0</v>
      </c>
      <c r="F421" s="43">
        <f t="shared" si="9"/>
        <v>0</v>
      </c>
      <c r="G421" s="7"/>
    </row>
    <row r="422" spans="1:7" s="8" customFormat="1" ht="13.2" x14ac:dyDescent="0.25">
      <c r="A422" s="119" t="s">
        <v>1870</v>
      </c>
      <c r="B422" s="125" t="s">
        <v>2992</v>
      </c>
      <c r="C422" s="101" t="s">
        <v>1302</v>
      </c>
      <c r="D422" s="150">
        <v>0</v>
      </c>
      <c r="E422" s="13">
        <v>0</v>
      </c>
      <c r="F422" s="43">
        <f t="shared" si="9"/>
        <v>0</v>
      </c>
      <c r="G422" s="7"/>
    </row>
    <row r="423" spans="1:7" s="8" customFormat="1" ht="13.2" x14ac:dyDescent="0.25">
      <c r="A423" s="119" t="s">
        <v>1871</v>
      </c>
      <c r="B423" s="125" t="s">
        <v>2993</v>
      </c>
      <c r="C423" s="101" t="s">
        <v>1302</v>
      </c>
      <c r="D423" s="19">
        <v>0</v>
      </c>
      <c r="E423" s="13">
        <v>0</v>
      </c>
      <c r="F423" s="43">
        <f t="shared" si="9"/>
        <v>0</v>
      </c>
      <c r="G423" s="7"/>
    </row>
    <row r="424" spans="1:7" s="8" customFormat="1" ht="13.2" x14ac:dyDescent="0.25">
      <c r="A424" s="119" t="s">
        <v>1318</v>
      </c>
      <c r="B424" s="125" t="s">
        <v>2873</v>
      </c>
      <c r="C424" s="101"/>
      <c r="D424" s="17"/>
      <c r="E424" s="13"/>
      <c r="F424" s="43"/>
      <c r="G424" s="7"/>
    </row>
    <row r="425" spans="1:7" s="8" customFormat="1" ht="13.2" x14ac:dyDescent="0.25">
      <c r="A425" s="119" t="s">
        <v>1872</v>
      </c>
      <c r="B425" s="125" t="s">
        <v>2994</v>
      </c>
      <c r="C425" s="101" t="s">
        <v>1302</v>
      </c>
      <c r="D425" s="150">
        <v>280</v>
      </c>
      <c r="E425" s="13">
        <v>0</v>
      </c>
      <c r="F425" s="43">
        <f t="shared" si="8"/>
        <v>0</v>
      </c>
      <c r="G425" s="7"/>
    </row>
    <row r="426" spans="1:7" s="8" customFormat="1" ht="13.2" x14ac:dyDescent="0.25">
      <c r="A426" s="119" t="s">
        <v>1873</v>
      </c>
      <c r="B426" s="125" t="s">
        <v>2995</v>
      </c>
      <c r="C426" s="101" t="s">
        <v>1302</v>
      </c>
      <c r="D426" s="150">
        <v>0</v>
      </c>
      <c r="E426" s="13">
        <v>0</v>
      </c>
      <c r="F426" s="43">
        <f>D426*E426</f>
        <v>0</v>
      </c>
      <c r="G426" s="7"/>
    </row>
    <row r="427" spans="1:7" s="8" customFormat="1" ht="13.2" x14ac:dyDescent="0.25">
      <c r="A427" s="119" t="s">
        <v>1874</v>
      </c>
      <c r="B427" s="125" t="s">
        <v>2996</v>
      </c>
      <c r="C427" s="101" t="s">
        <v>1302</v>
      </c>
      <c r="D427" s="150">
        <v>240</v>
      </c>
      <c r="E427" s="13">
        <v>0</v>
      </c>
      <c r="F427" s="43">
        <f t="shared" si="8"/>
        <v>0</v>
      </c>
      <c r="G427" s="7"/>
    </row>
    <row r="428" spans="1:7" s="8" customFormat="1" ht="13.2" x14ac:dyDescent="0.25">
      <c r="A428" s="119" t="s">
        <v>1875</v>
      </c>
      <c r="B428" s="125" t="s">
        <v>2997</v>
      </c>
      <c r="C428" s="101" t="s">
        <v>1302</v>
      </c>
      <c r="D428" s="150">
        <v>0</v>
      </c>
      <c r="E428" s="13">
        <v>0</v>
      </c>
      <c r="F428" s="43">
        <f>D428*E428</f>
        <v>0</v>
      </c>
      <c r="G428" s="7"/>
    </row>
    <row r="429" spans="1:7" s="8" customFormat="1" ht="13.2" x14ac:dyDescent="0.25">
      <c r="A429" s="119" t="s">
        <v>2052</v>
      </c>
      <c r="B429" s="125" t="s">
        <v>3186</v>
      </c>
      <c r="C429" s="101" t="s">
        <v>1302</v>
      </c>
      <c r="D429" s="150">
        <v>0</v>
      </c>
      <c r="E429" s="13">
        <v>0</v>
      </c>
      <c r="F429" s="43">
        <f t="shared" si="8"/>
        <v>0</v>
      </c>
      <c r="G429" s="7"/>
    </row>
    <row r="430" spans="1:7" s="8" customFormat="1" ht="13.2" x14ac:dyDescent="0.25">
      <c r="A430" s="119" t="s">
        <v>1743</v>
      </c>
      <c r="B430" s="125" t="s">
        <v>2005</v>
      </c>
      <c r="C430" s="101"/>
      <c r="D430" s="17"/>
      <c r="E430" s="13"/>
      <c r="F430" s="43"/>
      <c r="G430" s="7"/>
    </row>
    <row r="431" spans="1:7" s="8" customFormat="1" ht="13.2" x14ac:dyDescent="0.25">
      <c r="A431" s="119" t="s">
        <v>1876</v>
      </c>
      <c r="B431" s="125" t="s">
        <v>2992</v>
      </c>
      <c r="C431" s="101" t="s">
        <v>1302</v>
      </c>
      <c r="D431" s="150">
        <v>0</v>
      </c>
      <c r="E431" s="13">
        <v>0</v>
      </c>
      <c r="F431" s="43">
        <f t="shared" si="8"/>
        <v>0</v>
      </c>
      <c r="G431" s="7"/>
    </row>
    <row r="432" spans="1:7" s="8" customFormat="1" ht="13.2" x14ac:dyDescent="0.25">
      <c r="A432" s="119" t="s">
        <v>1877</v>
      </c>
      <c r="B432" s="125" t="s">
        <v>2993</v>
      </c>
      <c r="C432" s="101" t="s">
        <v>1302</v>
      </c>
      <c r="D432" s="150">
        <v>0</v>
      </c>
      <c r="E432" s="13">
        <v>0</v>
      </c>
      <c r="F432" s="43">
        <f t="shared" si="8"/>
        <v>0</v>
      </c>
      <c r="G432" s="7"/>
    </row>
    <row r="433" spans="1:7" s="12" customFormat="1" ht="13.2" x14ac:dyDescent="0.25">
      <c r="A433" s="119" t="s">
        <v>1744</v>
      </c>
      <c r="B433" s="125" t="s">
        <v>2998</v>
      </c>
      <c r="C433" s="101" t="s">
        <v>1302</v>
      </c>
      <c r="D433" s="150">
        <v>0</v>
      </c>
      <c r="E433" s="13">
        <v>0</v>
      </c>
      <c r="F433" s="43">
        <f t="shared" si="8"/>
        <v>0</v>
      </c>
      <c r="G433" s="7"/>
    </row>
    <row r="434" spans="1:7" s="12" customFormat="1" ht="13.2" x14ac:dyDescent="0.25">
      <c r="A434" s="119" t="s">
        <v>1745</v>
      </c>
      <c r="B434" s="121" t="s">
        <v>2999</v>
      </c>
      <c r="C434" s="101" t="s">
        <v>1302</v>
      </c>
      <c r="D434" s="150">
        <v>520</v>
      </c>
      <c r="E434" s="13">
        <v>0</v>
      </c>
      <c r="F434" s="43">
        <f t="shared" si="8"/>
        <v>0</v>
      </c>
      <c r="G434" s="7"/>
    </row>
    <row r="435" spans="1:7" s="6" customFormat="1" ht="13.2" x14ac:dyDescent="0.25">
      <c r="A435" s="27" t="s">
        <v>409</v>
      </c>
      <c r="B435" s="35" t="s">
        <v>1879</v>
      </c>
      <c r="C435" s="101" t="s">
        <v>1302</v>
      </c>
      <c r="D435" s="19">
        <v>520</v>
      </c>
      <c r="E435" s="13">
        <v>0</v>
      </c>
      <c r="F435" s="43">
        <f t="shared" si="8"/>
        <v>0</v>
      </c>
      <c r="G435" s="7"/>
    </row>
    <row r="436" spans="1:7" s="12" customFormat="1" ht="13.2" x14ac:dyDescent="0.25">
      <c r="A436" s="27" t="s">
        <v>410</v>
      </c>
      <c r="B436" s="35" t="s">
        <v>1880</v>
      </c>
      <c r="C436" s="101" t="s">
        <v>1081</v>
      </c>
      <c r="D436" s="19">
        <v>1</v>
      </c>
      <c r="E436" s="13">
        <v>0</v>
      </c>
      <c r="F436" s="43">
        <f t="shared" si="8"/>
        <v>0</v>
      </c>
      <c r="G436" s="7"/>
    </row>
    <row r="437" spans="1:7" s="4" customFormat="1" ht="13.2" x14ac:dyDescent="0.25">
      <c r="A437" s="27" t="s">
        <v>411</v>
      </c>
      <c r="B437" s="35" t="s">
        <v>1881</v>
      </c>
      <c r="C437" s="101" t="s">
        <v>13</v>
      </c>
      <c r="D437" s="19">
        <v>0</v>
      </c>
      <c r="E437" s="13">
        <v>0</v>
      </c>
      <c r="F437" s="43">
        <f>D437*E437</f>
        <v>0</v>
      </c>
      <c r="G437" s="7"/>
    </row>
    <row r="438" spans="1:7" s="6" customFormat="1" ht="13.2" x14ac:dyDescent="0.25">
      <c r="A438" s="27" t="s">
        <v>412</v>
      </c>
      <c r="B438" s="35" t="s">
        <v>2315</v>
      </c>
      <c r="C438" s="101" t="s">
        <v>13</v>
      </c>
      <c r="D438" s="150">
        <v>0</v>
      </c>
      <c r="E438" s="13">
        <v>0</v>
      </c>
      <c r="F438" s="43">
        <f>D438*E438</f>
        <v>0</v>
      </c>
      <c r="G438" s="7"/>
    </row>
    <row r="439" spans="1:7" s="12" customFormat="1" ht="13.2" x14ac:dyDescent="0.25">
      <c r="A439" s="27" t="s">
        <v>413</v>
      </c>
      <c r="B439" s="35" t="s">
        <v>1882</v>
      </c>
      <c r="C439" s="101" t="s">
        <v>13</v>
      </c>
      <c r="D439" s="150">
        <v>0</v>
      </c>
      <c r="E439" s="13">
        <v>0</v>
      </c>
      <c r="F439" s="43">
        <f>D439*E439</f>
        <v>0</v>
      </c>
      <c r="G439" s="7"/>
    </row>
    <row r="440" spans="1:7" s="12" customFormat="1" ht="13.2" x14ac:dyDescent="0.25">
      <c r="A440" s="119"/>
      <c r="B440" s="120"/>
      <c r="C440" s="101"/>
      <c r="D440" s="101"/>
      <c r="E440" s="159"/>
      <c r="F440" s="126"/>
      <c r="G440" s="7"/>
    </row>
    <row r="441" spans="1:7" s="11" customFormat="1" ht="13.2" x14ac:dyDescent="0.25">
      <c r="A441" s="119"/>
      <c r="B441" s="152" t="s">
        <v>1789</v>
      </c>
      <c r="C441" s="101"/>
      <c r="D441" s="101"/>
      <c r="E441" s="159"/>
      <c r="F441" s="43">
        <f>SUM(F367:F440)</f>
        <v>0</v>
      </c>
      <c r="G441" s="7"/>
    </row>
    <row r="442" spans="1:7" s="11" customFormat="1" ht="13.2" x14ac:dyDescent="0.25">
      <c r="A442" s="122"/>
      <c r="B442" s="123"/>
      <c r="C442" s="103"/>
      <c r="D442" s="103"/>
      <c r="E442" s="160"/>
      <c r="F442" s="127"/>
      <c r="G442" s="7"/>
    </row>
    <row r="443" spans="1:7" s="11" customFormat="1" ht="13.2" x14ac:dyDescent="0.25">
      <c r="A443" s="30" t="s">
        <v>1071</v>
      </c>
      <c r="B443" s="36" t="s">
        <v>1746</v>
      </c>
      <c r="C443" s="104" t="s">
        <v>1080</v>
      </c>
      <c r="D443" s="108"/>
      <c r="E443" s="158" t="s">
        <v>1080</v>
      </c>
      <c r="F443" s="124" t="s">
        <v>1080</v>
      </c>
      <c r="G443" s="7"/>
    </row>
    <row r="444" spans="1:7" s="12" customFormat="1" ht="13.2" x14ac:dyDescent="0.25">
      <c r="A444" s="27" t="s">
        <v>747</v>
      </c>
      <c r="B444" s="28" t="s">
        <v>1883</v>
      </c>
      <c r="C444" s="101"/>
      <c r="D444" s="101"/>
      <c r="E444" s="159"/>
      <c r="F444" s="126"/>
      <c r="G444" s="7"/>
    </row>
    <row r="445" spans="1:7" s="12" customFormat="1" ht="13.2" x14ac:dyDescent="0.25">
      <c r="A445" s="119" t="s">
        <v>749</v>
      </c>
      <c r="B445" s="121" t="s">
        <v>1552</v>
      </c>
      <c r="C445" s="101" t="s">
        <v>13</v>
      </c>
      <c r="D445" s="19">
        <v>0</v>
      </c>
      <c r="E445" s="13">
        <v>0</v>
      </c>
      <c r="F445" s="43">
        <f t="shared" ref="F445:F450" si="10">D445*E445</f>
        <v>0</v>
      </c>
      <c r="G445" s="7"/>
    </row>
    <row r="446" spans="1:7" s="6" customFormat="1" ht="13.2" x14ac:dyDescent="0.25">
      <c r="A446" s="119" t="s">
        <v>750</v>
      </c>
      <c r="B446" s="121" t="s">
        <v>1553</v>
      </c>
      <c r="C446" s="101" t="s">
        <v>13</v>
      </c>
      <c r="D446" s="19">
        <v>0</v>
      </c>
      <c r="E446" s="13">
        <v>0</v>
      </c>
      <c r="F446" s="43">
        <f t="shared" si="10"/>
        <v>0</v>
      </c>
      <c r="G446" s="7"/>
    </row>
    <row r="447" spans="1:7" s="12" customFormat="1" ht="13.2" x14ac:dyDescent="0.25">
      <c r="A447" s="119" t="s">
        <v>751</v>
      </c>
      <c r="B447" s="120" t="s">
        <v>3187</v>
      </c>
      <c r="C447" s="101" t="s">
        <v>13</v>
      </c>
      <c r="D447" s="150">
        <v>0</v>
      </c>
      <c r="E447" s="13">
        <v>0</v>
      </c>
      <c r="F447" s="43">
        <f t="shared" si="10"/>
        <v>0</v>
      </c>
      <c r="G447" s="7"/>
    </row>
    <row r="448" spans="1:7" s="5" customFormat="1" ht="13.2" x14ac:dyDescent="0.25">
      <c r="A448" s="119" t="s">
        <v>752</v>
      </c>
      <c r="B448" s="120" t="s">
        <v>2802</v>
      </c>
      <c r="C448" s="101" t="s">
        <v>13</v>
      </c>
      <c r="D448" s="19">
        <v>0</v>
      </c>
      <c r="E448" s="13">
        <v>0</v>
      </c>
      <c r="F448" s="43">
        <f t="shared" si="10"/>
        <v>0</v>
      </c>
      <c r="G448" s="7"/>
    </row>
    <row r="449" spans="1:7" s="5" customFormat="1" ht="13.2" x14ac:dyDescent="0.25">
      <c r="A449" s="119" t="s">
        <v>753</v>
      </c>
      <c r="B449" s="120" t="s">
        <v>1494</v>
      </c>
      <c r="C449" s="101" t="s">
        <v>13</v>
      </c>
      <c r="D449" s="19">
        <v>0</v>
      </c>
      <c r="E449" s="13">
        <v>0</v>
      </c>
      <c r="F449" s="43">
        <f t="shared" si="10"/>
        <v>0</v>
      </c>
      <c r="G449" s="7"/>
    </row>
    <row r="450" spans="1:7" s="12" customFormat="1" ht="13.2" x14ac:dyDescent="0.25">
      <c r="A450" s="119" t="s">
        <v>754</v>
      </c>
      <c r="B450" s="120" t="s">
        <v>1495</v>
      </c>
      <c r="C450" s="101" t="s">
        <v>13</v>
      </c>
      <c r="D450" s="19">
        <v>0</v>
      </c>
      <c r="E450" s="13">
        <v>0</v>
      </c>
      <c r="F450" s="43">
        <f t="shared" si="10"/>
        <v>0</v>
      </c>
      <c r="G450" s="7"/>
    </row>
    <row r="451" spans="1:7" s="12" customFormat="1" ht="13.2" x14ac:dyDescent="0.25">
      <c r="A451" s="27" t="s">
        <v>748</v>
      </c>
      <c r="B451" s="28" t="s">
        <v>1884</v>
      </c>
      <c r="C451" s="101"/>
      <c r="D451" s="17"/>
      <c r="E451" s="13"/>
      <c r="F451" s="43"/>
      <c r="G451" s="7"/>
    </row>
    <row r="452" spans="1:7" s="12" customFormat="1" ht="13.2" x14ac:dyDescent="0.25">
      <c r="A452" s="119" t="s">
        <v>756</v>
      </c>
      <c r="B452" s="121" t="s">
        <v>1554</v>
      </c>
      <c r="C452" s="101" t="s">
        <v>13</v>
      </c>
      <c r="D452" s="19">
        <v>0</v>
      </c>
      <c r="E452" s="13">
        <v>0</v>
      </c>
      <c r="F452" s="43">
        <f t="shared" ref="F452:F460" si="11">D452*E452</f>
        <v>0</v>
      </c>
      <c r="G452" s="7"/>
    </row>
    <row r="453" spans="1:7" s="12" customFormat="1" ht="13.2" x14ac:dyDescent="0.25">
      <c r="A453" s="119" t="s">
        <v>757</v>
      </c>
      <c r="B453" s="121" t="s">
        <v>1555</v>
      </c>
      <c r="C453" s="101" t="s">
        <v>13</v>
      </c>
      <c r="D453" s="19">
        <v>0</v>
      </c>
      <c r="E453" s="13">
        <v>0</v>
      </c>
      <c r="F453" s="43">
        <f t="shared" si="11"/>
        <v>0</v>
      </c>
      <c r="G453" s="7"/>
    </row>
    <row r="454" spans="1:7" s="12" customFormat="1" ht="13.2" x14ac:dyDescent="0.25">
      <c r="A454" s="119" t="s">
        <v>758</v>
      </c>
      <c r="B454" s="121" t="s">
        <v>1556</v>
      </c>
      <c r="C454" s="101" t="s">
        <v>13</v>
      </c>
      <c r="D454" s="150">
        <v>0</v>
      </c>
      <c r="E454" s="13">
        <v>0</v>
      </c>
      <c r="F454" s="43">
        <f t="shared" si="11"/>
        <v>0</v>
      </c>
      <c r="G454" s="7"/>
    </row>
    <row r="455" spans="1:7" s="12" customFormat="1" ht="13.2" x14ac:dyDescent="0.25">
      <c r="A455" s="119" t="s">
        <v>584</v>
      </c>
      <c r="B455" s="121" t="s">
        <v>1557</v>
      </c>
      <c r="C455" s="101" t="s">
        <v>13</v>
      </c>
      <c r="D455" s="150">
        <v>0</v>
      </c>
      <c r="E455" s="13">
        <v>0</v>
      </c>
      <c r="F455" s="43">
        <f t="shared" si="11"/>
        <v>0</v>
      </c>
      <c r="G455" s="7"/>
    </row>
    <row r="456" spans="1:7" s="12" customFormat="1" ht="13.2" x14ac:dyDescent="0.25">
      <c r="A456" s="119" t="s">
        <v>585</v>
      </c>
      <c r="B456" s="120" t="s">
        <v>2196</v>
      </c>
      <c r="C456" s="101" t="s">
        <v>13</v>
      </c>
      <c r="D456" s="19">
        <v>0</v>
      </c>
      <c r="E456" s="13">
        <v>0</v>
      </c>
      <c r="F456" s="43">
        <f t="shared" si="11"/>
        <v>0</v>
      </c>
      <c r="G456" s="7"/>
    </row>
    <row r="457" spans="1:7" s="6" customFormat="1" ht="13.2" x14ac:dyDescent="0.25">
      <c r="A457" s="119" t="s">
        <v>586</v>
      </c>
      <c r="B457" s="120" t="s">
        <v>1692</v>
      </c>
      <c r="C457" s="101" t="s">
        <v>13</v>
      </c>
      <c r="D457" s="19">
        <v>0</v>
      </c>
      <c r="E457" s="13">
        <v>0</v>
      </c>
      <c r="F457" s="43">
        <f t="shared" si="11"/>
        <v>0</v>
      </c>
      <c r="G457" s="7"/>
    </row>
    <row r="458" spans="1:7" s="12" customFormat="1" ht="13.2" x14ac:dyDescent="0.25">
      <c r="A458" s="119" t="s">
        <v>587</v>
      </c>
      <c r="B458" s="120" t="s">
        <v>1690</v>
      </c>
      <c r="C458" s="101" t="s">
        <v>13</v>
      </c>
      <c r="D458" s="19">
        <v>0</v>
      </c>
      <c r="E458" s="13">
        <v>0</v>
      </c>
      <c r="F458" s="43">
        <f t="shared" si="11"/>
        <v>0</v>
      </c>
      <c r="G458" s="7"/>
    </row>
    <row r="459" spans="1:7" s="12" customFormat="1" ht="13.2" x14ac:dyDescent="0.25">
      <c r="A459" s="119" t="s">
        <v>588</v>
      </c>
      <c r="B459" s="120" t="s">
        <v>1691</v>
      </c>
      <c r="C459" s="101" t="s">
        <v>13</v>
      </c>
      <c r="D459" s="19">
        <v>0</v>
      </c>
      <c r="E459" s="13">
        <v>0</v>
      </c>
      <c r="F459" s="43">
        <f t="shared" si="11"/>
        <v>0</v>
      </c>
      <c r="G459" s="7"/>
    </row>
    <row r="460" spans="1:7" s="12" customFormat="1" ht="13.2" x14ac:dyDescent="0.25">
      <c r="A460" s="119" t="s">
        <v>3188</v>
      </c>
      <c r="B460" s="120" t="s">
        <v>3189</v>
      </c>
      <c r="C460" s="101" t="s">
        <v>13</v>
      </c>
      <c r="D460" s="150">
        <v>0</v>
      </c>
      <c r="E460" s="13">
        <v>0</v>
      </c>
      <c r="F460" s="43">
        <f t="shared" si="11"/>
        <v>0</v>
      </c>
      <c r="G460" s="7"/>
    </row>
    <row r="461" spans="1:7" s="12" customFormat="1" ht="13.2" x14ac:dyDescent="0.25">
      <c r="A461" s="27" t="s">
        <v>589</v>
      </c>
      <c r="B461" s="28" t="s">
        <v>1885</v>
      </c>
      <c r="C461" s="101"/>
      <c r="D461" s="17"/>
      <c r="E461" s="13"/>
      <c r="F461" s="43"/>
      <c r="G461" s="7"/>
    </row>
    <row r="462" spans="1:7" s="12" customFormat="1" ht="13.2" x14ac:dyDescent="0.25">
      <c r="A462" s="119" t="s">
        <v>590</v>
      </c>
      <c r="B462" s="120" t="s">
        <v>1696</v>
      </c>
      <c r="C462" s="101"/>
      <c r="D462" s="17"/>
      <c r="E462" s="13"/>
      <c r="F462" s="43"/>
      <c r="G462" s="7"/>
    </row>
    <row r="463" spans="1:7" s="12" customFormat="1" ht="13.2" x14ac:dyDescent="0.25">
      <c r="A463" s="119" t="s">
        <v>1790</v>
      </c>
      <c r="B463" s="120" t="s">
        <v>1698</v>
      </c>
      <c r="C463" s="101" t="s">
        <v>13</v>
      </c>
      <c r="D463" s="19">
        <v>0</v>
      </c>
      <c r="E463" s="13">
        <v>0</v>
      </c>
      <c r="F463" s="43">
        <f>D463*E463</f>
        <v>0</v>
      </c>
      <c r="G463" s="7"/>
    </row>
    <row r="464" spans="1:7" s="12" customFormat="1" ht="13.2" x14ac:dyDescent="0.25">
      <c r="A464" s="119" t="s">
        <v>1791</v>
      </c>
      <c r="B464" s="120" t="s">
        <v>1699</v>
      </c>
      <c r="C464" s="101" t="s">
        <v>13</v>
      </c>
      <c r="D464" s="19">
        <v>0</v>
      </c>
      <c r="E464" s="13">
        <v>0</v>
      </c>
      <c r="F464" s="43">
        <f>D464*E464</f>
        <v>0</v>
      </c>
      <c r="G464" s="7"/>
    </row>
    <row r="465" spans="1:7" s="12" customFormat="1" ht="13.2" x14ac:dyDescent="0.25">
      <c r="A465" s="119" t="s">
        <v>1792</v>
      </c>
      <c r="B465" s="120" t="s">
        <v>1700</v>
      </c>
      <c r="C465" s="101" t="s">
        <v>13</v>
      </c>
      <c r="D465" s="150">
        <v>0</v>
      </c>
      <c r="E465" s="13">
        <v>0</v>
      </c>
      <c r="F465" s="43">
        <f>D465*E465</f>
        <v>0</v>
      </c>
      <c r="G465" s="7"/>
    </row>
    <row r="466" spans="1:7" s="12" customFormat="1" ht="13.2" x14ac:dyDescent="0.25">
      <c r="A466" s="119" t="s">
        <v>1793</v>
      </c>
      <c r="B466" s="120" t="s">
        <v>1701</v>
      </c>
      <c r="C466" s="101" t="s">
        <v>13</v>
      </c>
      <c r="D466" s="19">
        <v>0</v>
      </c>
      <c r="E466" s="13">
        <v>0</v>
      </c>
      <c r="F466" s="43">
        <f>D466*E466</f>
        <v>0</v>
      </c>
      <c r="G466" s="7"/>
    </row>
    <row r="467" spans="1:7" s="12" customFormat="1" ht="13.2" x14ac:dyDescent="0.25">
      <c r="A467" s="119" t="s">
        <v>591</v>
      </c>
      <c r="B467" s="120" t="s">
        <v>1697</v>
      </c>
      <c r="C467" s="101"/>
      <c r="D467" s="17"/>
      <c r="E467" s="13"/>
      <c r="F467" s="43"/>
      <c r="G467" s="7"/>
    </row>
    <row r="468" spans="1:7" s="12" customFormat="1" ht="13.2" x14ac:dyDescent="0.25">
      <c r="A468" s="119" t="s">
        <v>1794</v>
      </c>
      <c r="B468" s="120" t="s">
        <v>1151</v>
      </c>
      <c r="C468" s="101" t="s">
        <v>13</v>
      </c>
      <c r="D468" s="19">
        <v>0</v>
      </c>
      <c r="E468" s="13">
        <v>0</v>
      </c>
      <c r="F468" s="43">
        <f t="shared" ref="F468:F473" si="12">D468*E468</f>
        <v>0</v>
      </c>
      <c r="G468" s="7"/>
    </row>
    <row r="469" spans="1:7" s="12" customFormat="1" ht="13.2" x14ac:dyDescent="0.25">
      <c r="A469" s="119" t="s">
        <v>1795</v>
      </c>
      <c r="B469" s="120" t="s">
        <v>1152</v>
      </c>
      <c r="C469" s="101" t="s">
        <v>13</v>
      </c>
      <c r="D469" s="19">
        <v>0</v>
      </c>
      <c r="E469" s="13">
        <v>0</v>
      </c>
      <c r="F469" s="43">
        <f t="shared" si="12"/>
        <v>0</v>
      </c>
      <c r="G469" s="7"/>
    </row>
    <row r="470" spans="1:7" s="12" customFormat="1" ht="13.2" x14ac:dyDescent="0.25">
      <c r="A470" s="119" t="s">
        <v>1796</v>
      </c>
      <c r="B470" s="120" t="s">
        <v>1153</v>
      </c>
      <c r="C470" s="101" t="s">
        <v>13</v>
      </c>
      <c r="D470" s="150">
        <v>0</v>
      </c>
      <c r="E470" s="13">
        <v>0</v>
      </c>
      <c r="F470" s="43">
        <f t="shared" si="12"/>
        <v>0</v>
      </c>
      <c r="G470" s="7"/>
    </row>
    <row r="471" spans="1:7" s="12" customFormat="1" ht="13.2" x14ac:dyDescent="0.25">
      <c r="A471" s="119" t="s">
        <v>1797</v>
      </c>
      <c r="B471" s="120" t="s">
        <v>1154</v>
      </c>
      <c r="C471" s="101" t="s">
        <v>13</v>
      </c>
      <c r="D471" s="19">
        <v>0</v>
      </c>
      <c r="E471" s="13">
        <v>0</v>
      </c>
      <c r="F471" s="43">
        <f t="shared" si="12"/>
        <v>0</v>
      </c>
      <c r="G471" s="7"/>
    </row>
    <row r="472" spans="1:7" s="12" customFormat="1" ht="13.2" x14ac:dyDescent="0.25">
      <c r="A472" s="119" t="s">
        <v>2803</v>
      </c>
      <c r="B472" s="120" t="s">
        <v>2238</v>
      </c>
      <c r="C472" s="101" t="s">
        <v>13</v>
      </c>
      <c r="D472" s="150">
        <v>0</v>
      </c>
      <c r="E472" s="13">
        <v>0</v>
      </c>
      <c r="F472" s="43">
        <f t="shared" si="12"/>
        <v>0</v>
      </c>
      <c r="G472" s="7"/>
    </row>
    <row r="473" spans="1:7" s="12" customFormat="1" ht="13.2" x14ac:dyDescent="0.25">
      <c r="A473" s="119" t="s">
        <v>2804</v>
      </c>
      <c r="B473" s="120" t="s">
        <v>2239</v>
      </c>
      <c r="C473" s="101" t="s">
        <v>13</v>
      </c>
      <c r="D473" s="150">
        <v>0</v>
      </c>
      <c r="E473" s="13">
        <v>0</v>
      </c>
      <c r="F473" s="43">
        <f t="shared" si="12"/>
        <v>0</v>
      </c>
      <c r="G473" s="7"/>
    </row>
    <row r="474" spans="1:7" s="12" customFormat="1" ht="13.2" x14ac:dyDescent="0.25">
      <c r="A474" s="119" t="s">
        <v>2387</v>
      </c>
      <c r="B474" s="120" t="s">
        <v>2229</v>
      </c>
      <c r="C474" s="101"/>
      <c r="D474" s="17"/>
      <c r="E474" s="13"/>
      <c r="F474" s="43"/>
      <c r="G474" s="7"/>
    </row>
    <row r="475" spans="1:7" s="12" customFormat="1" ht="13.2" x14ac:dyDescent="0.25">
      <c r="A475" s="119" t="s">
        <v>2388</v>
      </c>
      <c r="B475" s="120" t="s">
        <v>2230</v>
      </c>
      <c r="C475" s="101" t="s">
        <v>13</v>
      </c>
      <c r="D475" s="150">
        <v>0</v>
      </c>
      <c r="E475" s="13">
        <v>0</v>
      </c>
      <c r="F475" s="43">
        <f>D475*E475</f>
        <v>0</v>
      </c>
      <c r="G475" s="7"/>
    </row>
    <row r="476" spans="1:7" s="12" customFormat="1" ht="13.2" x14ac:dyDescent="0.25">
      <c r="A476" s="119" t="s">
        <v>2389</v>
      </c>
      <c r="B476" s="120" t="s">
        <v>2231</v>
      </c>
      <c r="C476" s="101" t="s">
        <v>13</v>
      </c>
      <c r="D476" s="150">
        <v>0</v>
      </c>
      <c r="E476" s="13">
        <v>0</v>
      </c>
      <c r="F476" s="43">
        <f>D476*E476</f>
        <v>0</v>
      </c>
      <c r="G476" s="7"/>
    </row>
    <row r="477" spans="1:7" s="6" customFormat="1" ht="13.2" x14ac:dyDescent="0.25">
      <c r="A477" s="119" t="s">
        <v>2390</v>
      </c>
      <c r="B477" s="120" t="s">
        <v>2240</v>
      </c>
      <c r="C477" s="101" t="s">
        <v>13</v>
      </c>
      <c r="D477" s="150">
        <v>0</v>
      </c>
      <c r="E477" s="13">
        <v>0</v>
      </c>
      <c r="F477" s="43">
        <f>D477*E477</f>
        <v>0</v>
      </c>
      <c r="G477" s="7"/>
    </row>
    <row r="478" spans="1:7" s="12" customFormat="1" ht="13.2" x14ac:dyDescent="0.25">
      <c r="A478" s="119" t="s">
        <v>2391</v>
      </c>
      <c r="B478" s="120" t="s">
        <v>2241</v>
      </c>
      <c r="C478" s="101" t="s">
        <v>13</v>
      </c>
      <c r="D478" s="150">
        <v>0</v>
      </c>
      <c r="E478" s="13">
        <v>0</v>
      </c>
      <c r="F478" s="43">
        <f>D478*E478</f>
        <v>0</v>
      </c>
      <c r="G478" s="7"/>
    </row>
    <row r="479" spans="1:7" s="12" customFormat="1" ht="13.2" x14ac:dyDescent="0.25">
      <c r="A479" s="29" t="s">
        <v>592</v>
      </c>
      <c r="B479" s="28" t="s">
        <v>1672</v>
      </c>
      <c r="C479" s="101"/>
      <c r="D479" s="17"/>
      <c r="E479" s="13"/>
      <c r="F479" s="43"/>
      <c r="G479" s="7"/>
    </row>
    <row r="480" spans="1:7" s="12" customFormat="1" ht="13.2" x14ac:dyDescent="0.25">
      <c r="A480" s="119" t="s">
        <v>2392</v>
      </c>
      <c r="B480" s="120" t="s">
        <v>2097</v>
      </c>
      <c r="C480" s="101" t="s">
        <v>13</v>
      </c>
      <c r="D480" s="19">
        <v>10</v>
      </c>
      <c r="E480" s="13">
        <v>0</v>
      </c>
      <c r="F480" s="43">
        <f>D480*E480</f>
        <v>0</v>
      </c>
      <c r="G480" s="7"/>
    </row>
    <row r="481" spans="1:7" s="12" customFormat="1" ht="13.2" x14ac:dyDescent="0.25">
      <c r="A481" s="119" t="s">
        <v>2393</v>
      </c>
      <c r="B481" s="120" t="s">
        <v>3054</v>
      </c>
      <c r="C481" s="101" t="s">
        <v>13</v>
      </c>
      <c r="D481" s="150">
        <v>0</v>
      </c>
      <c r="E481" s="13">
        <v>0</v>
      </c>
      <c r="F481" s="43">
        <f>D481*E481</f>
        <v>0</v>
      </c>
      <c r="G481" s="7"/>
    </row>
    <row r="482" spans="1:7" s="12" customFormat="1" ht="13.2" x14ac:dyDescent="0.25">
      <c r="A482" s="119"/>
      <c r="B482" s="120"/>
      <c r="C482" s="101"/>
      <c r="D482" s="17"/>
      <c r="E482" s="13"/>
      <c r="F482" s="43"/>
      <c r="G482" s="7"/>
    </row>
    <row r="483" spans="1:7" s="12" customFormat="1" ht="13.2" x14ac:dyDescent="0.25">
      <c r="A483" s="119"/>
      <c r="B483" s="152" t="s">
        <v>1747</v>
      </c>
      <c r="C483" s="101"/>
      <c r="D483" s="17"/>
      <c r="E483" s="13"/>
      <c r="F483" s="43">
        <f>SUM(F444:F481)</f>
        <v>0</v>
      </c>
      <c r="G483" s="7"/>
    </row>
    <row r="484" spans="1:7" s="12" customFormat="1" ht="13.2" x14ac:dyDescent="0.25">
      <c r="A484" s="119"/>
      <c r="B484" s="120"/>
      <c r="C484" s="103"/>
      <c r="D484" s="18"/>
      <c r="E484" s="16"/>
      <c r="F484" s="44"/>
      <c r="G484" s="7"/>
    </row>
    <row r="485" spans="1:7" s="12" customFormat="1" ht="13.2" x14ac:dyDescent="0.25">
      <c r="A485" s="30" t="s">
        <v>1072</v>
      </c>
      <c r="B485" s="36" t="s">
        <v>1748</v>
      </c>
      <c r="C485" s="104" t="s">
        <v>1080</v>
      </c>
      <c r="D485" s="108"/>
      <c r="E485" s="158" t="s">
        <v>1080</v>
      </c>
      <c r="F485" s="124"/>
      <c r="G485" s="7"/>
    </row>
    <row r="486" spans="1:7" s="12" customFormat="1" ht="13.2" x14ac:dyDescent="0.25">
      <c r="A486" s="29" t="s">
        <v>759</v>
      </c>
      <c r="B486" s="33" t="s">
        <v>1886</v>
      </c>
      <c r="C486" s="101"/>
      <c r="D486" s="17"/>
      <c r="E486" s="13"/>
      <c r="F486" s="43"/>
      <c r="G486" s="7"/>
    </row>
    <row r="487" spans="1:7" s="12" customFormat="1" ht="13.2" x14ac:dyDescent="0.25">
      <c r="A487" s="119" t="s">
        <v>1456</v>
      </c>
      <c r="B487" s="120" t="s">
        <v>2098</v>
      </c>
      <c r="C487" s="101"/>
      <c r="D487" s="17"/>
      <c r="E487" s="13"/>
      <c r="F487" s="43"/>
      <c r="G487" s="7"/>
    </row>
    <row r="488" spans="1:7" s="12" customFormat="1" ht="13.2" x14ac:dyDescent="0.25">
      <c r="A488" s="119" t="s">
        <v>1666</v>
      </c>
      <c r="B488" s="120" t="s">
        <v>2099</v>
      </c>
      <c r="C488" s="101" t="s">
        <v>13</v>
      </c>
      <c r="D488" s="19">
        <v>0</v>
      </c>
      <c r="E488" s="13">
        <v>0</v>
      </c>
      <c r="F488" s="43">
        <f>D488*E488</f>
        <v>0</v>
      </c>
      <c r="G488" s="7"/>
    </row>
    <row r="489" spans="1:7" s="12" customFormat="1" ht="13.2" x14ac:dyDescent="0.25">
      <c r="A489" s="119" t="s">
        <v>1667</v>
      </c>
      <c r="B489" s="120" t="s">
        <v>2100</v>
      </c>
      <c r="C489" s="101" t="s">
        <v>13</v>
      </c>
      <c r="D489" s="150">
        <v>0</v>
      </c>
      <c r="E489" s="13">
        <v>0</v>
      </c>
      <c r="F489" s="43">
        <f>D489*E489</f>
        <v>0</v>
      </c>
      <c r="G489" s="7"/>
    </row>
    <row r="490" spans="1:7" s="12" customFormat="1" ht="13.2" x14ac:dyDescent="0.25">
      <c r="A490" s="119" t="s">
        <v>1668</v>
      </c>
      <c r="B490" s="120" t="s">
        <v>2101</v>
      </c>
      <c r="C490" s="101" t="s">
        <v>13</v>
      </c>
      <c r="D490" s="19">
        <v>0</v>
      </c>
      <c r="E490" s="13">
        <v>0</v>
      </c>
      <c r="F490" s="43">
        <f>D490*E490</f>
        <v>0</v>
      </c>
      <c r="G490" s="7"/>
    </row>
    <row r="491" spans="1:7" s="12" customFormat="1" ht="13.2" x14ac:dyDescent="0.25">
      <c r="A491" s="119" t="s">
        <v>1457</v>
      </c>
      <c r="B491" s="120" t="s">
        <v>2102</v>
      </c>
      <c r="C491" s="101"/>
      <c r="D491" s="17"/>
      <c r="E491" s="13"/>
      <c r="F491" s="43"/>
      <c r="G491" s="7"/>
    </row>
    <row r="492" spans="1:7" s="12" customFormat="1" ht="13.2" x14ac:dyDescent="0.25">
      <c r="A492" s="119" t="s">
        <v>1669</v>
      </c>
      <c r="B492" s="120" t="s">
        <v>2099</v>
      </c>
      <c r="C492" s="101" t="s">
        <v>13</v>
      </c>
      <c r="D492" s="150">
        <v>0</v>
      </c>
      <c r="E492" s="13">
        <v>0</v>
      </c>
      <c r="F492" s="43">
        <f t="shared" ref="F492:F499" si="13">D492*E492</f>
        <v>0</v>
      </c>
      <c r="G492" s="7"/>
    </row>
    <row r="493" spans="1:7" s="12" customFormat="1" ht="13.2" x14ac:dyDescent="0.25">
      <c r="A493" s="119" t="s">
        <v>1670</v>
      </c>
      <c r="B493" s="120" t="s">
        <v>2100</v>
      </c>
      <c r="C493" s="101" t="s">
        <v>13</v>
      </c>
      <c r="D493" s="19">
        <v>0</v>
      </c>
      <c r="E493" s="13">
        <v>0</v>
      </c>
      <c r="F493" s="43">
        <f t="shared" si="13"/>
        <v>0</v>
      </c>
      <c r="G493" s="7"/>
    </row>
    <row r="494" spans="1:7" s="12" customFormat="1" ht="13.2" x14ac:dyDescent="0.25">
      <c r="A494" s="119" t="s">
        <v>2006</v>
      </c>
      <c r="B494" s="120" t="s">
        <v>2101</v>
      </c>
      <c r="C494" s="101" t="s">
        <v>13</v>
      </c>
      <c r="D494" s="19">
        <v>0</v>
      </c>
      <c r="E494" s="13">
        <v>0</v>
      </c>
      <c r="F494" s="43">
        <f t="shared" si="13"/>
        <v>0</v>
      </c>
      <c r="G494" s="7"/>
    </row>
    <row r="495" spans="1:7" s="12" customFormat="1" ht="13.2" x14ac:dyDescent="0.25">
      <c r="A495" s="119" t="s">
        <v>2394</v>
      </c>
      <c r="B495" s="120" t="s">
        <v>2242</v>
      </c>
      <c r="C495" s="101" t="s">
        <v>13</v>
      </c>
      <c r="D495" s="19">
        <v>0</v>
      </c>
      <c r="E495" s="13">
        <v>0</v>
      </c>
      <c r="F495" s="43">
        <f t="shared" si="13"/>
        <v>0</v>
      </c>
      <c r="G495" s="7"/>
    </row>
    <row r="496" spans="1:7" s="12" customFormat="1" ht="13.2" x14ac:dyDescent="0.25">
      <c r="A496" s="119" t="s">
        <v>2395</v>
      </c>
      <c r="B496" s="120" t="s">
        <v>3008</v>
      </c>
      <c r="C496" s="101" t="s">
        <v>13</v>
      </c>
      <c r="D496" s="19">
        <v>0</v>
      </c>
      <c r="E496" s="13">
        <v>0</v>
      </c>
      <c r="F496" s="43">
        <f t="shared" si="13"/>
        <v>0</v>
      </c>
      <c r="G496" s="7"/>
    </row>
    <row r="497" spans="1:7" s="12" customFormat="1" ht="13.2" x14ac:dyDescent="0.25">
      <c r="A497" s="119" t="s">
        <v>2396</v>
      </c>
      <c r="B497" s="121" t="s">
        <v>1750</v>
      </c>
      <c r="C497" s="101" t="s">
        <v>13</v>
      </c>
      <c r="D497" s="19">
        <v>0</v>
      </c>
      <c r="E497" s="13">
        <v>0</v>
      </c>
      <c r="F497" s="43">
        <f t="shared" si="13"/>
        <v>0</v>
      </c>
      <c r="G497" s="7"/>
    </row>
    <row r="498" spans="1:7" s="12" customFormat="1" ht="13.2" x14ac:dyDescent="0.25">
      <c r="A498" s="119" t="s">
        <v>2397</v>
      </c>
      <c r="B498" s="121" t="s">
        <v>1751</v>
      </c>
      <c r="C498" s="101" t="s">
        <v>13</v>
      </c>
      <c r="D498" s="19">
        <v>0</v>
      </c>
      <c r="E498" s="13">
        <v>0</v>
      </c>
      <c r="F498" s="43">
        <f t="shared" si="13"/>
        <v>0</v>
      </c>
      <c r="G498" s="7"/>
    </row>
    <row r="499" spans="1:7" s="12" customFormat="1" ht="13.2" x14ac:dyDescent="0.25">
      <c r="A499" s="119" t="s">
        <v>3009</v>
      </c>
      <c r="B499" s="121" t="s">
        <v>1752</v>
      </c>
      <c r="C499" s="101" t="s">
        <v>13</v>
      </c>
      <c r="D499" s="150">
        <v>0</v>
      </c>
      <c r="E499" s="13">
        <v>0</v>
      </c>
      <c r="F499" s="43">
        <f t="shared" si="13"/>
        <v>0</v>
      </c>
      <c r="G499" s="7"/>
    </row>
    <row r="500" spans="1:7" s="12" customFormat="1" ht="13.2" x14ac:dyDescent="0.25">
      <c r="A500" s="119" t="s">
        <v>1458</v>
      </c>
      <c r="B500" s="120" t="s">
        <v>2103</v>
      </c>
      <c r="C500" s="101"/>
      <c r="D500" s="17"/>
      <c r="E500" s="13"/>
      <c r="F500" s="43"/>
      <c r="G500" s="7"/>
    </row>
    <row r="501" spans="1:7" s="12" customFormat="1" ht="13.2" x14ac:dyDescent="0.25">
      <c r="A501" s="119" t="s">
        <v>2398</v>
      </c>
      <c r="B501" s="120" t="s">
        <v>3156</v>
      </c>
      <c r="C501" s="101" t="s">
        <v>13</v>
      </c>
      <c r="D501" s="19">
        <v>0</v>
      </c>
      <c r="E501" s="13"/>
      <c r="F501" s="43"/>
      <c r="G501" s="7"/>
    </row>
    <row r="502" spans="1:7" s="6" customFormat="1" ht="13.2" x14ac:dyDescent="0.25">
      <c r="A502" s="119" t="s">
        <v>2399</v>
      </c>
      <c r="B502" s="120" t="s">
        <v>2111</v>
      </c>
      <c r="C502" s="101" t="s">
        <v>13</v>
      </c>
      <c r="D502" s="19">
        <v>0</v>
      </c>
      <c r="E502" s="13">
        <v>0</v>
      </c>
      <c r="F502" s="43">
        <f t="shared" ref="F502:F514" si="14">D502*E502</f>
        <v>0</v>
      </c>
      <c r="G502" s="7"/>
    </row>
    <row r="503" spans="1:7" s="12" customFormat="1" ht="13.2" x14ac:dyDescent="0.25">
      <c r="A503" s="119" t="s">
        <v>2400</v>
      </c>
      <c r="B503" s="120" t="s">
        <v>3010</v>
      </c>
      <c r="C503" s="101" t="s">
        <v>13</v>
      </c>
      <c r="D503" s="19">
        <v>0</v>
      </c>
      <c r="E503" s="13">
        <v>0</v>
      </c>
      <c r="F503" s="43">
        <f t="shared" si="14"/>
        <v>0</v>
      </c>
      <c r="G503" s="7"/>
    </row>
    <row r="504" spans="1:7" s="12" customFormat="1" ht="13.2" x14ac:dyDescent="0.25">
      <c r="A504" s="119" t="s">
        <v>3011</v>
      </c>
      <c r="B504" s="120" t="s">
        <v>1750</v>
      </c>
      <c r="C504" s="101" t="s">
        <v>13</v>
      </c>
      <c r="D504" s="19">
        <v>0</v>
      </c>
      <c r="E504" s="13">
        <v>0</v>
      </c>
      <c r="F504" s="43">
        <f t="shared" si="14"/>
        <v>0</v>
      </c>
      <c r="G504" s="7"/>
    </row>
    <row r="505" spans="1:7" s="12" customFormat="1" ht="13.2" x14ac:dyDescent="0.25">
      <c r="A505" s="119" t="s">
        <v>3190</v>
      </c>
      <c r="B505" s="120" t="s">
        <v>1752</v>
      </c>
      <c r="C505" s="101" t="s">
        <v>13</v>
      </c>
      <c r="D505" s="150">
        <v>0</v>
      </c>
      <c r="E505" s="13">
        <v>0</v>
      </c>
      <c r="F505" s="43">
        <f t="shared" si="14"/>
        <v>0</v>
      </c>
      <c r="G505" s="7"/>
    </row>
    <row r="506" spans="1:7" s="12" customFormat="1" ht="13.2" x14ac:dyDescent="0.25">
      <c r="A506" s="119" t="s">
        <v>1798</v>
      </c>
      <c r="B506" s="120" t="s">
        <v>1749</v>
      </c>
      <c r="C506" s="101"/>
      <c r="D506" s="17"/>
      <c r="E506" s="13"/>
      <c r="F506" s="43"/>
      <c r="G506" s="7"/>
    </row>
    <row r="507" spans="1:7" s="12" customFormat="1" ht="13.2" x14ac:dyDescent="0.25">
      <c r="A507" s="119" t="s">
        <v>1799</v>
      </c>
      <c r="B507" s="120" t="s">
        <v>1750</v>
      </c>
      <c r="C507" s="101" t="s">
        <v>13</v>
      </c>
      <c r="D507" s="150">
        <v>0</v>
      </c>
      <c r="E507" s="13">
        <v>0</v>
      </c>
      <c r="F507" s="43">
        <f t="shared" si="14"/>
        <v>0</v>
      </c>
      <c r="G507" s="7"/>
    </row>
    <row r="508" spans="1:7" s="12" customFormat="1" ht="13.2" x14ac:dyDescent="0.25">
      <c r="A508" s="119" t="s">
        <v>1800</v>
      </c>
      <c r="B508" s="120" t="s">
        <v>1751</v>
      </c>
      <c r="C508" s="101" t="s">
        <v>13</v>
      </c>
      <c r="D508" s="150">
        <v>0</v>
      </c>
      <c r="E508" s="13">
        <v>0</v>
      </c>
      <c r="F508" s="43">
        <f t="shared" si="14"/>
        <v>0</v>
      </c>
      <c r="G508" s="7"/>
    </row>
    <row r="509" spans="1:7" s="12" customFormat="1" ht="13.2" x14ac:dyDescent="0.25">
      <c r="A509" s="119" t="s">
        <v>1801</v>
      </c>
      <c r="B509" s="120" t="s">
        <v>1752</v>
      </c>
      <c r="C509" s="101" t="s">
        <v>13</v>
      </c>
      <c r="D509" s="150">
        <v>0</v>
      </c>
      <c r="E509" s="13">
        <v>0</v>
      </c>
      <c r="F509" s="43">
        <f t="shared" si="14"/>
        <v>0</v>
      </c>
      <c r="G509" s="7"/>
    </row>
    <row r="510" spans="1:7" s="12" customFormat="1" ht="13.2" x14ac:dyDescent="0.25">
      <c r="A510" s="119" t="s">
        <v>1802</v>
      </c>
      <c r="B510" s="120" t="s">
        <v>2007</v>
      </c>
      <c r="C510" s="101" t="s">
        <v>13</v>
      </c>
      <c r="D510" s="150">
        <v>0</v>
      </c>
      <c r="E510" s="13">
        <v>0</v>
      </c>
      <c r="F510" s="43">
        <f t="shared" si="14"/>
        <v>0</v>
      </c>
      <c r="G510" s="7"/>
    </row>
    <row r="511" spans="1:7" s="12" customFormat="1" ht="13.2" x14ac:dyDescent="0.25">
      <c r="A511" s="119" t="s">
        <v>1803</v>
      </c>
      <c r="B511" s="120" t="s">
        <v>3157</v>
      </c>
      <c r="C511" s="101" t="s">
        <v>13</v>
      </c>
      <c r="D511" s="150">
        <v>0</v>
      </c>
      <c r="E511" s="13"/>
      <c r="F511" s="43"/>
      <c r="G511" s="7"/>
    </row>
    <row r="512" spans="1:7" s="12" customFormat="1" ht="13.2" x14ac:dyDescent="0.25">
      <c r="A512" s="119" t="s">
        <v>1804</v>
      </c>
      <c r="B512" s="120" t="s">
        <v>2008</v>
      </c>
      <c r="C512" s="101" t="s">
        <v>13</v>
      </c>
      <c r="D512" s="150">
        <v>0</v>
      </c>
      <c r="E512" s="13">
        <v>0</v>
      </c>
      <c r="F512" s="43">
        <f t="shared" si="14"/>
        <v>0</v>
      </c>
      <c r="G512" s="7"/>
    </row>
    <row r="513" spans="1:7" s="12" customFormat="1" ht="13.2" x14ac:dyDescent="0.25">
      <c r="A513" s="119" t="s">
        <v>1805</v>
      </c>
      <c r="B513" s="120" t="s">
        <v>2009</v>
      </c>
      <c r="C513" s="101" t="s">
        <v>13</v>
      </c>
      <c r="D513" s="19">
        <v>0</v>
      </c>
      <c r="E513" s="13">
        <v>0</v>
      </c>
      <c r="F513" s="43">
        <f t="shared" si="14"/>
        <v>0</v>
      </c>
      <c r="G513" s="7"/>
    </row>
    <row r="514" spans="1:7" s="12" customFormat="1" ht="13.2" x14ac:dyDescent="0.25">
      <c r="A514" s="119" t="s">
        <v>1806</v>
      </c>
      <c r="B514" s="120" t="s">
        <v>2316</v>
      </c>
      <c r="C514" s="101" t="s">
        <v>13</v>
      </c>
      <c r="D514" s="19">
        <v>0</v>
      </c>
      <c r="E514" s="13">
        <v>0</v>
      </c>
      <c r="F514" s="43">
        <f t="shared" si="14"/>
        <v>0</v>
      </c>
      <c r="G514" s="7"/>
    </row>
    <row r="515" spans="1:7" s="12" customFormat="1" ht="13.2" x14ac:dyDescent="0.25">
      <c r="A515" s="119" t="s">
        <v>1807</v>
      </c>
      <c r="B515" s="120" t="s">
        <v>3158</v>
      </c>
      <c r="C515" s="101" t="s">
        <v>13</v>
      </c>
      <c r="D515" s="150">
        <v>0</v>
      </c>
      <c r="E515" s="13"/>
      <c r="F515" s="43"/>
      <c r="G515" s="7"/>
    </row>
    <row r="516" spans="1:7" s="12" customFormat="1" ht="13.2" x14ac:dyDescent="0.25">
      <c r="A516" s="119" t="s">
        <v>3191</v>
      </c>
      <c r="B516" s="120" t="s">
        <v>3159</v>
      </c>
      <c r="C516" s="101" t="s">
        <v>13</v>
      </c>
      <c r="D516" s="150">
        <v>0</v>
      </c>
      <c r="E516" s="13"/>
      <c r="F516" s="43"/>
      <c r="G516" s="7"/>
    </row>
    <row r="517" spans="1:7" s="12" customFormat="1" ht="13.2" x14ac:dyDescent="0.25">
      <c r="A517" s="119" t="s">
        <v>3192</v>
      </c>
      <c r="B517" s="120" t="s">
        <v>3160</v>
      </c>
      <c r="C517" s="101" t="s">
        <v>13</v>
      </c>
      <c r="D517" s="150">
        <v>0</v>
      </c>
      <c r="E517" s="13"/>
      <c r="F517" s="43"/>
      <c r="G517" s="7"/>
    </row>
    <row r="518" spans="1:7" s="12" customFormat="1" ht="13.2" x14ac:dyDescent="0.25">
      <c r="A518" s="119" t="s">
        <v>3193</v>
      </c>
      <c r="B518" s="120" t="s">
        <v>3161</v>
      </c>
      <c r="C518" s="101" t="s">
        <v>13</v>
      </c>
      <c r="D518" s="150">
        <v>0</v>
      </c>
      <c r="E518" s="13"/>
      <c r="F518" s="43"/>
      <c r="G518" s="7"/>
    </row>
    <row r="519" spans="1:7" s="12" customFormat="1" ht="13.2" x14ac:dyDescent="0.25">
      <c r="A519" s="119" t="s">
        <v>3194</v>
      </c>
      <c r="B519" s="120" t="s">
        <v>2105</v>
      </c>
      <c r="C519" s="101"/>
      <c r="D519" s="17"/>
      <c r="E519" s="13"/>
      <c r="F519" s="43"/>
      <c r="G519" s="7"/>
    </row>
    <row r="520" spans="1:7" s="12" customFormat="1" ht="13.2" x14ac:dyDescent="0.25">
      <c r="A520" s="119" t="s">
        <v>3195</v>
      </c>
      <c r="B520" s="120" t="s">
        <v>2104</v>
      </c>
      <c r="C520" s="101" t="s">
        <v>13</v>
      </c>
      <c r="D520" s="150">
        <v>0</v>
      </c>
      <c r="E520" s="13">
        <v>0</v>
      </c>
      <c r="F520" s="43">
        <f>D520*E520</f>
        <v>0</v>
      </c>
      <c r="G520" s="7"/>
    </row>
    <row r="521" spans="1:7" s="12" customFormat="1" ht="13.2" x14ac:dyDescent="0.25">
      <c r="A521" s="119" t="s">
        <v>3196</v>
      </c>
      <c r="B521" s="120" t="s">
        <v>2100</v>
      </c>
      <c r="C521" s="101" t="s">
        <v>13</v>
      </c>
      <c r="D521" s="150">
        <v>0</v>
      </c>
      <c r="E521" s="13">
        <v>0</v>
      </c>
      <c r="F521" s="43">
        <f>D521*E521</f>
        <v>0</v>
      </c>
      <c r="G521" s="7"/>
    </row>
    <row r="522" spans="1:7" s="6" customFormat="1" ht="13.2" x14ac:dyDescent="0.25">
      <c r="A522" s="119" t="s">
        <v>3197</v>
      </c>
      <c r="B522" s="120" t="s">
        <v>2101</v>
      </c>
      <c r="C522" s="101" t="s">
        <v>13</v>
      </c>
      <c r="D522" s="150">
        <v>0</v>
      </c>
      <c r="E522" s="13">
        <v>0</v>
      </c>
      <c r="F522" s="43">
        <f>D522*E522</f>
        <v>0</v>
      </c>
      <c r="G522" s="7"/>
    </row>
    <row r="523" spans="1:7" s="6" customFormat="1" ht="13.2" x14ac:dyDescent="0.25">
      <c r="A523" s="119" t="s">
        <v>3198</v>
      </c>
      <c r="B523" s="120" t="s">
        <v>2106</v>
      </c>
      <c r="C523" s="101"/>
      <c r="D523" s="17"/>
      <c r="E523" s="13"/>
      <c r="F523" s="43"/>
      <c r="G523" s="7"/>
    </row>
    <row r="524" spans="1:7" s="12" customFormat="1" ht="13.2" x14ac:dyDescent="0.25">
      <c r="A524" s="119" t="s">
        <v>3199</v>
      </c>
      <c r="B524" s="120" t="s">
        <v>2107</v>
      </c>
      <c r="C524" s="101" t="s">
        <v>13</v>
      </c>
      <c r="D524" s="150">
        <v>0</v>
      </c>
      <c r="E524" s="13">
        <v>0</v>
      </c>
      <c r="F524" s="43">
        <f>D524*E524</f>
        <v>0</v>
      </c>
      <c r="G524" s="7"/>
    </row>
    <row r="525" spans="1:7" s="12" customFormat="1" ht="13.2" x14ac:dyDescent="0.25">
      <c r="A525" s="119" t="s">
        <v>3200</v>
      </c>
      <c r="B525" s="120" t="s">
        <v>2100</v>
      </c>
      <c r="C525" s="101" t="s">
        <v>13</v>
      </c>
      <c r="D525" s="150">
        <v>0</v>
      </c>
      <c r="E525" s="13">
        <v>0</v>
      </c>
      <c r="F525" s="43">
        <f>D525*E525</f>
        <v>0</v>
      </c>
      <c r="G525" s="7"/>
    </row>
    <row r="526" spans="1:7" s="12" customFormat="1" ht="13.2" x14ac:dyDescent="0.25">
      <c r="A526" s="119" t="s">
        <v>3201</v>
      </c>
      <c r="B526" s="120" t="s">
        <v>2101</v>
      </c>
      <c r="C526" s="101" t="s">
        <v>13</v>
      </c>
      <c r="D526" s="150">
        <v>0</v>
      </c>
      <c r="E526" s="13">
        <v>0</v>
      </c>
      <c r="F526" s="43">
        <f>D526*E526</f>
        <v>0</v>
      </c>
      <c r="G526" s="7"/>
    </row>
    <row r="527" spans="1:7" s="12" customFormat="1" ht="13.2" x14ac:dyDescent="0.25">
      <c r="A527" s="29" t="s">
        <v>760</v>
      </c>
      <c r="B527" s="33" t="s">
        <v>1887</v>
      </c>
      <c r="C527" s="101"/>
      <c r="D527" s="17"/>
      <c r="E527" s="13"/>
      <c r="F527" s="43"/>
      <c r="G527" s="7"/>
    </row>
    <row r="528" spans="1:7" s="12" customFormat="1" ht="13.2" x14ac:dyDescent="0.25">
      <c r="A528" s="119" t="s">
        <v>763</v>
      </c>
      <c r="B528" s="121" t="s">
        <v>2067</v>
      </c>
      <c r="C528" s="101" t="s">
        <v>13</v>
      </c>
      <c r="D528" s="19">
        <v>0</v>
      </c>
      <c r="E528" s="13">
        <v>0</v>
      </c>
      <c r="F528" s="43">
        <f>D528*E528</f>
        <v>0</v>
      </c>
      <c r="G528" s="7"/>
    </row>
    <row r="529" spans="1:7" s="12" customFormat="1" ht="13.2" x14ac:dyDescent="0.25">
      <c r="A529" s="119" t="s">
        <v>764</v>
      </c>
      <c r="B529" s="121" t="s">
        <v>2063</v>
      </c>
      <c r="C529" s="101"/>
      <c r="D529" s="17"/>
      <c r="E529" s="13"/>
      <c r="F529" s="43"/>
      <c r="G529" s="7"/>
    </row>
    <row r="530" spans="1:7" s="12" customFormat="1" ht="13.2" x14ac:dyDescent="0.25">
      <c r="A530" s="119" t="s">
        <v>1808</v>
      </c>
      <c r="B530" s="121" t="s">
        <v>2065</v>
      </c>
      <c r="C530" s="101" t="s">
        <v>13</v>
      </c>
      <c r="D530" s="19">
        <v>0</v>
      </c>
      <c r="E530" s="13">
        <v>0</v>
      </c>
      <c r="F530" s="43">
        <f>D530*E530</f>
        <v>0</v>
      </c>
      <c r="G530" s="7"/>
    </row>
    <row r="531" spans="1:7" s="12" customFormat="1" ht="13.2" x14ac:dyDescent="0.25">
      <c r="A531" s="119" t="s">
        <v>1809</v>
      </c>
      <c r="B531" s="121" t="s">
        <v>2066</v>
      </c>
      <c r="C531" s="101" t="s">
        <v>13</v>
      </c>
      <c r="D531" s="19">
        <v>0</v>
      </c>
      <c r="E531" s="13">
        <v>0</v>
      </c>
      <c r="F531" s="43">
        <f>D531*E531</f>
        <v>0</v>
      </c>
      <c r="G531" s="7"/>
    </row>
    <row r="532" spans="1:7" s="12" customFormat="1" ht="13.2" x14ac:dyDescent="0.25">
      <c r="A532" s="119" t="s">
        <v>765</v>
      </c>
      <c r="B532" s="121" t="s">
        <v>2064</v>
      </c>
      <c r="C532" s="101" t="s">
        <v>13</v>
      </c>
      <c r="D532" s="150">
        <v>0</v>
      </c>
      <c r="E532" s="13">
        <v>0</v>
      </c>
      <c r="F532" s="43">
        <f>D532*E532</f>
        <v>0</v>
      </c>
      <c r="G532" s="7"/>
    </row>
    <row r="533" spans="1:7" s="12" customFormat="1" ht="13.2" x14ac:dyDescent="0.25">
      <c r="A533" s="119" t="s">
        <v>766</v>
      </c>
      <c r="B533" s="121" t="s">
        <v>3162</v>
      </c>
      <c r="C533" s="101" t="s">
        <v>13</v>
      </c>
      <c r="D533" s="150">
        <v>0</v>
      </c>
      <c r="E533" s="13"/>
      <c r="F533" s="43"/>
      <c r="G533" s="7"/>
    </row>
    <row r="534" spans="1:7" s="12" customFormat="1" ht="13.2" x14ac:dyDescent="0.25">
      <c r="A534" s="119" t="s">
        <v>767</v>
      </c>
      <c r="B534" s="121" t="s">
        <v>3163</v>
      </c>
      <c r="C534" s="101" t="s">
        <v>13</v>
      </c>
      <c r="D534" s="150">
        <v>0</v>
      </c>
      <c r="E534" s="13"/>
      <c r="F534" s="43"/>
      <c r="G534" s="7"/>
    </row>
    <row r="535" spans="1:7" s="12" customFormat="1" ht="13.2" x14ac:dyDescent="0.25">
      <c r="A535" s="119" t="s">
        <v>768</v>
      </c>
      <c r="B535" s="121" t="s">
        <v>3164</v>
      </c>
      <c r="C535" s="101" t="s">
        <v>13</v>
      </c>
      <c r="D535" s="150">
        <v>0</v>
      </c>
      <c r="E535" s="13"/>
      <c r="F535" s="43"/>
      <c r="G535" s="7"/>
    </row>
    <row r="536" spans="1:7" s="12" customFormat="1" ht="26.4" x14ac:dyDescent="0.25">
      <c r="A536" s="119" t="s">
        <v>769</v>
      </c>
      <c r="B536" s="121" t="s">
        <v>3165</v>
      </c>
      <c r="C536" s="101" t="s">
        <v>13</v>
      </c>
      <c r="D536" s="150">
        <v>0</v>
      </c>
      <c r="E536" s="13"/>
      <c r="F536" s="43"/>
      <c r="G536" s="7"/>
    </row>
    <row r="537" spans="1:7" s="12" customFormat="1" ht="26.4" x14ac:dyDescent="0.25">
      <c r="A537" s="119" t="s">
        <v>3202</v>
      </c>
      <c r="B537" s="121" t="s">
        <v>3166</v>
      </c>
      <c r="C537" s="101" t="s">
        <v>13</v>
      </c>
      <c r="D537" s="150">
        <v>0</v>
      </c>
      <c r="E537" s="13"/>
      <c r="F537" s="43"/>
      <c r="G537" s="7"/>
    </row>
    <row r="538" spans="1:7" s="12" customFormat="1" ht="13.2" x14ac:dyDescent="0.25">
      <c r="A538" s="119" t="s">
        <v>3203</v>
      </c>
      <c r="B538" s="120" t="s">
        <v>1576</v>
      </c>
      <c r="C538" s="101" t="s">
        <v>13</v>
      </c>
      <c r="D538" s="150">
        <v>0</v>
      </c>
      <c r="E538" s="13">
        <v>0</v>
      </c>
      <c r="F538" s="43">
        <f>D538*E538</f>
        <v>0</v>
      </c>
      <c r="G538" s="7"/>
    </row>
    <row r="539" spans="1:7" s="12" customFormat="1" ht="13.2" x14ac:dyDescent="0.25">
      <c r="A539" s="119" t="s">
        <v>3204</v>
      </c>
      <c r="B539" s="120" t="s">
        <v>1577</v>
      </c>
      <c r="C539" s="101" t="s">
        <v>13</v>
      </c>
      <c r="D539" s="150">
        <v>0</v>
      </c>
      <c r="E539" s="13">
        <v>0</v>
      </c>
      <c r="F539" s="43">
        <f>D539*E539</f>
        <v>0</v>
      </c>
      <c r="G539" s="7"/>
    </row>
    <row r="540" spans="1:7" s="12" customFormat="1" ht="13.2" x14ac:dyDescent="0.25">
      <c r="A540" s="119" t="s">
        <v>3205</v>
      </c>
      <c r="B540" s="120" t="s">
        <v>2108</v>
      </c>
      <c r="C540" s="101"/>
      <c r="D540" s="101"/>
      <c r="E540" s="13"/>
      <c r="F540" s="43"/>
      <c r="G540" s="7"/>
    </row>
    <row r="541" spans="1:7" s="12" customFormat="1" ht="13.2" x14ac:dyDescent="0.25">
      <c r="A541" s="119" t="s">
        <v>3206</v>
      </c>
      <c r="B541" s="120" t="s">
        <v>1753</v>
      </c>
      <c r="C541" s="101" t="s">
        <v>13</v>
      </c>
      <c r="D541" s="150">
        <v>0</v>
      </c>
      <c r="E541" s="13">
        <v>0</v>
      </c>
      <c r="F541" s="43">
        <f t="shared" ref="F541:F546" si="15">D541*E541</f>
        <v>0</v>
      </c>
      <c r="G541" s="7"/>
    </row>
    <row r="542" spans="1:7" s="12" customFormat="1" ht="13.2" x14ac:dyDescent="0.25">
      <c r="A542" s="119" t="s">
        <v>3207</v>
      </c>
      <c r="B542" s="120" t="s">
        <v>2109</v>
      </c>
      <c r="C542" s="101" t="s">
        <v>13</v>
      </c>
      <c r="D542" s="150">
        <v>0</v>
      </c>
      <c r="E542" s="13">
        <v>0</v>
      </c>
      <c r="F542" s="43">
        <f t="shared" si="15"/>
        <v>0</v>
      </c>
      <c r="G542" s="7"/>
    </row>
    <row r="543" spans="1:7" s="12" customFormat="1" ht="13.2" x14ac:dyDescent="0.25">
      <c r="A543" s="119" t="s">
        <v>3208</v>
      </c>
      <c r="B543" s="120" t="s">
        <v>1754</v>
      </c>
      <c r="C543" s="101" t="s">
        <v>13</v>
      </c>
      <c r="D543" s="150">
        <v>0</v>
      </c>
      <c r="E543" s="13">
        <v>0</v>
      </c>
      <c r="F543" s="43">
        <f t="shared" si="15"/>
        <v>0</v>
      </c>
      <c r="G543" s="7"/>
    </row>
    <row r="544" spans="1:7" s="12" customFormat="1" ht="13.2" x14ac:dyDescent="0.25">
      <c r="A544" s="119" t="s">
        <v>3209</v>
      </c>
      <c r="B544" s="120" t="s">
        <v>2110</v>
      </c>
      <c r="C544" s="101" t="s">
        <v>13</v>
      </c>
      <c r="D544" s="150">
        <v>0</v>
      </c>
      <c r="E544" s="13">
        <v>0</v>
      </c>
      <c r="F544" s="43">
        <f t="shared" si="15"/>
        <v>0</v>
      </c>
      <c r="G544" s="7"/>
    </row>
    <row r="545" spans="1:7" s="12" customFormat="1" ht="13.2" x14ac:dyDescent="0.25">
      <c r="A545" s="119" t="s">
        <v>3210</v>
      </c>
      <c r="B545" s="120" t="s">
        <v>1755</v>
      </c>
      <c r="C545" s="101" t="s">
        <v>13</v>
      </c>
      <c r="D545" s="150">
        <v>0</v>
      </c>
      <c r="E545" s="13">
        <v>0</v>
      </c>
      <c r="F545" s="43">
        <f t="shared" si="15"/>
        <v>0</v>
      </c>
      <c r="G545" s="7"/>
    </row>
    <row r="546" spans="1:7" s="12" customFormat="1" ht="13.2" x14ac:dyDescent="0.25">
      <c r="A546" s="29" t="s">
        <v>761</v>
      </c>
      <c r="B546" s="33" t="s">
        <v>2638</v>
      </c>
      <c r="C546" s="101" t="s">
        <v>13</v>
      </c>
      <c r="D546" s="150">
        <v>0</v>
      </c>
      <c r="E546" s="13">
        <v>0</v>
      </c>
      <c r="F546" s="43">
        <f t="shared" si="15"/>
        <v>0</v>
      </c>
      <c r="G546" s="7"/>
    </row>
    <row r="547" spans="1:7" s="12" customFormat="1" ht="13.2" x14ac:dyDescent="0.25">
      <c r="A547" s="29" t="s">
        <v>762</v>
      </c>
      <c r="B547" s="33" t="s">
        <v>1888</v>
      </c>
      <c r="C547" s="101"/>
      <c r="D547" s="17"/>
      <c r="E547" s="13"/>
      <c r="F547" s="43"/>
      <c r="G547" s="7"/>
    </row>
    <row r="548" spans="1:7" s="12" customFormat="1" ht="13.2" x14ac:dyDescent="0.25">
      <c r="A548" s="119" t="s">
        <v>781</v>
      </c>
      <c r="B548" s="120" t="s">
        <v>1578</v>
      </c>
      <c r="C548" s="101" t="s">
        <v>13</v>
      </c>
      <c r="D548" s="150">
        <v>0</v>
      </c>
      <c r="E548" s="13">
        <v>0</v>
      </c>
      <c r="F548" s="43">
        <f>D548*E548</f>
        <v>0</v>
      </c>
      <c r="G548" s="7"/>
    </row>
    <row r="549" spans="1:7" s="12" customFormat="1" ht="13.2" x14ac:dyDescent="0.25">
      <c r="A549" s="119" t="s">
        <v>782</v>
      </c>
      <c r="B549" s="120" t="s">
        <v>1579</v>
      </c>
      <c r="C549" s="101" t="s">
        <v>13</v>
      </c>
      <c r="D549" s="150">
        <v>0</v>
      </c>
      <c r="E549" s="13">
        <v>0</v>
      </c>
      <c r="F549" s="43">
        <f>D549*E549</f>
        <v>0</v>
      </c>
      <c r="G549" s="7"/>
    </row>
    <row r="550" spans="1:7" s="12" customFormat="1" ht="13.2" x14ac:dyDescent="0.25">
      <c r="A550" s="119" t="s">
        <v>783</v>
      </c>
      <c r="B550" s="120" t="s">
        <v>1580</v>
      </c>
      <c r="C550" s="101" t="s">
        <v>13</v>
      </c>
      <c r="D550" s="150">
        <v>0</v>
      </c>
      <c r="E550" s="13">
        <v>0</v>
      </c>
      <c r="F550" s="43">
        <f>D550*E550</f>
        <v>0</v>
      </c>
      <c r="G550" s="7"/>
    </row>
    <row r="551" spans="1:7" s="12" customFormat="1" ht="13.2" x14ac:dyDescent="0.25">
      <c r="A551" s="119" t="s">
        <v>784</v>
      </c>
      <c r="B551" s="120" t="s">
        <v>1582</v>
      </c>
      <c r="C551" s="101" t="s">
        <v>13</v>
      </c>
      <c r="D551" s="150">
        <v>0</v>
      </c>
      <c r="E551" s="13">
        <v>0</v>
      </c>
      <c r="F551" s="43">
        <f>D551*E551</f>
        <v>0</v>
      </c>
      <c r="G551" s="7"/>
    </row>
    <row r="552" spans="1:7" s="12" customFormat="1" ht="13.2" x14ac:dyDescent="0.25">
      <c r="A552" s="119" t="s">
        <v>785</v>
      </c>
      <c r="B552" s="120" t="s">
        <v>1581</v>
      </c>
      <c r="C552" s="101" t="s">
        <v>13</v>
      </c>
      <c r="D552" s="150">
        <v>0</v>
      </c>
      <c r="E552" s="13">
        <v>0</v>
      </c>
      <c r="F552" s="43">
        <f>D552*E552</f>
        <v>0</v>
      </c>
      <c r="G552" s="7"/>
    </row>
    <row r="553" spans="1:7" s="12" customFormat="1" ht="11.25" customHeight="1" x14ac:dyDescent="0.25">
      <c r="A553" s="29" t="s">
        <v>506</v>
      </c>
      <c r="B553" s="28" t="s">
        <v>2077</v>
      </c>
      <c r="C553" s="101"/>
      <c r="D553" s="17"/>
      <c r="E553" s="13"/>
      <c r="F553" s="43"/>
      <c r="G553" s="7"/>
    </row>
    <row r="554" spans="1:7" s="12" customFormat="1" ht="11.25" customHeight="1" x14ac:dyDescent="0.25">
      <c r="A554" s="119" t="s">
        <v>789</v>
      </c>
      <c r="B554" s="121" t="s">
        <v>2805</v>
      </c>
      <c r="C554" s="101" t="s">
        <v>13</v>
      </c>
      <c r="D554" s="150">
        <v>0</v>
      </c>
      <c r="E554" s="13">
        <v>0</v>
      </c>
      <c r="F554" s="43">
        <f t="shared" ref="F554:F576" si="16">D554*E554</f>
        <v>0</v>
      </c>
      <c r="G554" s="7"/>
    </row>
    <row r="555" spans="1:7" s="12" customFormat="1" ht="11.25" customHeight="1" x14ac:dyDescent="0.25">
      <c r="A555" s="119" t="s">
        <v>790</v>
      </c>
      <c r="B555" s="121" t="s">
        <v>2806</v>
      </c>
      <c r="C555" s="101" t="s">
        <v>13</v>
      </c>
      <c r="D555" s="150">
        <v>0</v>
      </c>
      <c r="E555" s="13">
        <v>0</v>
      </c>
      <c r="F555" s="43">
        <f t="shared" si="16"/>
        <v>0</v>
      </c>
      <c r="G555" s="7"/>
    </row>
    <row r="556" spans="1:7" s="12" customFormat="1" ht="13.2" x14ac:dyDescent="0.25">
      <c r="A556" s="119" t="s">
        <v>791</v>
      </c>
      <c r="B556" s="121" t="s">
        <v>2807</v>
      </c>
      <c r="C556" s="101" t="s">
        <v>13</v>
      </c>
      <c r="D556" s="150">
        <v>0</v>
      </c>
      <c r="E556" s="13">
        <v>0</v>
      </c>
      <c r="F556" s="43">
        <f t="shared" si="16"/>
        <v>0</v>
      </c>
      <c r="G556" s="7"/>
    </row>
    <row r="557" spans="1:7" s="6" customFormat="1" ht="13.2" x14ac:dyDescent="0.25">
      <c r="A557" s="119" t="s">
        <v>792</v>
      </c>
      <c r="B557" s="121" t="s">
        <v>2808</v>
      </c>
      <c r="C557" s="101" t="s">
        <v>13</v>
      </c>
      <c r="D557" s="150">
        <v>0</v>
      </c>
      <c r="E557" s="13">
        <v>0</v>
      </c>
      <c r="F557" s="43">
        <f t="shared" si="16"/>
        <v>0</v>
      </c>
      <c r="G557" s="7"/>
    </row>
    <row r="558" spans="1:7" s="12" customFormat="1" ht="13.2" x14ac:dyDescent="0.25">
      <c r="A558" s="119" t="s">
        <v>793</v>
      </c>
      <c r="B558" s="121" t="s">
        <v>2243</v>
      </c>
      <c r="C558" s="101" t="s">
        <v>13</v>
      </c>
      <c r="D558" s="150">
        <v>0</v>
      </c>
      <c r="E558" s="13">
        <v>0</v>
      </c>
      <c r="F558" s="43">
        <f t="shared" si="16"/>
        <v>0</v>
      </c>
      <c r="G558" s="7"/>
    </row>
    <row r="559" spans="1:7" s="12" customFormat="1" ht="13.2" x14ac:dyDescent="0.25">
      <c r="A559" s="119" t="s">
        <v>794</v>
      </c>
      <c r="B559" s="121" t="s">
        <v>2287</v>
      </c>
      <c r="C559" s="101" t="s">
        <v>13</v>
      </c>
      <c r="D559" s="150">
        <v>0</v>
      </c>
      <c r="E559" s="13">
        <v>0</v>
      </c>
      <c r="F559" s="43">
        <f t="shared" si="16"/>
        <v>0</v>
      </c>
      <c r="G559" s="7"/>
    </row>
    <row r="560" spans="1:7" s="12" customFormat="1" ht="13.2" x14ac:dyDescent="0.25">
      <c r="A560" s="119" t="s">
        <v>795</v>
      </c>
      <c r="B560" s="121" t="s">
        <v>2288</v>
      </c>
      <c r="C560" s="101" t="s">
        <v>13</v>
      </c>
      <c r="D560" s="150">
        <v>0</v>
      </c>
      <c r="E560" s="13">
        <v>0</v>
      </c>
      <c r="F560" s="43">
        <f t="shared" si="16"/>
        <v>0</v>
      </c>
      <c r="G560" s="7"/>
    </row>
    <row r="561" spans="1:7" s="12" customFormat="1" ht="13.2" x14ac:dyDescent="0.25">
      <c r="A561" s="119" t="s">
        <v>796</v>
      </c>
      <c r="B561" s="121" t="s">
        <v>2289</v>
      </c>
      <c r="C561" s="101" t="s">
        <v>13</v>
      </c>
      <c r="D561" s="150">
        <v>0</v>
      </c>
      <c r="E561" s="13">
        <v>0</v>
      </c>
      <c r="F561" s="43">
        <f t="shared" si="16"/>
        <v>0</v>
      </c>
      <c r="G561" s="7"/>
    </row>
    <row r="562" spans="1:7" s="12" customFormat="1" ht="13.2" x14ac:dyDescent="0.25">
      <c r="A562" s="119" t="s">
        <v>797</v>
      </c>
      <c r="B562" s="121" t="s">
        <v>2068</v>
      </c>
      <c r="C562" s="101" t="s">
        <v>13</v>
      </c>
      <c r="D562" s="150">
        <v>0</v>
      </c>
      <c r="E562" s="13">
        <v>0</v>
      </c>
      <c r="F562" s="43">
        <f t="shared" si="16"/>
        <v>0</v>
      </c>
      <c r="G562" s="7"/>
    </row>
    <row r="563" spans="1:7" s="12" customFormat="1" ht="13.2" x14ac:dyDescent="0.25">
      <c r="A563" s="119" t="s">
        <v>798</v>
      </c>
      <c r="B563" s="121" t="s">
        <v>2069</v>
      </c>
      <c r="C563" s="101" t="s">
        <v>13</v>
      </c>
      <c r="D563" s="150">
        <v>0</v>
      </c>
      <c r="E563" s="13">
        <v>0</v>
      </c>
      <c r="F563" s="43">
        <f t="shared" si="16"/>
        <v>0</v>
      </c>
      <c r="G563" s="7"/>
    </row>
    <row r="564" spans="1:7" s="12" customFormat="1" ht="13.2" x14ac:dyDescent="0.25">
      <c r="A564" s="119" t="s">
        <v>799</v>
      </c>
      <c r="B564" s="121" t="s">
        <v>2070</v>
      </c>
      <c r="C564" s="101" t="s">
        <v>13</v>
      </c>
      <c r="D564" s="150">
        <v>0</v>
      </c>
      <c r="E564" s="13">
        <v>0</v>
      </c>
      <c r="F564" s="43">
        <f t="shared" si="16"/>
        <v>0</v>
      </c>
      <c r="G564" s="7"/>
    </row>
    <row r="565" spans="1:7" s="12" customFormat="1" ht="13.2" x14ac:dyDescent="0.25">
      <c r="A565" s="119" t="s">
        <v>2401</v>
      </c>
      <c r="B565" s="121" t="s">
        <v>3211</v>
      </c>
      <c r="C565" s="101" t="s">
        <v>13</v>
      </c>
      <c r="D565" s="150">
        <v>0</v>
      </c>
      <c r="E565" s="13"/>
      <c r="F565" s="43"/>
      <c r="G565" s="7"/>
    </row>
    <row r="566" spans="1:7" s="12" customFormat="1" ht="13.2" x14ac:dyDescent="0.25">
      <c r="A566" s="119" t="s">
        <v>2402</v>
      </c>
      <c r="B566" s="121" t="s">
        <v>2286</v>
      </c>
      <c r="C566" s="101" t="s">
        <v>13</v>
      </c>
      <c r="D566" s="150">
        <v>0</v>
      </c>
      <c r="E566" s="13">
        <v>0</v>
      </c>
      <c r="F566" s="43">
        <f t="shared" si="16"/>
        <v>0</v>
      </c>
      <c r="G566" s="7"/>
    </row>
    <row r="567" spans="1:7" s="12" customFormat="1" ht="13.2" x14ac:dyDescent="0.25">
      <c r="A567" s="119" t="s">
        <v>2403</v>
      </c>
      <c r="B567" s="121" t="s">
        <v>2291</v>
      </c>
      <c r="C567" s="101" t="s">
        <v>13</v>
      </c>
      <c r="D567" s="150">
        <v>0</v>
      </c>
      <c r="E567" s="13">
        <v>0</v>
      </c>
      <c r="F567" s="43">
        <f t="shared" si="16"/>
        <v>0</v>
      </c>
      <c r="G567" s="7"/>
    </row>
    <row r="568" spans="1:7" s="12" customFormat="1" ht="13.2" x14ac:dyDescent="0.25">
      <c r="A568" s="119" t="s">
        <v>2404</v>
      </c>
      <c r="B568" s="121" t="s">
        <v>2292</v>
      </c>
      <c r="C568" s="101" t="s">
        <v>13</v>
      </c>
      <c r="D568" s="150">
        <v>0</v>
      </c>
      <c r="E568" s="13">
        <v>0</v>
      </c>
      <c r="F568" s="43">
        <f t="shared" si="16"/>
        <v>0</v>
      </c>
      <c r="G568" s="7"/>
    </row>
    <row r="569" spans="1:7" s="12" customFormat="1" ht="13.2" x14ac:dyDescent="0.25">
      <c r="A569" s="119" t="s">
        <v>2405</v>
      </c>
      <c r="B569" s="121" t="s">
        <v>2290</v>
      </c>
      <c r="C569" s="101" t="s">
        <v>13</v>
      </c>
      <c r="D569" s="150">
        <v>0</v>
      </c>
      <c r="E569" s="13">
        <v>0</v>
      </c>
      <c r="F569" s="43">
        <f t="shared" si="16"/>
        <v>0</v>
      </c>
      <c r="G569" s="7"/>
    </row>
    <row r="570" spans="1:7" s="4" customFormat="1" ht="13.2" x14ac:dyDescent="0.25">
      <c r="A570" s="119" t="s">
        <v>3212</v>
      </c>
      <c r="B570" s="121" t="s">
        <v>2293</v>
      </c>
      <c r="C570" s="101" t="s">
        <v>13</v>
      </c>
      <c r="D570" s="150">
        <v>0</v>
      </c>
      <c r="E570" s="13">
        <v>0</v>
      </c>
      <c r="F570" s="43">
        <f t="shared" si="16"/>
        <v>0</v>
      </c>
      <c r="G570" s="7"/>
    </row>
    <row r="571" spans="1:7" s="8" customFormat="1" ht="13.2" x14ac:dyDescent="0.25">
      <c r="A571" s="119" t="s">
        <v>3213</v>
      </c>
      <c r="B571" s="121" t="s">
        <v>3214</v>
      </c>
      <c r="C571" s="101" t="s">
        <v>13</v>
      </c>
      <c r="D571" s="150">
        <v>0</v>
      </c>
      <c r="E571" s="13">
        <v>0</v>
      </c>
      <c r="F571" s="43">
        <f t="shared" si="16"/>
        <v>0</v>
      </c>
      <c r="G571" s="7"/>
    </row>
    <row r="572" spans="1:7" s="8" customFormat="1" ht="13.2" x14ac:dyDescent="0.25">
      <c r="A572" s="119" t="s">
        <v>3215</v>
      </c>
      <c r="B572" s="121" t="s">
        <v>3216</v>
      </c>
      <c r="C572" s="101" t="s">
        <v>13</v>
      </c>
      <c r="D572" s="150">
        <v>0</v>
      </c>
      <c r="E572" s="13">
        <v>0</v>
      </c>
      <c r="F572" s="43">
        <f t="shared" si="16"/>
        <v>0</v>
      </c>
      <c r="G572" s="7"/>
    </row>
    <row r="573" spans="1:7" s="8" customFormat="1" ht="13.2" x14ac:dyDescent="0.25">
      <c r="A573" s="119" t="s">
        <v>3217</v>
      </c>
      <c r="B573" s="121" t="s">
        <v>3218</v>
      </c>
      <c r="C573" s="101" t="s">
        <v>13</v>
      </c>
      <c r="D573" s="150">
        <v>0</v>
      </c>
      <c r="E573" s="13">
        <v>0</v>
      </c>
      <c r="F573" s="43">
        <f t="shared" si="16"/>
        <v>0</v>
      </c>
      <c r="G573" s="7"/>
    </row>
    <row r="574" spans="1:7" s="8" customFormat="1" ht="13.2" x14ac:dyDescent="0.25">
      <c r="A574" s="119" t="s">
        <v>3219</v>
      </c>
      <c r="B574" s="121" t="s">
        <v>3220</v>
      </c>
      <c r="C574" s="101" t="s">
        <v>13</v>
      </c>
      <c r="D574" s="150">
        <v>0</v>
      </c>
      <c r="E574" s="13">
        <v>0</v>
      </c>
      <c r="F574" s="43">
        <f t="shared" si="16"/>
        <v>0</v>
      </c>
      <c r="G574" s="7"/>
    </row>
    <row r="575" spans="1:7" s="8" customFormat="1" ht="13.2" x14ac:dyDescent="0.25">
      <c r="A575" s="29" t="s">
        <v>1460</v>
      </c>
      <c r="B575" s="33" t="s">
        <v>2071</v>
      </c>
      <c r="C575" s="101" t="s">
        <v>13</v>
      </c>
      <c r="D575" s="150">
        <v>0</v>
      </c>
      <c r="E575" s="13">
        <v>0</v>
      </c>
      <c r="F575" s="43">
        <f t="shared" si="16"/>
        <v>0</v>
      </c>
      <c r="G575" s="7"/>
    </row>
    <row r="576" spans="1:7" s="8" customFormat="1" ht="13.2" x14ac:dyDescent="0.25">
      <c r="A576" s="29" t="s">
        <v>1461</v>
      </c>
      <c r="B576" s="33" t="s">
        <v>2112</v>
      </c>
      <c r="C576" s="101" t="s">
        <v>13</v>
      </c>
      <c r="D576" s="150">
        <v>0</v>
      </c>
      <c r="E576" s="13">
        <v>0</v>
      </c>
      <c r="F576" s="43">
        <f t="shared" si="16"/>
        <v>0</v>
      </c>
      <c r="G576" s="7"/>
    </row>
    <row r="577" spans="1:7" s="8" customFormat="1" ht="13.2" x14ac:dyDescent="0.25">
      <c r="A577" s="29" t="s">
        <v>1462</v>
      </c>
      <c r="B577" s="33" t="s">
        <v>1889</v>
      </c>
      <c r="C577" s="101"/>
      <c r="D577" s="17"/>
      <c r="E577" s="13"/>
      <c r="F577" s="43"/>
      <c r="G577" s="7"/>
    </row>
    <row r="578" spans="1:7" s="8" customFormat="1" ht="13.2" x14ac:dyDescent="0.25">
      <c r="A578" s="119" t="s">
        <v>811</v>
      </c>
      <c r="B578" s="121" t="s">
        <v>2245</v>
      </c>
      <c r="C578" s="101" t="s">
        <v>13</v>
      </c>
      <c r="D578" s="150">
        <v>0</v>
      </c>
      <c r="E578" s="13">
        <v>0</v>
      </c>
      <c r="F578" s="43">
        <f>D578*E578</f>
        <v>0</v>
      </c>
      <c r="G578" s="7"/>
    </row>
    <row r="579" spans="1:7" s="8" customFormat="1" ht="13.2" x14ac:dyDescent="0.25">
      <c r="A579" s="119" t="s">
        <v>812</v>
      </c>
      <c r="B579" s="121" t="s">
        <v>2244</v>
      </c>
      <c r="C579" s="101" t="s">
        <v>13</v>
      </c>
      <c r="D579" s="150">
        <v>0</v>
      </c>
      <c r="E579" s="13">
        <v>0</v>
      </c>
      <c r="F579" s="43">
        <f>D579*E579</f>
        <v>0</v>
      </c>
      <c r="G579" s="7"/>
    </row>
    <row r="580" spans="1:7" s="8" customFormat="1" ht="13.2" x14ac:dyDescent="0.25">
      <c r="A580" s="29" t="s">
        <v>1463</v>
      </c>
      <c r="B580" s="33" t="s">
        <v>1890</v>
      </c>
      <c r="C580" s="101" t="s">
        <v>13</v>
      </c>
      <c r="D580" s="150">
        <v>0</v>
      </c>
      <c r="E580" s="13">
        <v>0</v>
      </c>
      <c r="F580" s="43">
        <f>D580*E580</f>
        <v>0</v>
      </c>
      <c r="G580" s="7"/>
    </row>
    <row r="581" spans="1:7" s="8" customFormat="1" ht="13.2" x14ac:dyDescent="0.25">
      <c r="A581" s="29" t="s">
        <v>1464</v>
      </c>
      <c r="B581" s="33" t="s">
        <v>1891</v>
      </c>
      <c r="C581" s="101" t="s">
        <v>13</v>
      </c>
      <c r="D581" s="150">
        <v>0</v>
      </c>
      <c r="E581" s="13">
        <v>0</v>
      </c>
      <c r="F581" s="43">
        <f>D581*E581</f>
        <v>0</v>
      </c>
      <c r="G581" s="7"/>
    </row>
    <row r="582" spans="1:7" s="8" customFormat="1" ht="13.2" x14ac:dyDescent="0.25">
      <c r="A582" s="29" t="s">
        <v>1465</v>
      </c>
      <c r="B582" s="33" t="s">
        <v>2027</v>
      </c>
      <c r="C582" s="101"/>
      <c r="D582" s="17"/>
      <c r="E582" s="13"/>
      <c r="F582" s="43"/>
      <c r="G582" s="7"/>
    </row>
    <row r="583" spans="1:7" s="8" customFormat="1" ht="13.2" x14ac:dyDescent="0.25">
      <c r="A583" s="119" t="s">
        <v>607</v>
      </c>
      <c r="B583" s="120" t="s">
        <v>2246</v>
      </c>
      <c r="C583" s="101" t="s">
        <v>13</v>
      </c>
      <c r="D583" s="150">
        <v>0</v>
      </c>
      <c r="E583" s="13">
        <v>0</v>
      </c>
      <c r="F583" s="43">
        <f>D583*E583</f>
        <v>0</v>
      </c>
      <c r="G583" s="7"/>
    </row>
    <row r="584" spans="1:7" s="8" customFormat="1" ht="13.2" x14ac:dyDescent="0.25">
      <c r="A584" s="119" t="s">
        <v>127</v>
      </c>
      <c r="B584" s="120" t="s">
        <v>2247</v>
      </c>
      <c r="C584" s="101" t="s">
        <v>13</v>
      </c>
      <c r="D584" s="150">
        <v>0</v>
      </c>
      <c r="E584" s="13">
        <v>0</v>
      </c>
      <c r="F584" s="43">
        <f t="shared" ref="F584:F598" si="17">D584*E584</f>
        <v>0</v>
      </c>
      <c r="G584" s="7"/>
    </row>
    <row r="585" spans="1:7" s="8" customFormat="1" ht="13.2" x14ac:dyDescent="0.25">
      <c r="A585" s="119" t="s">
        <v>608</v>
      </c>
      <c r="B585" s="120" t="s">
        <v>2248</v>
      </c>
      <c r="C585" s="101" t="s">
        <v>13</v>
      </c>
      <c r="D585" s="150">
        <v>0</v>
      </c>
      <c r="E585" s="13">
        <v>0</v>
      </c>
      <c r="F585" s="43">
        <f t="shared" si="17"/>
        <v>0</v>
      </c>
      <c r="G585" s="7"/>
    </row>
    <row r="586" spans="1:7" s="8" customFormat="1" ht="13.2" x14ac:dyDescent="0.25">
      <c r="A586" s="119" t="s">
        <v>609</v>
      </c>
      <c r="B586" s="120" t="s">
        <v>3024</v>
      </c>
      <c r="C586" s="101" t="s">
        <v>13</v>
      </c>
      <c r="D586" s="150">
        <v>0</v>
      </c>
      <c r="E586" s="13">
        <v>0</v>
      </c>
      <c r="F586" s="43">
        <f t="shared" si="17"/>
        <v>0</v>
      </c>
      <c r="G586" s="7"/>
    </row>
    <row r="587" spans="1:7" s="8" customFormat="1" ht="13.2" x14ac:dyDescent="0.25">
      <c r="A587" s="119" t="s">
        <v>610</v>
      </c>
      <c r="B587" s="120" t="s">
        <v>3025</v>
      </c>
      <c r="C587" s="101" t="s">
        <v>13</v>
      </c>
      <c r="D587" s="150">
        <v>0</v>
      </c>
      <c r="E587" s="13">
        <v>0</v>
      </c>
      <c r="F587" s="43">
        <f t="shared" si="17"/>
        <v>0</v>
      </c>
      <c r="G587" s="7"/>
    </row>
    <row r="588" spans="1:7" s="8" customFormat="1" ht="13.2" x14ac:dyDescent="0.25">
      <c r="A588" s="119" t="s">
        <v>611</v>
      </c>
      <c r="B588" s="120" t="s">
        <v>3026</v>
      </c>
      <c r="C588" s="101" t="s">
        <v>13</v>
      </c>
      <c r="D588" s="150">
        <v>0</v>
      </c>
      <c r="E588" s="13">
        <v>0</v>
      </c>
      <c r="F588" s="43">
        <f t="shared" si="17"/>
        <v>0</v>
      </c>
      <c r="G588" s="7"/>
    </row>
    <row r="589" spans="1:7" s="8" customFormat="1" ht="13.2" x14ac:dyDescent="0.25">
      <c r="A589" s="119" t="s">
        <v>128</v>
      </c>
      <c r="B589" s="120" t="s">
        <v>2249</v>
      </c>
      <c r="C589" s="101" t="s">
        <v>13</v>
      </c>
      <c r="D589" s="150">
        <v>0</v>
      </c>
      <c r="E589" s="13">
        <v>0</v>
      </c>
      <c r="F589" s="43">
        <f t="shared" si="17"/>
        <v>0</v>
      </c>
      <c r="G589" s="7"/>
    </row>
    <row r="590" spans="1:7" s="8" customFormat="1" ht="13.2" x14ac:dyDescent="0.25">
      <c r="A590" s="119" t="s">
        <v>612</v>
      </c>
      <c r="B590" s="120" t="s">
        <v>3014</v>
      </c>
      <c r="C590" s="101" t="s">
        <v>13</v>
      </c>
      <c r="D590" s="150">
        <v>0</v>
      </c>
      <c r="E590" s="13">
        <v>0</v>
      </c>
      <c r="F590" s="43">
        <f t="shared" si="17"/>
        <v>0</v>
      </c>
      <c r="G590" s="7"/>
    </row>
    <row r="591" spans="1:7" s="12" customFormat="1" ht="13.2" x14ac:dyDescent="0.25">
      <c r="A591" s="119" t="s">
        <v>613</v>
      </c>
      <c r="B591" s="120" t="s">
        <v>2250</v>
      </c>
      <c r="C591" s="101" t="s">
        <v>13</v>
      </c>
      <c r="D591" s="150">
        <v>0</v>
      </c>
      <c r="E591" s="13">
        <v>0</v>
      </c>
      <c r="F591" s="43">
        <f t="shared" si="17"/>
        <v>0</v>
      </c>
      <c r="G591" s="7"/>
    </row>
    <row r="592" spans="1:7" s="12" customFormat="1" ht="13.2" x14ac:dyDescent="0.25">
      <c r="A592" s="119" t="s">
        <v>129</v>
      </c>
      <c r="B592" s="120" t="s">
        <v>2251</v>
      </c>
      <c r="C592" s="101" t="s">
        <v>13</v>
      </c>
      <c r="D592" s="150">
        <v>0</v>
      </c>
      <c r="E592" s="13">
        <v>0</v>
      </c>
      <c r="F592" s="43">
        <f t="shared" si="17"/>
        <v>0</v>
      </c>
      <c r="G592" s="7"/>
    </row>
    <row r="593" spans="1:7" s="12" customFormat="1" ht="13.2" x14ac:dyDescent="0.25">
      <c r="A593" s="119" t="s">
        <v>130</v>
      </c>
      <c r="B593" s="120" t="s">
        <v>2252</v>
      </c>
      <c r="C593" s="101" t="s">
        <v>13</v>
      </c>
      <c r="D593" s="150">
        <v>0</v>
      </c>
      <c r="E593" s="13">
        <v>0</v>
      </c>
      <c r="F593" s="43">
        <f t="shared" si="17"/>
        <v>0</v>
      </c>
      <c r="G593" s="7"/>
    </row>
    <row r="594" spans="1:7" s="6" customFormat="1" ht="13.2" x14ac:dyDescent="0.25">
      <c r="A594" s="119" t="s">
        <v>131</v>
      </c>
      <c r="B594" s="120" t="s">
        <v>2028</v>
      </c>
      <c r="C594" s="101" t="s">
        <v>13</v>
      </c>
      <c r="D594" s="150">
        <v>0</v>
      </c>
      <c r="E594" s="13">
        <v>0</v>
      </c>
      <c r="F594" s="43">
        <f t="shared" si="17"/>
        <v>0</v>
      </c>
      <c r="G594" s="7"/>
    </row>
    <row r="595" spans="1:7" s="12" customFormat="1" ht="13.2" x14ac:dyDescent="0.25">
      <c r="A595" s="119" t="s">
        <v>3015</v>
      </c>
      <c r="B595" s="120" t="s">
        <v>2029</v>
      </c>
      <c r="C595" s="101" t="s">
        <v>13</v>
      </c>
      <c r="D595" s="150">
        <v>0</v>
      </c>
      <c r="E595" s="13">
        <v>0</v>
      </c>
      <c r="F595" s="43">
        <f t="shared" si="17"/>
        <v>0</v>
      </c>
      <c r="G595" s="7"/>
    </row>
    <row r="596" spans="1:7" s="12" customFormat="1" ht="13.2" x14ac:dyDescent="0.25">
      <c r="A596" s="119" t="s">
        <v>3027</v>
      </c>
      <c r="B596" s="120" t="s">
        <v>2030</v>
      </c>
      <c r="C596" s="101" t="s">
        <v>13</v>
      </c>
      <c r="D596" s="150">
        <v>0</v>
      </c>
      <c r="E596" s="13">
        <v>0</v>
      </c>
      <c r="F596" s="43">
        <f t="shared" si="17"/>
        <v>0</v>
      </c>
      <c r="G596" s="7"/>
    </row>
    <row r="597" spans="1:7" s="12" customFormat="1" ht="13.2" x14ac:dyDescent="0.25">
      <c r="A597" s="119" t="s">
        <v>3028</v>
      </c>
      <c r="B597" s="120" t="s">
        <v>2031</v>
      </c>
      <c r="C597" s="101" t="s">
        <v>13</v>
      </c>
      <c r="D597" s="150">
        <v>0</v>
      </c>
      <c r="E597" s="13">
        <v>0</v>
      </c>
      <c r="F597" s="43">
        <f t="shared" si="17"/>
        <v>0</v>
      </c>
      <c r="G597" s="7"/>
    </row>
    <row r="598" spans="1:7" s="12" customFormat="1" ht="13.2" x14ac:dyDescent="0.25">
      <c r="A598" s="119" t="s">
        <v>3221</v>
      </c>
      <c r="B598" s="120" t="s">
        <v>3222</v>
      </c>
      <c r="C598" s="101" t="s">
        <v>13</v>
      </c>
      <c r="D598" s="150">
        <v>0</v>
      </c>
      <c r="E598" s="13">
        <v>0</v>
      </c>
      <c r="F598" s="43">
        <f t="shared" si="17"/>
        <v>0</v>
      </c>
      <c r="G598" s="7"/>
    </row>
    <row r="599" spans="1:7" s="12" customFormat="1" ht="13.2" x14ac:dyDescent="0.25">
      <c r="A599" s="29" t="s">
        <v>1810</v>
      </c>
      <c r="B599" s="33" t="s">
        <v>1892</v>
      </c>
      <c r="C599" s="37"/>
      <c r="D599" s="17"/>
      <c r="E599" s="13"/>
      <c r="F599" s="43"/>
      <c r="G599" s="7"/>
    </row>
    <row r="600" spans="1:7" s="12" customFormat="1" ht="13.2" x14ac:dyDescent="0.25">
      <c r="A600" s="119" t="s">
        <v>614</v>
      </c>
      <c r="B600" s="120" t="s">
        <v>2113</v>
      </c>
      <c r="C600" s="101" t="s">
        <v>13</v>
      </c>
      <c r="D600" s="150">
        <v>0</v>
      </c>
      <c r="E600" s="13">
        <v>0</v>
      </c>
      <c r="F600" s="43">
        <f>D600*E600</f>
        <v>0</v>
      </c>
      <c r="G600" s="7"/>
    </row>
    <row r="601" spans="1:7" s="12" customFormat="1" ht="13.2" x14ac:dyDescent="0.25">
      <c r="A601" s="119" t="s">
        <v>615</v>
      </c>
      <c r="B601" s="120" t="s">
        <v>2114</v>
      </c>
      <c r="C601" s="101" t="s">
        <v>13</v>
      </c>
      <c r="D601" s="150">
        <v>0</v>
      </c>
      <c r="E601" s="13">
        <v>0</v>
      </c>
      <c r="F601" s="43">
        <f t="shared" ref="F601:F615" si="18">D601*E601</f>
        <v>0</v>
      </c>
      <c r="G601" s="7"/>
    </row>
    <row r="602" spans="1:7" s="12" customFormat="1" ht="13.2" x14ac:dyDescent="0.25">
      <c r="A602" s="119" t="s">
        <v>616</v>
      </c>
      <c r="B602" s="120" t="s">
        <v>3029</v>
      </c>
      <c r="C602" s="101" t="s">
        <v>13</v>
      </c>
      <c r="D602" s="150">
        <v>0</v>
      </c>
      <c r="E602" s="13">
        <v>0</v>
      </c>
      <c r="F602" s="43">
        <f>D602*E602</f>
        <v>0</v>
      </c>
      <c r="G602" s="7"/>
    </row>
    <row r="603" spans="1:7" s="12" customFormat="1" ht="13.2" x14ac:dyDescent="0.25">
      <c r="A603" s="119" t="s">
        <v>617</v>
      </c>
      <c r="B603" s="120" t="s">
        <v>2115</v>
      </c>
      <c r="C603" s="101" t="s">
        <v>13</v>
      </c>
      <c r="D603" s="150">
        <v>0</v>
      </c>
      <c r="E603" s="13">
        <v>0</v>
      </c>
      <c r="F603" s="43">
        <f t="shared" si="18"/>
        <v>0</v>
      </c>
      <c r="G603" s="7"/>
    </row>
    <row r="604" spans="1:7" s="12" customFormat="1" ht="13.2" x14ac:dyDescent="0.25">
      <c r="A604" s="119" t="s">
        <v>2406</v>
      </c>
      <c r="B604" s="120" t="s">
        <v>2116</v>
      </c>
      <c r="C604" s="101" t="s">
        <v>13</v>
      </c>
      <c r="D604" s="150">
        <v>0</v>
      </c>
      <c r="E604" s="13">
        <v>0</v>
      </c>
      <c r="F604" s="43">
        <f t="shared" si="18"/>
        <v>0</v>
      </c>
      <c r="G604" s="7"/>
    </row>
    <row r="605" spans="1:7" s="12" customFormat="1" ht="13.2" x14ac:dyDescent="0.25">
      <c r="A605" s="119" t="s">
        <v>2407</v>
      </c>
      <c r="B605" s="120" t="s">
        <v>2545</v>
      </c>
      <c r="C605" s="101" t="s">
        <v>13</v>
      </c>
      <c r="D605" s="150">
        <v>0</v>
      </c>
      <c r="E605" s="13">
        <v>0</v>
      </c>
      <c r="F605" s="43">
        <f t="shared" si="18"/>
        <v>0</v>
      </c>
      <c r="G605" s="7"/>
    </row>
    <row r="606" spans="1:7" s="12" customFormat="1" ht="13.2" x14ac:dyDescent="0.25">
      <c r="A606" s="119" t="s">
        <v>2408</v>
      </c>
      <c r="B606" s="120" t="s">
        <v>2117</v>
      </c>
      <c r="C606" s="101" t="s">
        <v>13</v>
      </c>
      <c r="D606" s="150">
        <v>0</v>
      </c>
      <c r="E606" s="13">
        <v>0</v>
      </c>
      <c r="F606" s="43">
        <f t="shared" si="18"/>
        <v>0</v>
      </c>
      <c r="G606" s="7"/>
    </row>
    <row r="607" spans="1:7" s="6" customFormat="1" ht="13.2" x14ac:dyDescent="0.25">
      <c r="A607" s="119" t="s">
        <v>2409</v>
      </c>
      <c r="B607" s="120" t="s">
        <v>3012</v>
      </c>
      <c r="C607" s="101" t="s">
        <v>13</v>
      </c>
      <c r="D607" s="150">
        <v>0</v>
      </c>
      <c r="E607" s="13">
        <v>0</v>
      </c>
      <c r="F607" s="43">
        <f t="shared" si="18"/>
        <v>0</v>
      </c>
      <c r="G607" s="7"/>
    </row>
    <row r="608" spans="1:7" s="12" customFormat="1" ht="13.2" x14ac:dyDescent="0.25">
      <c r="A608" s="119" t="s">
        <v>2410</v>
      </c>
      <c r="B608" s="120" t="s">
        <v>2118</v>
      </c>
      <c r="C608" s="101" t="s">
        <v>13</v>
      </c>
      <c r="D608" s="150">
        <v>0</v>
      </c>
      <c r="E608" s="13">
        <v>0</v>
      </c>
      <c r="F608" s="43">
        <f t="shared" si="18"/>
        <v>0</v>
      </c>
      <c r="G608" s="7"/>
    </row>
    <row r="609" spans="1:7" s="12" customFormat="1" ht="13.2" x14ac:dyDescent="0.25">
      <c r="A609" s="119" t="s">
        <v>2411</v>
      </c>
      <c r="B609" s="120" t="s">
        <v>2119</v>
      </c>
      <c r="C609" s="101" t="s">
        <v>13</v>
      </c>
      <c r="D609" s="150">
        <v>0</v>
      </c>
      <c r="E609" s="13">
        <v>0</v>
      </c>
      <c r="F609" s="43">
        <f t="shared" si="18"/>
        <v>0</v>
      </c>
      <c r="G609" s="7"/>
    </row>
    <row r="610" spans="1:7" s="12" customFormat="1" ht="13.2" x14ac:dyDescent="0.25">
      <c r="A610" s="119" t="s">
        <v>2412</v>
      </c>
      <c r="B610" s="120" t="s">
        <v>1587</v>
      </c>
      <c r="C610" s="101" t="s">
        <v>13</v>
      </c>
      <c r="D610" s="150">
        <v>0</v>
      </c>
      <c r="E610" s="13">
        <v>0</v>
      </c>
      <c r="F610" s="43">
        <f t="shared" si="18"/>
        <v>0</v>
      </c>
      <c r="G610" s="7"/>
    </row>
    <row r="611" spans="1:7" s="12" customFormat="1" ht="13.2" x14ac:dyDescent="0.25">
      <c r="A611" s="119" t="s">
        <v>2413</v>
      </c>
      <c r="B611" s="120" t="s">
        <v>1583</v>
      </c>
      <c r="C611" s="101" t="s">
        <v>13</v>
      </c>
      <c r="D611" s="150">
        <v>0</v>
      </c>
      <c r="E611" s="13">
        <v>0</v>
      </c>
      <c r="F611" s="43">
        <f t="shared" si="18"/>
        <v>0</v>
      </c>
      <c r="G611" s="7"/>
    </row>
    <row r="612" spans="1:7" s="8" customFormat="1" ht="13.2" x14ac:dyDescent="0.25">
      <c r="A612" s="119" t="s">
        <v>2414</v>
      </c>
      <c r="B612" s="120" t="s">
        <v>1584</v>
      </c>
      <c r="C612" s="101" t="s">
        <v>13</v>
      </c>
      <c r="D612" s="150">
        <v>0</v>
      </c>
      <c r="E612" s="13">
        <v>0</v>
      </c>
      <c r="F612" s="43">
        <f t="shared" si="18"/>
        <v>0</v>
      </c>
      <c r="G612" s="7"/>
    </row>
    <row r="613" spans="1:7" s="8" customFormat="1" ht="13.2" x14ac:dyDescent="0.25">
      <c r="A613" s="119" t="s">
        <v>2415</v>
      </c>
      <c r="B613" s="120" t="s">
        <v>1499</v>
      </c>
      <c r="C613" s="101" t="s">
        <v>13</v>
      </c>
      <c r="D613" s="150">
        <v>0</v>
      </c>
      <c r="E613" s="13">
        <v>0</v>
      </c>
      <c r="F613" s="43">
        <f t="shared" si="18"/>
        <v>0</v>
      </c>
      <c r="G613" s="7"/>
    </row>
    <row r="614" spans="1:7" s="8" customFormat="1" ht="13.2" x14ac:dyDescent="0.25">
      <c r="A614" s="119" t="s">
        <v>3013</v>
      </c>
      <c r="B614" s="120" t="s">
        <v>1585</v>
      </c>
      <c r="C614" s="101" t="s">
        <v>13</v>
      </c>
      <c r="D614" s="150">
        <v>0</v>
      </c>
      <c r="E614" s="13">
        <v>0</v>
      </c>
      <c r="F614" s="43">
        <f t="shared" si="18"/>
        <v>0</v>
      </c>
      <c r="G614" s="7"/>
    </row>
    <row r="615" spans="1:7" s="8" customFormat="1" ht="13.2" x14ac:dyDescent="0.25">
      <c r="A615" s="119" t="s">
        <v>3016</v>
      </c>
      <c r="B615" s="120" t="s">
        <v>1586</v>
      </c>
      <c r="C615" s="101" t="s">
        <v>13</v>
      </c>
      <c r="D615" s="150">
        <v>0</v>
      </c>
      <c r="E615" s="13">
        <v>0</v>
      </c>
      <c r="F615" s="43">
        <f t="shared" si="18"/>
        <v>0</v>
      </c>
      <c r="G615" s="7"/>
    </row>
    <row r="616" spans="1:7" s="8" customFormat="1" ht="13.2" x14ac:dyDescent="0.25">
      <c r="A616" s="29" t="s">
        <v>1811</v>
      </c>
      <c r="B616" s="28" t="s">
        <v>149</v>
      </c>
      <c r="C616" s="101" t="s">
        <v>13</v>
      </c>
      <c r="D616" s="150">
        <v>0</v>
      </c>
      <c r="E616" s="13">
        <v>0</v>
      </c>
      <c r="F616" s="43">
        <f>D616*E616</f>
        <v>0</v>
      </c>
      <c r="G616" s="7"/>
    </row>
    <row r="617" spans="1:7" s="12" customFormat="1" ht="13.2" x14ac:dyDescent="0.25">
      <c r="A617" s="29" t="s">
        <v>1812</v>
      </c>
      <c r="B617" s="33" t="s">
        <v>2010</v>
      </c>
      <c r="C617" s="101" t="s">
        <v>13</v>
      </c>
      <c r="D617" s="150">
        <v>0</v>
      </c>
      <c r="E617" s="13">
        <v>0</v>
      </c>
      <c r="F617" s="43">
        <f>D617*E617</f>
        <v>0</v>
      </c>
      <c r="G617" s="7"/>
    </row>
    <row r="618" spans="1:7" s="6" customFormat="1" ht="13.2" x14ac:dyDescent="0.25">
      <c r="A618" s="29" t="s">
        <v>1813</v>
      </c>
      <c r="B618" s="33" t="s">
        <v>1893</v>
      </c>
      <c r="C618" s="101" t="s">
        <v>13</v>
      </c>
      <c r="D618" s="150">
        <v>0</v>
      </c>
      <c r="E618" s="13">
        <v>0</v>
      </c>
      <c r="F618" s="43">
        <f>D618*E618</f>
        <v>0</v>
      </c>
      <c r="G618" s="7"/>
    </row>
    <row r="619" spans="1:7" s="12" customFormat="1" ht="13.2" x14ac:dyDescent="0.25">
      <c r="A619" s="29" t="s">
        <v>1814</v>
      </c>
      <c r="B619" s="33" t="s">
        <v>1894</v>
      </c>
      <c r="C619" s="101" t="s">
        <v>13</v>
      </c>
      <c r="D619" s="150">
        <v>0</v>
      </c>
      <c r="E619" s="13">
        <v>0</v>
      </c>
      <c r="F619" s="43">
        <f>D619*E619</f>
        <v>0</v>
      </c>
      <c r="G619" s="7"/>
    </row>
    <row r="620" spans="1:7" s="12" customFormat="1" ht="13.2" x14ac:dyDescent="0.25">
      <c r="A620" s="29" t="s">
        <v>1815</v>
      </c>
      <c r="B620" s="28" t="s">
        <v>2253</v>
      </c>
      <c r="C620" s="37"/>
      <c r="D620" s="17"/>
      <c r="E620" s="13"/>
      <c r="F620" s="43"/>
      <c r="G620" s="7"/>
    </row>
    <row r="621" spans="1:7" s="6" customFormat="1" ht="13.2" x14ac:dyDescent="0.25">
      <c r="A621" s="119" t="s">
        <v>132</v>
      </c>
      <c r="B621" s="120" t="s">
        <v>2546</v>
      </c>
      <c r="C621" s="101" t="s">
        <v>13</v>
      </c>
      <c r="D621" s="150">
        <v>0</v>
      </c>
      <c r="E621" s="13">
        <v>0</v>
      </c>
      <c r="F621" s="43">
        <f t="shared" ref="F621:F631" si="19">D621*E621</f>
        <v>0</v>
      </c>
      <c r="G621" s="7"/>
    </row>
    <row r="622" spans="1:7" s="6" customFormat="1" ht="13.2" x14ac:dyDescent="0.25">
      <c r="A622" s="119" t="s">
        <v>637</v>
      </c>
      <c r="B622" s="120" t="s">
        <v>2547</v>
      </c>
      <c r="C622" s="101" t="s">
        <v>13</v>
      </c>
      <c r="D622" s="150">
        <v>0</v>
      </c>
      <c r="E622" s="13">
        <v>0</v>
      </c>
      <c r="F622" s="43">
        <f t="shared" si="19"/>
        <v>0</v>
      </c>
      <c r="G622" s="7"/>
    </row>
    <row r="623" spans="1:7" s="12" customFormat="1" ht="13.2" x14ac:dyDescent="0.25">
      <c r="A623" s="119" t="s">
        <v>638</v>
      </c>
      <c r="B623" s="120" t="s">
        <v>2548</v>
      </c>
      <c r="C623" s="101" t="s">
        <v>13</v>
      </c>
      <c r="D623" s="150">
        <v>0</v>
      </c>
      <c r="E623" s="13">
        <v>0</v>
      </c>
      <c r="F623" s="43">
        <f t="shared" si="19"/>
        <v>0</v>
      </c>
      <c r="G623" s="7"/>
    </row>
    <row r="624" spans="1:7" s="12" customFormat="1" ht="13.2" x14ac:dyDescent="0.25">
      <c r="A624" s="119" t="s">
        <v>133</v>
      </c>
      <c r="B624" s="120" t="s">
        <v>2549</v>
      </c>
      <c r="C624" s="101" t="s">
        <v>13</v>
      </c>
      <c r="D624" s="150">
        <v>0</v>
      </c>
      <c r="E624" s="13">
        <v>0</v>
      </c>
      <c r="F624" s="43">
        <f t="shared" si="19"/>
        <v>0</v>
      </c>
      <c r="G624" s="7"/>
    </row>
    <row r="625" spans="1:7" s="12" customFormat="1" ht="13.2" x14ac:dyDescent="0.25">
      <c r="A625" s="119" t="s">
        <v>639</v>
      </c>
      <c r="B625" s="120" t="s">
        <v>2550</v>
      </c>
      <c r="C625" s="101" t="s">
        <v>13</v>
      </c>
      <c r="D625" s="150">
        <v>0</v>
      </c>
      <c r="E625" s="13">
        <v>0</v>
      </c>
      <c r="F625" s="43">
        <f t="shared" si="19"/>
        <v>0</v>
      </c>
      <c r="G625" s="7"/>
    </row>
    <row r="626" spans="1:7" s="12" customFormat="1" ht="13.2" x14ac:dyDescent="0.25">
      <c r="A626" s="119" t="s">
        <v>640</v>
      </c>
      <c r="B626" s="120" t="s">
        <v>2551</v>
      </c>
      <c r="C626" s="101" t="s">
        <v>13</v>
      </c>
      <c r="D626" s="150">
        <v>0</v>
      </c>
      <c r="E626" s="13">
        <v>0</v>
      </c>
      <c r="F626" s="43">
        <f t="shared" si="19"/>
        <v>0</v>
      </c>
      <c r="G626" s="7"/>
    </row>
    <row r="627" spans="1:7" s="12" customFormat="1" ht="13.2" x14ac:dyDescent="0.25">
      <c r="A627" s="119" t="s">
        <v>134</v>
      </c>
      <c r="B627" s="120" t="s">
        <v>2552</v>
      </c>
      <c r="C627" s="101" t="s">
        <v>13</v>
      </c>
      <c r="D627" s="150">
        <v>0</v>
      </c>
      <c r="E627" s="13">
        <v>0</v>
      </c>
      <c r="F627" s="43">
        <f t="shared" si="19"/>
        <v>0</v>
      </c>
      <c r="G627" s="7"/>
    </row>
    <row r="628" spans="1:7" s="6" customFormat="1" ht="13.2" x14ac:dyDescent="0.25">
      <c r="A628" s="119" t="s">
        <v>641</v>
      </c>
      <c r="B628" s="120" t="s">
        <v>2553</v>
      </c>
      <c r="C628" s="101" t="s">
        <v>13</v>
      </c>
      <c r="D628" s="150">
        <v>0</v>
      </c>
      <c r="E628" s="13">
        <v>0</v>
      </c>
      <c r="F628" s="43">
        <f t="shared" si="19"/>
        <v>0</v>
      </c>
      <c r="G628" s="7"/>
    </row>
    <row r="629" spans="1:7" s="6" customFormat="1" ht="13.2" x14ac:dyDescent="0.25">
      <c r="A629" s="119" t="s">
        <v>642</v>
      </c>
      <c r="B629" s="120" t="s">
        <v>2554</v>
      </c>
      <c r="C629" s="101" t="s">
        <v>13</v>
      </c>
      <c r="D629" s="150">
        <v>0</v>
      </c>
      <c r="E629" s="13">
        <v>0</v>
      </c>
      <c r="F629" s="43">
        <f t="shared" si="19"/>
        <v>0</v>
      </c>
      <c r="G629" s="7"/>
    </row>
    <row r="630" spans="1:7" s="12" customFormat="1" ht="13.2" x14ac:dyDescent="0.25">
      <c r="A630" s="119" t="s">
        <v>643</v>
      </c>
      <c r="B630" s="120" t="s">
        <v>2555</v>
      </c>
      <c r="C630" s="101" t="s">
        <v>13</v>
      </c>
      <c r="D630" s="150">
        <v>0</v>
      </c>
      <c r="E630" s="13">
        <v>0</v>
      </c>
      <c r="F630" s="43">
        <f t="shared" si="19"/>
        <v>0</v>
      </c>
      <c r="G630" s="7"/>
    </row>
    <row r="631" spans="1:7" s="12" customFormat="1" ht="13.2" x14ac:dyDescent="0.25">
      <c r="A631" s="119" t="s">
        <v>2416</v>
      </c>
      <c r="B631" s="120" t="s">
        <v>2556</v>
      </c>
      <c r="C631" s="101" t="s">
        <v>13</v>
      </c>
      <c r="D631" s="150">
        <v>0</v>
      </c>
      <c r="E631" s="13">
        <v>0</v>
      </c>
      <c r="F631" s="43">
        <f t="shared" si="19"/>
        <v>0</v>
      </c>
      <c r="G631" s="7"/>
    </row>
    <row r="632" spans="1:7" s="12" customFormat="1" ht="13.2" x14ac:dyDescent="0.25">
      <c r="A632" s="119"/>
      <c r="B632" s="120"/>
      <c r="C632" s="101"/>
      <c r="D632" s="17"/>
      <c r="E632" s="13"/>
      <c r="F632" s="43"/>
      <c r="G632" s="7"/>
    </row>
    <row r="633" spans="1:7" s="12" customFormat="1" ht="13.2" x14ac:dyDescent="0.25">
      <c r="A633" s="119"/>
      <c r="B633" s="152" t="s">
        <v>1766</v>
      </c>
      <c r="C633" s="101"/>
      <c r="D633" s="17"/>
      <c r="E633" s="13"/>
      <c r="F633" s="43">
        <f>SUM(F488:F632)</f>
        <v>0</v>
      </c>
      <c r="G633" s="7"/>
    </row>
    <row r="634" spans="1:7" s="12" customFormat="1" ht="13.2" x14ac:dyDescent="0.25">
      <c r="A634" s="122"/>
      <c r="B634" s="123"/>
      <c r="C634" s="103"/>
      <c r="D634" s="18"/>
      <c r="E634" s="16"/>
      <c r="F634" s="44"/>
      <c r="G634" s="7"/>
    </row>
    <row r="635" spans="1:7" s="12" customFormat="1" ht="13.2" x14ac:dyDescent="0.25">
      <c r="A635" s="30" t="s">
        <v>1074</v>
      </c>
      <c r="B635" s="36" t="s">
        <v>1619</v>
      </c>
      <c r="C635" s="104"/>
      <c r="D635" s="108"/>
      <c r="E635" s="158"/>
      <c r="F635" s="124"/>
      <c r="G635" s="7"/>
    </row>
    <row r="636" spans="1:7" s="12" customFormat="1" ht="13.2" x14ac:dyDescent="0.25">
      <c r="A636" s="29" t="s">
        <v>1075</v>
      </c>
      <c r="B636" s="33" t="s">
        <v>1895</v>
      </c>
      <c r="C636" s="101" t="s">
        <v>13</v>
      </c>
      <c r="D636" s="150">
        <v>0</v>
      </c>
      <c r="E636" s="13">
        <v>0</v>
      </c>
      <c r="F636" s="43">
        <f>D636*E636</f>
        <v>0</v>
      </c>
      <c r="G636" s="7"/>
    </row>
    <row r="637" spans="1:7" s="12" customFormat="1" ht="13.2" x14ac:dyDescent="0.25">
      <c r="A637" s="29" t="s">
        <v>726</v>
      </c>
      <c r="B637" s="33" t="s">
        <v>1898</v>
      </c>
      <c r="C637" s="101"/>
      <c r="D637" s="17"/>
      <c r="E637" s="13"/>
      <c r="F637" s="43"/>
      <c r="G637" s="7"/>
    </row>
    <row r="638" spans="1:7" s="12" customFormat="1" ht="13.2" x14ac:dyDescent="0.25">
      <c r="A638" s="119" t="s">
        <v>2417</v>
      </c>
      <c r="B638" s="120" t="s">
        <v>1568</v>
      </c>
      <c r="C638" s="101" t="s">
        <v>13</v>
      </c>
      <c r="D638" s="150">
        <v>0</v>
      </c>
      <c r="E638" s="13">
        <v>0</v>
      </c>
      <c r="F638" s="43">
        <f>D638*E638</f>
        <v>0</v>
      </c>
      <c r="G638" s="7"/>
    </row>
    <row r="639" spans="1:7" s="12" customFormat="1" ht="13.2" x14ac:dyDescent="0.25">
      <c r="A639" s="119" t="s">
        <v>2418</v>
      </c>
      <c r="B639" s="120" t="s">
        <v>1569</v>
      </c>
      <c r="C639" s="101" t="s">
        <v>13</v>
      </c>
      <c r="D639" s="150">
        <v>0</v>
      </c>
      <c r="E639" s="13">
        <v>0</v>
      </c>
      <c r="F639" s="43">
        <f>D639*E639</f>
        <v>0</v>
      </c>
      <c r="G639" s="7"/>
    </row>
    <row r="640" spans="1:7" s="12" customFormat="1" ht="13.2" x14ac:dyDescent="0.25">
      <c r="A640" s="119" t="s">
        <v>2419</v>
      </c>
      <c r="B640" s="120" t="s">
        <v>2120</v>
      </c>
      <c r="C640" s="101" t="s">
        <v>13</v>
      </c>
      <c r="D640" s="150">
        <v>0</v>
      </c>
      <c r="E640" s="13">
        <v>0</v>
      </c>
      <c r="F640" s="43">
        <f t="shared" ref="F640:F649" si="20">D640*E640</f>
        <v>0</v>
      </c>
      <c r="G640" s="7"/>
    </row>
    <row r="641" spans="1:7" s="12" customFormat="1" ht="13.2" x14ac:dyDescent="0.25">
      <c r="A641" s="119" t="s">
        <v>2420</v>
      </c>
      <c r="B641" s="120" t="s">
        <v>1570</v>
      </c>
      <c r="C641" s="101" t="s">
        <v>13</v>
      </c>
      <c r="D641" s="150">
        <v>0</v>
      </c>
      <c r="E641" s="13">
        <v>0</v>
      </c>
      <c r="F641" s="43">
        <f t="shared" si="20"/>
        <v>0</v>
      </c>
      <c r="G641" s="7"/>
    </row>
    <row r="642" spans="1:7" s="12" customFormat="1" ht="13.2" x14ac:dyDescent="0.25">
      <c r="A642" s="119" t="s">
        <v>2421</v>
      </c>
      <c r="B642" s="120" t="s">
        <v>1571</v>
      </c>
      <c r="C642" s="101" t="s">
        <v>13</v>
      </c>
      <c r="D642" s="150">
        <v>0</v>
      </c>
      <c r="E642" s="13">
        <v>0</v>
      </c>
      <c r="F642" s="43">
        <f t="shared" si="20"/>
        <v>0</v>
      </c>
      <c r="G642" s="7"/>
    </row>
    <row r="643" spans="1:7" s="12" customFormat="1" ht="13.2" x14ac:dyDescent="0.25">
      <c r="A643" s="119" t="s">
        <v>2422</v>
      </c>
      <c r="B643" s="120" t="s">
        <v>1572</v>
      </c>
      <c r="C643" s="101" t="s">
        <v>13</v>
      </c>
      <c r="D643" s="150">
        <v>0</v>
      </c>
      <c r="E643" s="13">
        <v>0</v>
      </c>
      <c r="F643" s="43">
        <f t="shared" si="20"/>
        <v>0</v>
      </c>
      <c r="G643" s="7"/>
    </row>
    <row r="644" spans="1:7" s="12" customFormat="1" ht="13.2" x14ac:dyDescent="0.25">
      <c r="A644" s="119" t="s">
        <v>2423</v>
      </c>
      <c r="B644" s="120" t="s">
        <v>1573</v>
      </c>
      <c r="C644" s="101" t="s">
        <v>13</v>
      </c>
      <c r="D644" s="150">
        <v>0</v>
      </c>
      <c r="E644" s="13">
        <v>0</v>
      </c>
      <c r="F644" s="43">
        <f t="shared" si="20"/>
        <v>0</v>
      </c>
      <c r="G644" s="7"/>
    </row>
    <row r="645" spans="1:7" s="12" customFormat="1" ht="13.2" x14ac:dyDescent="0.25">
      <c r="A645" s="119" t="s">
        <v>2424</v>
      </c>
      <c r="B645" s="120" t="s">
        <v>1574</v>
      </c>
      <c r="C645" s="101" t="s">
        <v>13</v>
      </c>
      <c r="D645" s="150">
        <v>0</v>
      </c>
      <c r="E645" s="13">
        <v>0</v>
      </c>
      <c r="F645" s="43">
        <f t="shared" si="20"/>
        <v>0</v>
      </c>
      <c r="G645" s="7"/>
    </row>
    <row r="646" spans="1:7" s="12" customFormat="1" ht="13.2" x14ac:dyDescent="0.25">
      <c r="A646" s="119" t="s">
        <v>2425</v>
      </c>
      <c r="B646" s="120" t="s">
        <v>1575</v>
      </c>
      <c r="C646" s="101" t="s">
        <v>13</v>
      </c>
      <c r="D646" s="150">
        <v>0</v>
      </c>
      <c r="E646" s="13">
        <v>0</v>
      </c>
      <c r="F646" s="43">
        <f t="shared" si="20"/>
        <v>0</v>
      </c>
      <c r="G646" s="7"/>
    </row>
    <row r="647" spans="1:7" s="12" customFormat="1" ht="26.4" x14ac:dyDescent="0.25">
      <c r="A647" s="29" t="s">
        <v>727</v>
      </c>
      <c r="B647" s="33" t="s">
        <v>1899</v>
      </c>
      <c r="C647" s="101" t="s">
        <v>13</v>
      </c>
      <c r="D647" s="150">
        <v>0</v>
      </c>
      <c r="E647" s="13">
        <v>0</v>
      </c>
      <c r="F647" s="43">
        <f t="shared" si="20"/>
        <v>0</v>
      </c>
      <c r="G647" s="7"/>
    </row>
    <row r="648" spans="1:7" s="12" customFormat="1" ht="13.2" x14ac:dyDescent="0.25">
      <c r="A648" s="29" t="s">
        <v>1466</v>
      </c>
      <c r="B648" s="33" t="s">
        <v>1979</v>
      </c>
      <c r="C648" s="101" t="s">
        <v>13</v>
      </c>
      <c r="D648" s="150">
        <v>0</v>
      </c>
      <c r="E648" s="13">
        <v>0</v>
      </c>
      <c r="F648" s="43">
        <f t="shared" si="20"/>
        <v>0</v>
      </c>
      <c r="G648" s="7"/>
    </row>
    <row r="649" spans="1:7" s="12" customFormat="1" ht="13.2" x14ac:dyDescent="0.25">
      <c r="A649" s="29" t="s">
        <v>1467</v>
      </c>
      <c r="B649" s="33" t="s">
        <v>2011</v>
      </c>
      <c r="C649" s="101" t="s">
        <v>13</v>
      </c>
      <c r="D649" s="150">
        <v>0</v>
      </c>
      <c r="E649" s="13">
        <v>0</v>
      </c>
      <c r="F649" s="43">
        <f t="shared" si="20"/>
        <v>0</v>
      </c>
      <c r="G649" s="7"/>
    </row>
    <row r="650" spans="1:7" s="12" customFormat="1" ht="13.2" x14ac:dyDescent="0.25">
      <c r="A650" s="29" t="s">
        <v>1468</v>
      </c>
      <c r="B650" s="28" t="s">
        <v>3096</v>
      </c>
      <c r="C650" s="101"/>
      <c r="D650" s="17"/>
      <c r="E650" s="13"/>
      <c r="F650" s="43"/>
      <c r="G650" s="7"/>
    </row>
    <row r="651" spans="1:7" s="12" customFormat="1" ht="13.2" x14ac:dyDescent="0.25">
      <c r="A651" s="119" t="s">
        <v>2426</v>
      </c>
      <c r="B651" s="121" t="s">
        <v>3084</v>
      </c>
      <c r="C651" s="101"/>
      <c r="D651" s="17"/>
      <c r="E651" s="13"/>
      <c r="F651" s="43"/>
      <c r="G651" s="7"/>
    </row>
    <row r="652" spans="1:7" s="12" customFormat="1" ht="13.2" x14ac:dyDescent="0.25">
      <c r="A652" s="119" t="s">
        <v>2427</v>
      </c>
      <c r="B652" s="121" t="s">
        <v>1900</v>
      </c>
      <c r="C652" s="101" t="s">
        <v>13</v>
      </c>
      <c r="D652" s="150">
        <v>0</v>
      </c>
      <c r="E652" s="13">
        <v>0</v>
      </c>
      <c r="F652" s="43">
        <f>D652*E652</f>
        <v>0</v>
      </c>
      <c r="G652" s="7"/>
    </row>
    <row r="653" spans="1:7" s="12" customFormat="1" ht="13.2" x14ac:dyDescent="0.25">
      <c r="A653" s="119" t="s">
        <v>2430</v>
      </c>
      <c r="B653" s="121" t="s">
        <v>1901</v>
      </c>
      <c r="C653" s="101" t="s">
        <v>13</v>
      </c>
      <c r="D653" s="150">
        <v>0</v>
      </c>
      <c r="E653" s="13">
        <v>0</v>
      </c>
      <c r="F653" s="43">
        <f>D653*E653</f>
        <v>0</v>
      </c>
      <c r="G653" s="7"/>
    </row>
    <row r="654" spans="1:7" s="12" customFormat="1" ht="13.2" x14ac:dyDescent="0.25">
      <c r="A654" s="119" t="s">
        <v>2431</v>
      </c>
      <c r="B654" s="121" t="s">
        <v>1902</v>
      </c>
      <c r="C654" s="101" t="s">
        <v>13</v>
      </c>
      <c r="D654" s="150">
        <v>0</v>
      </c>
      <c r="E654" s="13">
        <v>0</v>
      </c>
      <c r="F654" s="43">
        <f>D654*E654</f>
        <v>0</v>
      </c>
      <c r="G654" s="7"/>
    </row>
    <row r="655" spans="1:7" s="12" customFormat="1" ht="13.2" x14ac:dyDescent="0.25">
      <c r="A655" s="119" t="s">
        <v>2432</v>
      </c>
      <c r="B655" s="121" t="s">
        <v>1903</v>
      </c>
      <c r="C655" s="101" t="s">
        <v>13</v>
      </c>
      <c r="D655" s="150">
        <v>0</v>
      </c>
      <c r="E655" s="13">
        <v>0</v>
      </c>
      <c r="F655" s="43">
        <f>D655*E655</f>
        <v>0</v>
      </c>
      <c r="G655" s="7"/>
    </row>
    <row r="656" spans="1:7" s="12" customFormat="1" ht="13.2" x14ac:dyDescent="0.25">
      <c r="A656" s="119" t="s">
        <v>2433</v>
      </c>
      <c r="B656" s="120" t="s">
        <v>1906</v>
      </c>
      <c r="C656" s="101"/>
      <c r="D656" s="17"/>
      <c r="E656" s="13"/>
      <c r="F656" s="43"/>
      <c r="G656" s="7"/>
    </row>
    <row r="657" spans="1:7" s="12" customFormat="1" ht="13.2" x14ac:dyDescent="0.25">
      <c r="A657" s="119" t="s">
        <v>2434</v>
      </c>
      <c r="B657" s="121" t="s">
        <v>1900</v>
      </c>
      <c r="C657" s="101" t="s">
        <v>13</v>
      </c>
      <c r="D657" s="150">
        <v>0</v>
      </c>
      <c r="E657" s="13">
        <v>0</v>
      </c>
      <c r="F657" s="43">
        <f>D657*E657</f>
        <v>0</v>
      </c>
      <c r="G657" s="7"/>
    </row>
    <row r="658" spans="1:7" s="12" customFormat="1" ht="13.2" x14ac:dyDescent="0.25">
      <c r="A658" s="119" t="s">
        <v>2428</v>
      </c>
      <c r="B658" s="121" t="s">
        <v>1901</v>
      </c>
      <c r="C658" s="101" t="s">
        <v>13</v>
      </c>
      <c r="D658" s="150">
        <v>0</v>
      </c>
      <c r="E658" s="13">
        <v>0</v>
      </c>
      <c r="F658" s="43">
        <f>D658*E658</f>
        <v>0</v>
      </c>
      <c r="G658" s="7"/>
    </row>
    <row r="659" spans="1:7" s="12" customFormat="1" ht="13.2" x14ac:dyDescent="0.25">
      <c r="A659" s="119" t="s">
        <v>2435</v>
      </c>
      <c r="B659" s="121" t="s">
        <v>1902</v>
      </c>
      <c r="C659" s="101" t="s">
        <v>13</v>
      </c>
      <c r="D659" s="150">
        <v>0</v>
      </c>
      <c r="E659" s="13">
        <v>0</v>
      </c>
      <c r="F659" s="43">
        <f>D659*E659</f>
        <v>0</v>
      </c>
      <c r="G659" s="7"/>
    </row>
    <row r="660" spans="1:7" s="12" customFormat="1" ht="13.2" x14ac:dyDescent="0.25">
      <c r="A660" s="119" t="s">
        <v>2436</v>
      </c>
      <c r="B660" s="121" t="s">
        <v>2557</v>
      </c>
      <c r="C660" s="101" t="s">
        <v>13</v>
      </c>
      <c r="D660" s="150">
        <v>0</v>
      </c>
      <c r="E660" s="13">
        <v>0</v>
      </c>
      <c r="F660" s="43">
        <f>D660*E660</f>
        <v>0</v>
      </c>
      <c r="G660" s="7"/>
    </row>
    <row r="661" spans="1:7" s="12" customFormat="1" ht="13.2" x14ac:dyDescent="0.25">
      <c r="A661" s="119" t="s">
        <v>2437</v>
      </c>
      <c r="B661" s="120" t="s">
        <v>1907</v>
      </c>
      <c r="C661" s="101"/>
      <c r="D661" s="17"/>
      <c r="E661" s="13"/>
      <c r="F661" s="43"/>
      <c r="G661" s="7"/>
    </row>
    <row r="662" spans="1:7" s="12" customFormat="1" ht="13.2" x14ac:dyDescent="0.25">
      <c r="A662" s="119" t="s">
        <v>2438</v>
      </c>
      <c r="B662" s="121" t="s">
        <v>1900</v>
      </c>
      <c r="C662" s="101" t="s">
        <v>13</v>
      </c>
      <c r="D662" s="150">
        <v>0</v>
      </c>
      <c r="E662" s="13">
        <v>0</v>
      </c>
      <c r="F662" s="43">
        <f>D662*E662</f>
        <v>0</v>
      </c>
      <c r="G662" s="7"/>
    </row>
    <row r="663" spans="1:7" s="12" customFormat="1" ht="13.2" x14ac:dyDescent="0.25">
      <c r="A663" s="119" t="s">
        <v>2439</v>
      </c>
      <c r="B663" s="121" t="s">
        <v>1901</v>
      </c>
      <c r="C663" s="101" t="s">
        <v>13</v>
      </c>
      <c r="D663" s="150">
        <v>0</v>
      </c>
      <c r="E663" s="13">
        <v>0</v>
      </c>
      <c r="F663" s="43">
        <f>D663*E663</f>
        <v>0</v>
      </c>
      <c r="G663" s="7"/>
    </row>
    <row r="664" spans="1:7" s="12" customFormat="1" ht="13.2" x14ac:dyDescent="0.25">
      <c r="A664" s="119" t="s">
        <v>2440</v>
      </c>
      <c r="B664" s="121" t="s">
        <v>1902</v>
      </c>
      <c r="C664" s="101" t="s">
        <v>13</v>
      </c>
      <c r="D664" s="150">
        <v>0</v>
      </c>
      <c r="E664" s="13">
        <v>0</v>
      </c>
      <c r="F664" s="43">
        <f>D664*E664</f>
        <v>0</v>
      </c>
      <c r="G664" s="7"/>
    </row>
    <row r="665" spans="1:7" s="12" customFormat="1" ht="13.2" x14ac:dyDescent="0.25">
      <c r="A665" s="119" t="s">
        <v>2429</v>
      </c>
      <c r="B665" s="121" t="s">
        <v>1903</v>
      </c>
      <c r="C665" s="101" t="s">
        <v>13</v>
      </c>
      <c r="D665" s="150">
        <v>0</v>
      </c>
      <c r="E665" s="13">
        <v>0</v>
      </c>
      <c r="F665" s="43">
        <f>D665*E665</f>
        <v>0</v>
      </c>
      <c r="G665" s="7"/>
    </row>
    <row r="666" spans="1:7" s="12" customFormat="1" ht="13.2" x14ac:dyDescent="0.25">
      <c r="A666" s="119" t="s">
        <v>2441</v>
      </c>
      <c r="B666" s="121" t="s">
        <v>2612</v>
      </c>
      <c r="C666" s="101" t="s">
        <v>13</v>
      </c>
      <c r="D666" s="150">
        <v>0</v>
      </c>
      <c r="E666" s="13">
        <v>0</v>
      </c>
      <c r="F666" s="43">
        <f>D666*E666</f>
        <v>0</v>
      </c>
      <c r="G666" s="7"/>
    </row>
    <row r="667" spans="1:7" s="12" customFormat="1" ht="13.2" x14ac:dyDescent="0.25">
      <c r="A667" s="119" t="s">
        <v>2442</v>
      </c>
      <c r="B667" s="121" t="s">
        <v>2816</v>
      </c>
      <c r="C667" s="101"/>
      <c r="D667" s="17"/>
      <c r="E667" s="13"/>
      <c r="F667" s="43"/>
      <c r="G667" s="7"/>
    </row>
    <row r="668" spans="1:7" s="12" customFormat="1" ht="13.2" x14ac:dyDescent="0.25">
      <c r="A668" s="119" t="s">
        <v>2809</v>
      </c>
      <c r="B668" s="121" t="s">
        <v>2817</v>
      </c>
      <c r="C668" s="101" t="s">
        <v>13</v>
      </c>
      <c r="D668" s="150">
        <v>0</v>
      </c>
      <c r="E668" s="13">
        <v>0</v>
      </c>
      <c r="F668" s="43">
        <f t="shared" ref="F668:F674" si="21">D668*E668</f>
        <v>0</v>
      </c>
      <c r="G668" s="7"/>
    </row>
    <row r="669" spans="1:7" s="12" customFormat="1" ht="13.2" x14ac:dyDescent="0.25">
      <c r="A669" s="119" t="s">
        <v>2810</v>
      </c>
      <c r="B669" s="121" t="s">
        <v>2818</v>
      </c>
      <c r="C669" s="101" t="s">
        <v>13</v>
      </c>
      <c r="D669" s="150">
        <v>0</v>
      </c>
      <c r="E669" s="13">
        <v>0</v>
      </c>
      <c r="F669" s="43">
        <f t="shared" si="21"/>
        <v>0</v>
      </c>
      <c r="G669" s="7"/>
    </row>
    <row r="670" spans="1:7" s="12" customFormat="1" ht="13.2" x14ac:dyDescent="0.25">
      <c r="A670" s="119" t="s">
        <v>2811</v>
      </c>
      <c r="B670" s="121" t="s">
        <v>2819</v>
      </c>
      <c r="C670" s="101" t="s">
        <v>13</v>
      </c>
      <c r="D670" s="150">
        <v>0</v>
      </c>
      <c r="E670" s="13">
        <v>0</v>
      </c>
      <c r="F670" s="43">
        <f t="shared" si="21"/>
        <v>0</v>
      </c>
      <c r="G670" s="7"/>
    </row>
    <row r="671" spans="1:7" s="12" customFormat="1" ht="13.2" x14ac:dyDescent="0.25">
      <c r="A671" s="119" t="s">
        <v>2812</v>
      </c>
      <c r="B671" s="121" t="s">
        <v>2820</v>
      </c>
      <c r="C671" s="101" t="s">
        <v>13</v>
      </c>
      <c r="D671" s="150">
        <v>0</v>
      </c>
      <c r="E671" s="13">
        <v>0</v>
      </c>
      <c r="F671" s="43">
        <f t="shared" si="21"/>
        <v>0</v>
      </c>
      <c r="G671" s="7"/>
    </row>
    <row r="672" spans="1:7" s="12" customFormat="1" ht="13.2" x14ac:dyDescent="0.25">
      <c r="A672" s="119" t="s">
        <v>2813</v>
      </c>
      <c r="B672" s="121" t="s">
        <v>2821</v>
      </c>
      <c r="C672" s="101" t="s">
        <v>13</v>
      </c>
      <c r="D672" s="150">
        <v>0</v>
      </c>
      <c r="E672" s="13">
        <v>0</v>
      </c>
      <c r="F672" s="43">
        <f t="shared" si="21"/>
        <v>0</v>
      </c>
      <c r="G672" s="7"/>
    </row>
    <row r="673" spans="1:7" s="12" customFormat="1" ht="13.2" x14ac:dyDescent="0.25">
      <c r="A673" s="119" t="s">
        <v>2814</v>
      </c>
      <c r="B673" s="121" t="s">
        <v>2822</v>
      </c>
      <c r="C673" s="101" t="s">
        <v>13</v>
      </c>
      <c r="D673" s="150">
        <v>0</v>
      </c>
      <c r="E673" s="13">
        <v>0</v>
      </c>
      <c r="F673" s="43">
        <f t="shared" si="21"/>
        <v>0</v>
      </c>
      <c r="G673" s="7"/>
    </row>
    <row r="674" spans="1:7" s="12" customFormat="1" ht="13.2" x14ac:dyDescent="0.25">
      <c r="A674" s="119" t="s">
        <v>2815</v>
      </c>
      <c r="B674" s="121" t="s">
        <v>2823</v>
      </c>
      <c r="C674" s="101" t="s">
        <v>13</v>
      </c>
      <c r="D674" s="150">
        <v>0</v>
      </c>
      <c r="E674" s="13">
        <v>0</v>
      </c>
      <c r="F674" s="43">
        <f t="shared" si="21"/>
        <v>0</v>
      </c>
      <c r="G674" s="7"/>
    </row>
    <row r="675" spans="1:7" s="12" customFormat="1" ht="13.2" x14ac:dyDescent="0.25">
      <c r="A675" s="119" t="s">
        <v>2443</v>
      </c>
      <c r="B675" s="121" t="s">
        <v>2078</v>
      </c>
      <c r="C675" s="101"/>
      <c r="D675" s="17"/>
      <c r="E675" s="13"/>
      <c r="F675" s="43"/>
      <c r="G675" s="7"/>
    </row>
    <row r="676" spans="1:7" s="12" customFormat="1" ht="13.2" x14ac:dyDescent="0.25">
      <c r="A676" s="119" t="s">
        <v>2824</v>
      </c>
      <c r="B676" s="121" t="s">
        <v>3087</v>
      </c>
      <c r="C676" s="101" t="s">
        <v>13</v>
      </c>
      <c r="D676" s="150">
        <v>0</v>
      </c>
      <c r="E676" s="13">
        <v>0</v>
      </c>
      <c r="F676" s="43">
        <f>D676*E676</f>
        <v>0</v>
      </c>
      <c r="G676" s="7"/>
    </row>
    <row r="677" spans="1:7" s="12" customFormat="1" ht="13.2" x14ac:dyDescent="0.25">
      <c r="A677" s="119" t="s">
        <v>2825</v>
      </c>
      <c r="B677" s="121" t="s">
        <v>3088</v>
      </c>
      <c r="C677" s="101" t="s">
        <v>13</v>
      </c>
      <c r="D677" s="150">
        <v>0</v>
      </c>
      <c r="E677" s="13">
        <v>0</v>
      </c>
      <c r="F677" s="43">
        <f>D677*E677</f>
        <v>0</v>
      </c>
      <c r="G677" s="7"/>
    </row>
    <row r="678" spans="1:7" s="12" customFormat="1" ht="13.2" x14ac:dyDescent="0.25">
      <c r="A678" s="119" t="s">
        <v>2444</v>
      </c>
      <c r="B678" s="121" t="s">
        <v>2079</v>
      </c>
      <c r="C678" s="101"/>
      <c r="D678" s="17"/>
      <c r="E678" s="13"/>
      <c r="F678" s="43"/>
      <c r="G678" s="7"/>
    </row>
    <row r="679" spans="1:7" s="12" customFormat="1" ht="13.2" x14ac:dyDescent="0.25">
      <c r="A679" s="119" t="s">
        <v>2826</v>
      </c>
      <c r="B679" s="121" t="s">
        <v>3223</v>
      </c>
      <c r="C679" s="101" t="s">
        <v>13</v>
      </c>
      <c r="D679" s="150">
        <v>0</v>
      </c>
      <c r="E679" s="13">
        <v>0</v>
      </c>
      <c r="F679" s="43">
        <f>D679*E679</f>
        <v>0</v>
      </c>
      <c r="G679" s="7"/>
    </row>
    <row r="680" spans="1:7" s="12" customFormat="1" ht="13.2" x14ac:dyDescent="0.25">
      <c r="A680" s="119" t="s">
        <v>2827</v>
      </c>
      <c r="B680" s="121" t="s">
        <v>3085</v>
      </c>
      <c r="C680" s="101" t="s">
        <v>13</v>
      </c>
      <c r="D680" s="150">
        <v>0</v>
      </c>
      <c r="E680" s="13">
        <v>0</v>
      </c>
      <c r="F680" s="43">
        <f>D680*E680</f>
        <v>0</v>
      </c>
      <c r="G680" s="7"/>
    </row>
    <row r="681" spans="1:7" s="12" customFormat="1" ht="13.2" x14ac:dyDescent="0.25">
      <c r="A681" s="119" t="s">
        <v>2828</v>
      </c>
      <c r="B681" s="121" t="s">
        <v>3086</v>
      </c>
      <c r="C681" s="101" t="s">
        <v>13</v>
      </c>
      <c r="D681" s="150">
        <v>0</v>
      </c>
      <c r="E681" s="13">
        <v>0</v>
      </c>
      <c r="F681" s="43">
        <f>D681*E681</f>
        <v>0</v>
      </c>
      <c r="G681" s="7"/>
    </row>
    <row r="682" spans="1:7" s="12" customFormat="1" ht="13.2" x14ac:dyDescent="0.25">
      <c r="A682" s="119" t="s">
        <v>3224</v>
      </c>
      <c r="B682" s="121" t="s">
        <v>2080</v>
      </c>
      <c r="C682" s="101" t="s">
        <v>13</v>
      </c>
      <c r="D682" s="150">
        <v>0</v>
      </c>
      <c r="E682" s="13">
        <v>0</v>
      </c>
      <c r="F682" s="43">
        <f>D682*E682</f>
        <v>0</v>
      </c>
      <c r="G682" s="7"/>
    </row>
    <row r="683" spans="1:7" s="12" customFormat="1" ht="13.2" x14ac:dyDescent="0.25">
      <c r="A683" s="119" t="s">
        <v>2445</v>
      </c>
      <c r="B683" s="121" t="s">
        <v>2121</v>
      </c>
      <c r="C683" s="101"/>
      <c r="D683" s="17"/>
      <c r="E683" s="13"/>
      <c r="F683" s="43"/>
      <c r="G683" s="7"/>
    </row>
    <row r="684" spans="1:7" s="12" customFormat="1" ht="13.2" x14ac:dyDescent="0.25">
      <c r="A684" s="119" t="s">
        <v>2829</v>
      </c>
      <c r="B684" s="121" t="s">
        <v>2558</v>
      </c>
      <c r="C684" s="101" t="s">
        <v>13</v>
      </c>
      <c r="D684" s="150">
        <v>0</v>
      </c>
      <c r="E684" s="13">
        <v>0</v>
      </c>
      <c r="F684" s="43">
        <f>D684*E684</f>
        <v>0</v>
      </c>
      <c r="G684" s="7"/>
    </row>
    <row r="685" spans="1:7" s="12" customFormat="1" ht="13.2" x14ac:dyDescent="0.25">
      <c r="A685" s="119" t="s">
        <v>2830</v>
      </c>
      <c r="B685" s="121" t="s">
        <v>1900</v>
      </c>
      <c r="C685" s="101" t="s">
        <v>13</v>
      </c>
      <c r="D685" s="150">
        <v>0</v>
      </c>
      <c r="E685" s="13">
        <v>0</v>
      </c>
      <c r="F685" s="43">
        <f>D685*E685</f>
        <v>0</v>
      </c>
      <c r="G685" s="7"/>
    </row>
    <row r="686" spans="1:7" s="12" customFormat="1" ht="13.2" x14ac:dyDescent="0.25">
      <c r="A686" s="119" t="s">
        <v>2831</v>
      </c>
      <c r="B686" s="121" t="s">
        <v>1901</v>
      </c>
      <c r="C686" s="101" t="s">
        <v>13</v>
      </c>
      <c r="D686" s="150">
        <v>0</v>
      </c>
      <c r="E686" s="13">
        <v>0</v>
      </c>
      <c r="F686" s="43">
        <f>D686*E686</f>
        <v>0</v>
      </c>
      <c r="G686" s="7"/>
    </row>
    <row r="687" spans="1:7" s="12" customFormat="1" ht="13.2" x14ac:dyDescent="0.25">
      <c r="A687" s="119" t="s">
        <v>2446</v>
      </c>
      <c r="B687" s="121" t="s">
        <v>2122</v>
      </c>
      <c r="C687" s="101"/>
      <c r="D687" s="17"/>
      <c r="E687" s="13"/>
      <c r="F687" s="43"/>
      <c r="G687" s="7"/>
    </row>
    <row r="688" spans="1:7" s="4" customFormat="1" ht="13.2" x14ac:dyDescent="0.25">
      <c r="A688" s="119" t="s">
        <v>2832</v>
      </c>
      <c r="B688" s="121" t="s">
        <v>1900</v>
      </c>
      <c r="C688" s="101" t="s">
        <v>13</v>
      </c>
      <c r="D688" s="150">
        <v>0</v>
      </c>
      <c r="E688" s="13">
        <v>0</v>
      </c>
      <c r="F688" s="43">
        <f>D688*E688</f>
        <v>0</v>
      </c>
      <c r="G688" s="7"/>
    </row>
    <row r="689" spans="1:7" s="4" customFormat="1" ht="13.2" x14ac:dyDescent="0.25">
      <c r="A689" s="119" t="s">
        <v>2833</v>
      </c>
      <c r="B689" s="121" t="s">
        <v>1901</v>
      </c>
      <c r="C689" s="101" t="s">
        <v>13</v>
      </c>
      <c r="D689" s="150">
        <v>0</v>
      </c>
      <c r="E689" s="13">
        <v>0</v>
      </c>
      <c r="F689" s="43">
        <f>D689*E689</f>
        <v>0</v>
      </c>
      <c r="G689" s="7"/>
    </row>
    <row r="690" spans="1:7" s="6" customFormat="1" ht="13.2" x14ac:dyDescent="0.25">
      <c r="A690" s="119" t="s">
        <v>2447</v>
      </c>
      <c r="B690" s="121" t="s">
        <v>2123</v>
      </c>
      <c r="C690" s="101"/>
      <c r="D690" s="17"/>
      <c r="E690" s="13"/>
      <c r="F690" s="43"/>
      <c r="G690" s="7"/>
    </row>
    <row r="691" spans="1:7" s="6" customFormat="1" ht="13.2" x14ac:dyDescent="0.25">
      <c r="A691" s="119" t="s">
        <v>2834</v>
      </c>
      <c r="B691" s="121" t="s">
        <v>1900</v>
      </c>
      <c r="C691" s="101" t="s">
        <v>13</v>
      </c>
      <c r="D691" s="150">
        <v>0</v>
      </c>
      <c r="E691" s="13">
        <v>0</v>
      </c>
      <c r="F691" s="43">
        <f>D691*E691</f>
        <v>0</v>
      </c>
      <c r="G691" s="7"/>
    </row>
    <row r="692" spans="1:7" s="4" customFormat="1" ht="13.2" x14ac:dyDescent="0.25">
      <c r="A692" s="119" t="s">
        <v>2835</v>
      </c>
      <c r="B692" s="121" t="s">
        <v>1901</v>
      </c>
      <c r="C692" s="101" t="s">
        <v>13</v>
      </c>
      <c r="D692" s="150">
        <v>0</v>
      </c>
      <c r="E692" s="13">
        <v>0</v>
      </c>
      <c r="F692" s="43">
        <f>D692*E692</f>
        <v>0</v>
      </c>
      <c r="G692" s="7"/>
    </row>
    <row r="693" spans="1:7" s="4" customFormat="1" ht="13.2" x14ac:dyDescent="0.25">
      <c r="A693" s="119" t="s">
        <v>2836</v>
      </c>
      <c r="B693" s="121" t="s">
        <v>1902</v>
      </c>
      <c r="C693" s="101" t="s">
        <v>13</v>
      </c>
      <c r="D693" s="150">
        <v>0</v>
      </c>
      <c r="E693" s="13">
        <v>0</v>
      </c>
      <c r="F693" s="43">
        <f>D693*E693</f>
        <v>0</v>
      </c>
      <c r="G693" s="7"/>
    </row>
    <row r="694" spans="1:7" s="4" customFormat="1" ht="13.2" x14ac:dyDescent="0.25">
      <c r="A694" s="119" t="s">
        <v>2837</v>
      </c>
      <c r="B694" s="121" t="s">
        <v>1903</v>
      </c>
      <c r="C694" s="101" t="s">
        <v>13</v>
      </c>
      <c r="D694" s="150">
        <v>0</v>
      </c>
      <c r="E694" s="13">
        <v>0</v>
      </c>
      <c r="F694" s="43">
        <f>D694*E694</f>
        <v>0</v>
      </c>
      <c r="G694" s="7"/>
    </row>
    <row r="695" spans="1:7" s="4" customFormat="1" ht="13.2" x14ac:dyDescent="0.25">
      <c r="A695" s="119" t="s">
        <v>2448</v>
      </c>
      <c r="B695" s="121" t="s">
        <v>2124</v>
      </c>
      <c r="C695" s="101"/>
      <c r="D695" s="17"/>
      <c r="E695" s="13"/>
      <c r="F695" s="43"/>
      <c r="G695" s="7"/>
    </row>
    <row r="696" spans="1:7" s="4" customFormat="1" ht="13.2" x14ac:dyDescent="0.25">
      <c r="A696" s="119" t="s">
        <v>2838</v>
      </c>
      <c r="B696" s="121" t="s">
        <v>2072</v>
      </c>
      <c r="C696" s="101" t="s">
        <v>13</v>
      </c>
      <c r="D696" s="150">
        <v>0</v>
      </c>
      <c r="E696" s="13">
        <v>0</v>
      </c>
      <c r="F696" s="43">
        <f>D696*E696</f>
        <v>0</v>
      </c>
      <c r="G696" s="7"/>
    </row>
    <row r="697" spans="1:7" s="4" customFormat="1" ht="13.2" x14ac:dyDescent="0.25">
      <c r="A697" s="119" t="s">
        <v>2839</v>
      </c>
      <c r="B697" s="121" t="s">
        <v>2073</v>
      </c>
      <c r="C697" s="101" t="s">
        <v>13</v>
      </c>
      <c r="D697" s="150">
        <v>0</v>
      </c>
      <c r="E697" s="13">
        <v>0</v>
      </c>
      <c r="F697" s="43">
        <f>D697*E697</f>
        <v>0</v>
      </c>
      <c r="G697" s="7"/>
    </row>
    <row r="698" spans="1:7" s="4" customFormat="1" ht="13.2" x14ac:dyDescent="0.25">
      <c r="A698" s="119" t="s">
        <v>2840</v>
      </c>
      <c r="B698" s="121" t="s">
        <v>2074</v>
      </c>
      <c r="C698" s="101" t="s">
        <v>13</v>
      </c>
      <c r="D698" s="150">
        <v>0</v>
      </c>
      <c r="E698" s="13">
        <v>0</v>
      </c>
      <c r="F698" s="43">
        <f>D698*E698</f>
        <v>0</v>
      </c>
      <c r="G698" s="7"/>
    </row>
    <row r="699" spans="1:7" s="4" customFormat="1" ht="13.2" x14ac:dyDescent="0.25">
      <c r="A699" s="119" t="s">
        <v>2841</v>
      </c>
      <c r="B699" s="121" t="s">
        <v>2075</v>
      </c>
      <c r="C699" s="101" t="s">
        <v>13</v>
      </c>
      <c r="D699" s="150">
        <v>0</v>
      </c>
      <c r="E699" s="13">
        <v>0</v>
      </c>
      <c r="F699" s="43">
        <f>D699*E699</f>
        <v>0</v>
      </c>
      <c r="G699" s="7"/>
    </row>
    <row r="700" spans="1:7" s="4" customFormat="1" ht="13.2" x14ac:dyDescent="0.25">
      <c r="A700" s="119" t="s">
        <v>2449</v>
      </c>
      <c r="B700" s="121" t="s">
        <v>3225</v>
      </c>
      <c r="C700" s="101"/>
      <c r="D700" s="17"/>
      <c r="E700" s="13"/>
      <c r="F700" s="43"/>
      <c r="G700" s="7"/>
    </row>
    <row r="701" spans="1:7" s="4" customFormat="1" ht="13.2" x14ac:dyDescent="0.25">
      <c r="A701" s="119" t="s">
        <v>3226</v>
      </c>
      <c r="B701" s="121" t="s">
        <v>3227</v>
      </c>
      <c r="C701" s="101" t="s">
        <v>13</v>
      </c>
      <c r="D701" s="150">
        <v>0</v>
      </c>
      <c r="E701" s="13">
        <v>0</v>
      </c>
      <c r="F701" s="43">
        <f t="shared" ref="F701:F704" si="22">D701*E701</f>
        <v>0</v>
      </c>
      <c r="G701" s="7"/>
    </row>
    <row r="702" spans="1:7" s="4" customFormat="1" ht="13.2" x14ac:dyDescent="0.25">
      <c r="A702" s="119" t="s">
        <v>3228</v>
      </c>
      <c r="B702" s="121" t="s">
        <v>3229</v>
      </c>
      <c r="C702" s="101" t="s">
        <v>13</v>
      </c>
      <c r="D702" s="150">
        <v>0</v>
      </c>
      <c r="E702" s="13">
        <v>0</v>
      </c>
      <c r="F702" s="43">
        <f t="shared" si="22"/>
        <v>0</v>
      </c>
      <c r="G702" s="7"/>
    </row>
    <row r="703" spans="1:7" s="12" customFormat="1" ht="13.2" x14ac:dyDescent="0.25">
      <c r="A703" s="119" t="s">
        <v>3230</v>
      </c>
      <c r="B703" s="121" t="s">
        <v>3231</v>
      </c>
      <c r="C703" s="101" t="s">
        <v>13</v>
      </c>
      <c r="D703" s="150">
        <v>0</v>
      </c>
      <c r="E703" s="13">
        <v>0</v>
      </c>
      <c r="F703" s="43">
        <f t="shared" si="22"/>
        <v>0</v>
      </c>
      <c r="G703" s="7"/>
    </row>
    <row r="704" spans="1:7" s="6" customFormat="1" ht="13.2" x14ac:dyDescent="0.25">
      <c r="A704" s="119" t="s">
        <v>2450</v>
      </c>
      <c r="B704" s="121" t="s">
        <v>2125</v>
      </c>
      <c r="C704" s="101" t="s">
        <v>13</v>
      </c>
      <c r="D704" s="150">
        <v>0</v>
      </c>
      <c r="E704" s="13">
        <v>0</v>
      </c>
      <c r="F704" s="43">
        <f t="shared" si="22"/>
        <v>0</v>
      </c>
      <c r="G704" s="7"/>
    </row>
    <row r="705" spans="1:7" s="12" customFormat="1" ht="13.2" x14ac:dyDescent="0.25">
      <c r="A705" s="119" t="s">
        <v>2451</v>
      </c>
      <c r="B705" s="121" t="s">
        <v>2126</v>
      </c>
      <c r="C705" s="101"/>
      <c r="D705" s="17"/>
      <c r="E705" s="13"/>
      <c r="F705" s="43"/>
      <c r="G705" s="7"/>
    </row>
    <row r="706" spans="1:7" s="12" customFormat="1" ht="13.2" x14ac:dyDescent="0.25">
      <c r="A706" s="119" t="s">
        <v>2452</v>
      </c>
      <c r="B706" s="121" t="s">
        <v>2127</v>
      </c>
      <c r="C706" s="101" t="s">
        <v>13</v>
      </c>
      <c r="D706" s="150">
        <v>0</v>
      </c>
      <c r="E706" s="13">
        <v>0</v>
      </c>
      <c r="F706" s="43">
        <f>D706*E706</f>
        <v>0</v>
      </c>
      <c r="G706" s="7"/>
    </row>
    <row r="707" spans="1:7" s="12" customFormat="1" ht="13.2" x14ac:dyDescent="0.25">
      <c r="A707" s="119" t="s">
        <v>2453</v>
      </c>
      <c r="B707" s="121" t="s">
        <v>2128</v>
      </c>
      <c r="C707" s="101" t="s">
        <v>13</v>
      </c>
      <c r="D707" s="150">
        <v>0</v>
      </c>
      <c r="E707" s="13">
        <v>0</v>
      </c>
      <c r="F707" s="43">
        <f>D707*E707</f>
        <v>0</v>
      </c>
      <c r="G707" s="7"/>
    </row>
    <row r="708" spans="1:7" s="4" customFormat="1" ht="13.2" x14ac:dyDescent="0.25">
      <c r="A708" s="119" t="s">
        <v>3232</v>
      </c>
      <c r="B708" s="121" t="s">
        <v>2129</v>
      </c>
      <c r="C708" s="101" t="s">
        <v>13</v>
      </c>
      <c r="D708" s="150">
        <v>0</v>
      </c>
      <c r="E708" s="13">
        <v>0</v>
      </c>
      <c r="F708" s="43">
        <f>D708*E708</f>
        <v>0</v>
      </c>
      <c r="G708" s="7"/>
    </row>
    <row r="709" spans="1:7" s="6" customFormat="1" ht="13.2" x14ac:dyDescent="0.25">
      <c r="A709" s="119" t="s">
        <v>3233</v>
      </c>
      <c r="B709" s="121" t="s">
        <v>2130</v>
      </c>
      <c r="C709" s="101" t="s">
        <v>13</v>
      </c>
      <c r="D709" s="150">
        <v>0</v>
      </c>
      <c r="E709" s="13">
        <v>0</v>
      </c>
      <c r="F709" s="43">
        <f>D709*E709</f>
        <v>0</v>
      </c>
      <c r="G709" s="7"/>
    </row>
    <row r="710" spans="1:7" s="4" customFormat="1" ht="13.2" x14ac:dyDescent="0.25">
      <c r="A710" s="119" t="s">
        <v>3234</v>
      </c>
      <c r="B710" s="121" t="s">
        <v>2131</v>
      </c>
      <c r="C710" s="101" t="s">
        <v>13</v>
      </c>
      <c r="D710" s="150">
        <v>0</v>
      </c>
      <c r="E710" s="13">
        <v>0</v>
      </c>
      <c r="F710" s="43">
        <f>D710*E710</f>
        <v>0</v>
      </c>
      <c r="G710" s="7"/>
    </row>
    <row r="711" spans="1:7" s="4" customFormat="1" ht="13.2" x14ac:dyDescent="0.25">
      <c r="A711" s="119" t="s">
        <v>2454</v>
      </c>
      <c r="B711" s="121" t="s">
        <v>2132</v>
      </c>
      <c r="C711" s="101"/>
      <c r="D711" s="17"/>
      <c r="E711" s="13"/>
      <c r="F711" s="43"/>
      <c r="G711" s="7"/>
    </row>
    <row r="712" spans="1:7" s="4" customFormat="1" ht="13.2" x14ac:dyDescent="0.25">
      <c r="A712" s="119" t="s">
        <v>2455</v>
      </c>
      <c r="B712" s="121" t="s">
        <v>2137</v>
      </c>
      <c r="C712" s="101" t="s">
        <v>13</v>
      </c>
      <c r="D712" s="150">
        <v>0</v>
      </c>
      <c r="E712" s="13">
        <v>0</v>
      </c>
      <c r="F712" s="43">
        <f>D712*E712</f>
        <v>0</v>
      </c>
      <c r="G712" s="7"/>
    </row>
    <row r="713" spans="1:7" s="4" customFormat="1" ht="13.2" x14ac:dyDescent="0.25">
      <c r="A713" s="119" t="s">
        <v>2456</v>
      </c>
      <c r="B713" s="121" t="s">
        <v>2136</v>
      </c>
      <c r="C713" s="101" t="s">
        <v>13</v>
      </c>
      <c r="D713" s="150">
        <v>0</v>
      </c>
      <c r="E713" s="13">
        <v>0</v>
      </c>
      <c r="F713" s="43">
        <f>D713*E713</f>
        <v>0</v>
      </c>
      <c r="G713" s="7"/>
    </row>
    <row r="714" spans="1:7" s="4" customFormat="1" ht="13.2" x14ac:dyDescent="0.25">
      <c r="A714" s="119" t="s">
        <v>2457</v>
      </c>
      <c r="B714" s="121" t="s">
        <v>2138</v>
      </c>
      <c r="C714" s="101"/>
      <c r="D714" s="17"/>
      <c r="E714" s="13"/>
      <c r="F714" s="43"/>
      <c r="G714" s="7"/>
    </row>
    <row r="715" spans="1:7" s="6" customFormat="1" ht="13.2" x14ac:dyDescent="0.25">
      <c r="A715" s="119" t="s">
        <v>2458</v>
      </c>
      <c r="B715" s="121" t="s">
        <v>2133</v>
      </c>
      <c r="C715" s="101" t="s">
        <v>13</v>
      </c>
      <c r="D715" s="150">
        <v>0</v>
      </c>
      <c r="E715" s="13">
        <v>0</v>
      </c>
      <c r="F715" s="43">
        <f>D715*E715</f>
        <v>0</v>
      </c>
      <c r="G715" s="7"/>
    </row>
    <row r="716" spans="1:7" s="12" customFormat="1" ht="13.2" x14ac:dyDescent="0.25">
      <c r="A716" s="119" t="s">
        <v>2459</v>
      </c>
      <c r="B716" s="121" t="s">
        <v>2134</v>
      </c>
      <c r="C716" s="101" t="s">
        <v>13</v>
      </c>
      <c r="D716" s="150">
        <v>0</v>
      </c>
      <c r="E716" s="13">
        <v>0</v>
      </c>
      <c r="F716" s="43">
        <f>D716*E716</f>
        <v>0</v>
      </c>
      <c r="G716" s="7"/>
    </row>
    <row r="717" spans="1:7" s="12" customFormat="1" ht="13.2" x14ac:dyDescent="0.25">
      <c r="A717" s="119" t="s">
        <v>2460</v>
      </c>
      <c r="B717" s="121" t="s">
        <v>2135</v>
      </c>
      <c r="C717" s="101" t="s">
        <v>13</v>
      </c>
      <c r="D717" s="150">
        <v>0</v>
      </c>
      <c r="E717" s="13">
        <v>0</v>
      </c>
      <c r="F717" s="43">
        <f>D717*E717</f>
        <v>0</v>
      </c>
      <c r="G717" s="7"/>
    </row>
    <row r="718" spans="1:7" s="12" customFormat="1" ht="13.2" x14ac:dyDescent="0.25">
      <c r="A718" s="119" t="s">
        <v>2461</v>
      </c>
      <c r="B718" s="121" t="s">
        <v>1904</v>
      </c>
      <c r="C718" s="101"/>
      <c r="D718" s="17"/>
      <c r="E718" s="13"/>
      <c r="F718" s="43"/>
      <c r="G718" s="7"/>
    </row>
    <row r="719" spans="1:7" s="12" customFormat="1" ht="13.2" x14ac:dyDescent="0.25">
      <c r="A719" s="119" t="s">
        <v>2613</v>
      </c>
      <c r="B719" s="121" t="s">
        <v>2054</v>
      </c>
      <c r="C719" s="101" t="s">
        <v>13</v>
      </c>
      <c r="D719" s="150">
        <v>0</v>
      </c>
      <c r="E719" s="13">
        <v>0</v>
      </c>
      <c r="F719" s="43">
        <f t="shared" ref="F719:F727" si="23">D719*E719</f>
        <v>0</v>
      </c>
      <c r="G719" s="7"/>
    </row>
    <row r="720" spans="1:7" s="12" customFormat="1" ht="13.2" x14ac:dyDescent="0.25">
      <c r="A720" s="119" t="s">
        <v>2614</v>
      </c>
      <c r="B720" s="121" t="s">
        <v>2055</v>
      </c>
      <c r="C720" s="101" t="s">
        <v>13</v>
      </c>
      <c r="D720" s="150">
        <v>0</v>
      </c>
      <c r="E720" s="13">
        <v>0</v>
      </c>
      <c r="F720" s="43">
        <f t="shared" si="23"/>
        <v>0</v>
      </c>
      <c r="G720" s="7"/>
    </row>
    <row r="721" spans="1:7" s="12" customFormat="1" ht="13.2" x14ac:dyDescent="0.25">
      <c r="A721" s="119" t="s">
        <v>2615</v>
      </c>
      <c r="B721" s="121" t="s">
        <v>2056</v>
      </c>
      <c r="C721" s="101" t="s">
        <v>13</v>
      </c>
      <c r="D721" s="150">
        <v>0</v>
      </c>
      <c r="E721" s="13">
        <v>0</v>
      </c>
      <c r="F721" s="43">
        <f t="shared" si="23"/>
        <v>0</v>
      </c>
      <c r="G721" s="7"/>
    </row>
    <row r="722" spans="1:7" s="12" customFormat="1" ht="13.2" x14ac:dyDescent="0.25">
      <c r="A722" s="119" t="s">
        <v>2616</v>
      </c>
      <c r="B722" s="121" t="s">
        <v>2057</v>
      </c>
      <c r="C722" s="101" t="s">
        <v>13</v>
      </c>
      <c r="D722" s="150">
        <v>0</v>
      </c>
      <c r="E722" s="13">
        <v>0</v>
      </c>
      <c r="F722" s="43">
        <f t="shared" si="23"/>
        <v>0</v>
      </c>
      <c r="G722" s="7"/>
    </row>
    <row r="723" spans="1:7" s="12" customFormat="1" ht="13.2" x14ac:dyDescent="0.25">
      <c r="A723" s="119" t="s">
        <v>3235</v>
      </c>
      <c r="B723" s="121" t="s">
        <v>2058</v>
      </c>
      <c r="C723" s="101" t="s">
        <v>13</v>
      </c>
      <c r="D723" s="150">
        <v>0</v>
      </c>
      <c r="E723" s="13">
        <v>0</v>
      </c>
      <c r="F723" s="43">
        <f t="shared" si="23"/>
        <v>0</v>
      </c>
      <c r="G723" s="7"/>
    </row>
    <row r="724" spans="1:7" s="12" customFormat="1" ht="13.2" x14ac:dyDescent="0.25">
      <c r="A724" s="119" t="s">
        <v>3236</v>
      </c>
      <c r="B724" s="121" t="s">
        <v>2059</v>
      </c>
      <c r="C724" s="101" t="s">
        <v>13</v>
      </c>
      <c r="D724" s="150">
        <v>0</v>
      </c>
      <c r="E724" s="13">
        <v>0</v>
      </c>
      <c r="F724" s="43">
        <f t="shared" si="23"/>
        <v>0</v>
      </c>
      <c r="G724" s="7"/>
    </row>
    <row r="725" spans="1:7" s="12" customFormat="1" ht="13.2" x14ac:dyDescent="0.25">
      <c r="A725" s="119" t="s">
        <v>3237</v>
      </c>
      <c r="B725" s="121" t="s">
        <v>2062</v>
      </c>
      <c r="C725" s="101" t="s">
        <v>13</v>
      </c>
      <c r="D725" s="150">
        <v>0</v>
      </c>
      <c r="E725" s="13">
        <v>0</v>
      </c>
      <c r="F725" s="43">
        <f t="shared" si="23"/>
        <v>0</v>
      </c>
      <c r="G725" s="7"/>
    </row>
    <row r="726" spans="1:7" s="6" customFormat="1" ht="13.2" x14ac:dyDescent="0.25">
      <c r="A726" s="119" t="s">
        <v>3238</v>
      </c>
      <c r="B726" s="121" t="s">
        <v>2060</v>
      </c>
      <c r="C726" s="101" t="s">
        <v>13</v>
      </c>
      <c r="D726" s="150">
        <v>0</v>
      </c>
      <c r="E726" s="13">
        <v>0</v>
      </c>
      <c r="F726" s="43">
        <f t="shared" si="23"/>
        <v>0</v>
      </c>
      <c r="G726" s="7"/>
    </row>
    <row r="727" spans="1:7" s="12" customFormat="1" ht="13.2" x14ac:dyDescent="0.25">
      <c r="A727" s="119" t="s">
        <v>3239</v>
      </c>
      <c r="B727" s="121" t="s">
        <v>2061</v>
      </c>
      <c r="C727" s="101" t="s">
        <v>13</v>
      </c>
      <c r="D727" s="150">
        <v>0</v>
      </c>
      <c r="E727" s="13">
        <v>0</v>
      </c>
      <c r="F727" s="43">
        <f t="shared" si="23"/>
        <v>0</v>
      </c>
      <c r="G727" s="7"/>
    </row>
    <row r="728" spans="1:7" s="12" customFormat="1" ht="13.2" x14ac:dyDescent="0.25">
      <c r="A728" s="119" t="s">
        <v>3240</v>
      </c>
      <c r="B728" s="121" t="s">
        <v>1905</v>
      </c>
      <c r="C728" s="101"/>
      <c r="D728" s="17"/>
      <c r="E728" s="13"/>
      <c r="F728" s="43"/>
      <c r="G728" s="7"/>
    </row>
    <row r="729" spans="1:7" s="12" customFormat="1" ht="13.2" x14ac:dyDescent="0.25">
      <c r="A729" s="119" t="s">
        <v>3241</v>
      </c>
      <c r="B729" s="121" t="s">
        <v>1900</v>
      </c>
      <c r="C729" s="101" t="s">
        <v>13</v>
      </c>
      <c r="D729" s="150">
        <v>0</v>
      </c>
      <c r="E729" s="13">
        <v>0</v>
      </c>
      <c r="F729" s="43">
        <f>D729*E729</f>
        <v>0</v>
      </c>
      <c r="G729" s="7"/>
    </row>
    <row r="730" spans="1:7" s="12" customFormat="1" ht="13.2" x14ac:dyDescent="0.25">
      <c r="A730" s="119" t="s">
        <v>3242</v>
      </c>
      <c r="B730" s="121" t="s">
        <v>1901</v>
      </c>
      <c r="C730" s="101" t="s">
        <v>13</v>
      </c>
      <c r="D730" s="150">
        <v>0</v>
      </c>
      <c r="E730" s="13">
        <v>0</v>
      </c>
      <c r="F730" s="43">
        <f>D730*E730</f>
        <v>0</v>
      </c>
      <c r="G730" s="7"/>
    </row>
    <row r="731" spans="1:7" s="12" customFormat="1" ht="13.2" x14ac:dyDescent="0.25">
      <c r="A731" s="119" t="s">
        <v>3243</v>
      </c>
      <c r="B731" s="121" t="s">
        <v>1902</v>
      </c>
      <c r="C731" s="101" t="s">
        <v>13</v>
      </c>
      <c r="D731" s="150">
        <v>0</v>
      </c>
      <c r="E731" s="13">
        <v>0</v>
      </c>
      <c r="F731" s="43">
        <f>D731*E731</f>
        <v>0</v>
      </c>
      <c r="G731" s="7"/>
    </row>
    <row r="732" spans="1:7" s="12" customFormat="1" ht="13.2" x14ac:dyDescent="0.25">
      <c r="A732" s="119" t="s">
        <v>3244</v>
      </c>
      <c r="B732" s="121" t="s">
        <v>1903</v>
      </c>
      <c r="C732" s="101" t="s">
        <v>13</v>
      </c>
      <c r="D732" s="150">
        <v>0</v>
      </c>
      <c r="E732" s="13">
        <v>0</v>
      </c>
      <c r="F732" s="43">
        <f>D732*E732</f>
        <v>0</v>
      </c>
      <c r="G732" s="7"/>
    </row>
    <row r="733" spans="1:7" s="12" customFormat="1" ht="13.2" x14ac:dyDescent="0.25">
      <c r="A733" s="119" t="s">
        <v>3245</v>
      </c>
      <c r="B733" s="121" t="s">
        <v>3246</v>
      </c>
      <c r="C733" s="101" t="s">
        <v>13</v>
      </c>
      <c r="D733" s="150">
        <v>0</v>
      </c>
      <c r="E733" s="13">
        <v>0</v>
      </c>
      <c r="F733" s="43">
        <f t="shared" ref="F733:F741" si="24">D733*E733</f>
        <v>0</v>
      </c>
      <c r="G733" s="7"/>
    </row>
    <row r="734" spans="1:7" s="12" customFormat="1" ht="13.2" x14ac:dyDescent="0.25">
      <c r="A734" s="119" t="s">
        <v>3247</v>
      </c>
      <c r="B734" s="121" t="s">
        <v>3248</v>
      </c>
      <c r="C734" s="101" t="s">
        <v>13</v>
      </c>
      <c r="D734" s="150">
        <v>0</v>
      </c>
      <c r="E734" s="13">
        <v>0</v>
      </c>
      <c r="F734" s="43">
        <f t="shared" si="24"/>
        <v>0</v>
      </c>
      <c r="G734" s="7"/>
    </row>
    <row r="735" spans="1:7" s="12" customFormat="1" ht="13.5" customHeight="1" x14ac:dyDescent="0.25">
      <c r="A735" s="119" t="s">
        <v>3249</v>
      </c>
      <c r="B735" s="121" t="s">
        <v>3250</v>
      </c>
      <c r="C735" s="101" t="s">
        <v>13</v>
      </c>
      <c r="D735" s="150">
        <v>0</v>
      </c>
      <c r="E735" s="13">
        <v>0</v>
      </c>
      <c r="F735" s="43">
        <f t="shared" si="24"/>
        <v>0</v>
      </c>
      <c r="G735" s="7"/>
    </row>
    <row r="736" spans="1:7" s="12" customFormat="1" ht="13.2" x14ac:dyDescent="0.25">
      <c r="A736" s="119" t="s">
        <v>3251</v>
      </c>
      <c r="B736" s="121" t="s">
        <v>3252</v>
      </c>
      <c r="C736" s="101" t="s">
        <v>13</v>
      </c>
      <c r="D736" s="150">
        <v>0</v>
      </c>
      <c r="E736" s="13">
        <v>0</v>
      </c>
      <c r="F736" s="43">
        <f t="shared" si="24"/>
        <v>0</v>
      </c>
      <c r="G736" s="7"/>
    </row>
    <row r="737" spans="1:7" s="12" customFormat="1" ht="13.2" x14ac:dyDescent="0.25">
      <c r="A737" s="119" t="s">
        <v>3253</v>
      </c>
      <c r="B737" s="121" t="s">
        <v>3254</v>
      </c>
      <c r="C737" s="101" t="s">
        <v>13</v>
      </c>
      <c r="D737" s="150">
        <v>0</v>
      </c>
      <c r="E737" s="13">
        <v>0</v>
      </c>
      <c r="F737" s="43">
        <f t="shared" si="24"/>
        <v>0</v>
      </c>
      <c r="G737" s="7"/>
    </row>
    <row r="738" spans="1:7" s="12" customFormat="1" ht="13.2" x14ac:dyDescent="0.25">
      <c r="A738" s="119" t="s">
        <v>3255</v>
      </c>
      <c r="B738" s="121" t="s">
        <v>3256</v>
      </c>
      <c r="C738" s="101" t="s">
        <v>13</v>
      </c>
      <c r="D738" s="150">
        <v>0</v>
      </c>
      <c r="E738" s="13">
        <v>0</v>
      </c>
      <c r="F738" s="43">
        <f t="shared" si="24"/>
        <v>0</v>
      </c>
      <c r="G738" s="7"/>
    </row>
    <row r="739" spans="1:7" s="12" customFormat="1" ht="13.2" x14ac:dyDescent="0.25">
      <c r="A739" s="119" t="s">
        <v>3253</v>
      </c>
      <c r="B739" s="121" t="s">
        <v>3257</v>
      </c>
      <c r="C739" s="101" t="s">
        <v>13</v>
      </c>
      <c r="D739" s="150">
        <v>0</v>
      </c>
      <c r="E739" s="13">
        <v>0</v>
      </c>
      <c r="F739" s="43">
        <f t="shared" si="24"/>
        <v>0</v>
      </c>
      <c r="G739" s="7"/>
    </row>
    <row r="740" spans="1:7" s="12" customFormat="1" ht="13.2" x14ac:dyDescent="0.25">
      <c r="A740" s="119" t="s">
        <v>3258</v>
      </c>
      <c r="B740" s="121" t="s">
        <v>3259</v>
      </c>
      <c r="C740" s="101" t="s">
        <v>13</v>
      </c>
      <c r="D740" s="150">
        <v>0</v>
      </c>
      <c r="E740" s="13">
        <v>0</v>
      </c>
      <c r="F740" s="43">
        <f t="shared" si="24"/>
        <v>0</v>
      </c>
      <c r="G740" s="7"/>
    </row>
    <row r="741" spans="1:7" s="6" customFormat="1" ht="13.2" x14ac:dyDescent="0.25">
      <c r="A741" s="119" t="s">
        <v>3260</v>
      </c>
      <c r="B741" s="121" t="s">
        <v>3261</v>
      </c>
      <c r="C741" s="101" t="s">
        <v>13</v>
      </c>
      <c r="D741" s="150">
        <v>0</v>
      </c>
      <c r="E741" s="13">
        <v>0</v>
      </c>
      <c r="F741" s="43">
        <f t="shared" si="24"/>
        <v>0</v>
      </c>
      <c r="G741" s="7"/>
    </row>
    <row r="742" spans="1:7" s="12" customFormat="1" ht="13.2" x14ac:dyDescent="0.25">
      <c r="A742" s="119" t="s">
        <v>3262</v>
      </c>
      <c r="B742" s="121" t="s">
        <v>3263</v>
      </c>
      <c r="C742" s="100"/>
      <c r="D742" s="100"/>
      <c r="E742" s="13"/>
      <c r="F742" s="43"/>
      <c r="G742" s="7"/>
    </row>
    <row r="743" spans="1:7" s="12" customFormat="1" ht="13.2" x14ac:dyDescent="0.25">
      <c r="A743" s="119" t="s">
        <v>3264</v>
      </c>
      <c r="B743" s="121" t="s">
        <v>1900</v>
      </c>
      <c r="C743" s="100" t="s">
        <v>13</v>
      </c>
      <c r="D743" s="150">
        <v>0</v>
      </c>
      <c r="E743" s="13">
        <v>0</v>
      </c>
      <c r="F743" s="43">
        <f>D743*E743</f>
        <v>0</v>
      </c>
      <c r="G743" s="7"/>
    </row>
    <row r="744" spans="1:7" s="12" customFormat="1" ht="13.2" x14ac:dyDescent="0.25">
      <c r="A744" s="119" t="s">
        <v>3265</v>
      </c>
      <c r="B744" s="121" t="s">
        <v>1901</v>
      </c>
      <c r="C744" s="100" t="s">
        <v>13</v>
      </c>
      <c r="D744" s="150">
        <v>0</v>
      </c>
      <c r="E744" s="13">
        <v>0</v>
      </c>
      <c r="F744" s="43">
        <f>D744*E744</f>
        <v>0</v>
      </c>
      <c r="G744" s="7"/>
    </row>
    <row r="745" spans="1:7" s="12" customFormat="1" ht="13.2" x14ac:dyDescent="0.25">
      <c r="A745" s="119" t="s">
        <v>3266</v>
      </c>
      <c r="B745" s="121" t="s">
        <v>1902</v>
      </c>
      <c r="C745" s="101" t="s">
        <v>13</v>
      </c>
      <c r="D745" s="150">
        <v>0</v>
      </c>
      <c r="E745" s="13">
        <v>0</v>
      </c>
      <c r="F745" s="43">
        <f>D745*E745</f>
        <v>0</v>
      </c>
      <c r="G745" s="7"/>
    </row>
    <row r="746" spans="1:7" s="6" customFormat="1" ht="13.2" x14ac:dyDescent="0.25">
      <c r="A746" s="119" t="s">
        <v>3267</v>
      </c>
      <c r="B746" s="121" t="s">
        <v>1903</v>
      </c>
      <c r="C746" s="101" t="s">
        <v>13</v>
      </c>
      <c r="D746" s="150">
        <v>0</v>
      </c>
      <c r="E746" s="13">
        <v>0</v>
      </c>
      <c r="F746" s="43">
        <f>D746*E746</f>
        <v>0</v>
      </c>
      <c r="G746" s="7"/>
    </row>
    <row r="747" spans="1:7" s="12" customFormat="1" ht="13.2" x14ac:dyDescent="0.25">
      <c r="A747" s="119" t="s">
        <v>3268</v>
      </c>
      <c r="B747" s="121" t="s">
        <v>3263</v>
      </c>
      <c r="C747" s="100"/>
      <c r="D747" s="100"/>
      <c r="E747" s="13"/>
      <c r="F747" s="43"/>
      <c r="G747" s="7"/>
    </row>
    <row r="748" spans="1:7" s="12" customFormat="1" ht="13.2" x14ac:dyDescent="0.25">
      <c r="A748" s="119" t="s">
        <v>3269</v>
      </c>
      <c r="B748" s="121" t="s">
        <v>3270</v>
      </c>
      <c r="C748" s="100" t="s">
        <v>13</v>
      </c>
      <c r="D748" s="150">
        <v>0</v>
      </c>
      <c r="E748" s="13">
        <v>0</v>
      </c>
      <c r="F748" s="43">
        <f t="shared" ref="F748:F765" si="25">D748*E748</f>
        <v>0</v>
      </c>
      <c r="G748" s="7"/>
    </row>
    <row r="749" spans="1:7" s="12" customFormat="1" ht="13.2" x14ac:dyDescent="0.25">
      <c r="A749" s="119" t="s">
        <v>3271</v>
      </c>
      <c r="B749" s="121" t="s">
        <v>1903</v>
      </c>
      <c r="C749" s="100" t="s">
        <v>13</v>
      </c>
      <c r="D749" s="150">
        <v>0</v>
      </c>
      <c r="E749" s="13">
        <v>0</v>
      </c>
      <c r="F749" s="43">
        <f t="shared" si="25"/>
        <v>0</v>
      </c>
      <c r="G749" s="7"/>
    </row>
    <row r="750" spans="1:7" s="12" customFormat="1" ht="13.2" x14ac:dyDescent="0.25">
      <c r="A750" s="119" t="s">
        <v>1469</v>
      </c>
      <c r="B750" s="121" t="s">
        <v>2013</v>
      </c>
      <c r="C750" s="100" t="s">
        <v>13</v>
      </c>
      <c r="D750" s="150">
        <v>0</v>
      </c>
      <c r="E750" s="13">
        <v>0</v>
      </c>
      <c r="F750" s="43">
        <f>D750*E750</f>
        <v>0</v>
      </c>
      <c r="G750" s="7"/>
    </row>
    <row r="751" spans="1:7" s="12" customFormat="1" ht="13.2" x14ac:dyDescent="0.25">
      <c r="A751" s="119" t="s">
        <v>1471</v>
      </c>
      <c r="B751" s="121" t="s">
        <v>1588</v>
      </c>
      <c r="C751" s="101" t="s">
        <v>13</v>
      </c>
      <c r="D751" s="150">
        <v>0</v>
      </c>
      <c r="E751" s="13">
        <v>0</v>
      </c>
      <c r="F751" s="43">
        <f t="shared" si="25"/>
        <v>0</v>
      </c>
      <c r="G751" s="7"/>
    </row>
    <row r="752" spans="1:7" s="12" customFormat="1" ht="13.2" x14ac:dyDescent="0.25">
      <c r="A752" s="119" t="s">
        <v>1472</v>
      </c>
      <c r="B752" s="121" t="s">
        <v>1589</v>
      </c>
      <c r="C752" s="101" t="s">
        <v>13</v>
      </c>
      <c r="D752" s="150">
        <v>0</v>
      </c>
      <c r="E752" s="13">
        <v>0</v>
      </c>
      <c r="F752" s="43">
        <f t="shared" si="25"/>
        <v>0</v>
      </c>
      <c r="G752" s="7"/>
    </row>
    <row r="753" spans="1:7" s="12" customFormat="1" ht="13.2" x14ac:dyDescent="0.25">
      <c r="A753" s="119" t="s">
        <v>1473</v>
      </c>
      <c r="B753" s="121" t="s">
        <v>2254</v>
      </c>
      <c r="C753" s="101">
        <v>0</v>
      </c>
      <c r="D753" s="150">
        <v>0</v>
      </c>
      <c r="E753" s="13">
        <v>0</v>
      </c>
      <c r="F753" s="43">
        <f t="shared" si="25"/>
        <v>0</v>
      </c>
      <c r="G753" s="7"/>
    </row>
    <row r="754" spans="1:7" s="6" customFormat="1" ht="13.2" x14ac:dyDescent="0.25">
      <c r="A754" s="119" t="s">
        <v>1475</v>
      </c>
      <c r="B754" s="121" t="s">
        <v>2285</v>
      </c>
      <c r="C754" s="101" t="s">
        <v>13</v>
      </c>
      <c r="D754" s="150">
        <v>0</v>
      </c>
      <c r="E754" s="13">
        <v>0</v>
      </c>
      <c r="F754" s="43">
        <f t="shared" si="25"/>
        <v>0</v>
      </c>
      <c r="G754" s="7"/>
    </row>
    <row r="755" spans="1:7" s="12" customFormat="1" ht="13.2" x14ac:dyDescent="0.25">
      <c r="A755" s="119" t="s">
        <v>1470</v>
      </c>
      <c r="B755" s="121" t="s">
        <v>2032</v>
      </c>
      <c r="C755" s="101"/>
      <c r="D755" s="101"/>
      <c r="E755" s="159"/>
      <c r="F755" s="101"/>
      <c r="G755" s="7"/>
    </row>
    <row r="756" spans="1:7" s="12" customFormat="1" ht="13.2" x14ac:dyDescent="0.25">
      <c r="A756" s="119" t="s">
        <v>1474</v>
      </c>
      <c r="B756" s="121" t="s">
        <v>1702</v>
      </c>
      <c r="C756" s="101" t="s">
        <v>13</v>
      </c>
      <c r="D756" s="150">
        <v>0</v>
      </c>
      <c r="E756" s="13">
        <v>0</v>
      </c>
      <c r="F756" s="43">
        <f t="shared" si="25"/>
        <v>0</v>
      </c>
      <c r="G756" s="7"/>
    </row>
    <row r="757" spans="1:7" s="12" customFormat="1" ht="13.2" x14ac:dyDescent="0.25">
      <c r="A757" s="119" t="s">
        <v>1671</v>
      </c>
      <c r="B757" s="121" t="s">
        <v>2139</v>
      </c>
      <c r="C757" s="101" t="s">
        <v>13</v>
      </c>
      <c r="D757" s="150">
        <v>0</v>
      </c>
      <c r="E757" s="13">
        <v>0</v>
      </c>
      <c r="F757" s="43">
        <f t="shared" si="25"/>
        <v>0</v>
      </c>
      <c r="G757" s="7"/>
    </row>
    <row r="758" spans="1:7" s="12" customFormat="1" ht="13.2" x14ac:dyDescent="0.25">
      <c r="A758" s="119" t="s">
        <v>1896</v>
      </c>
      <c r="B758" s="121" t="s">
        <v>3022</v>
      </c>
      <c r="C758" s="101">
        <v>0</v>
      </c>
      <c r="D758" s="150">
        <v>0</v>
      </c>
      <c r="E758" s="13">
        <v>0</v>
      </c>
      <c r="F758" s="43">
        <f t="shared" si="25"/>
        <v>0</v>
      </c>
      <c r="G758" s="7"/>
    </row>
    <row r="759" spans="1:7" s="12" customFormat="1" ht="13.2" x14ac:dyDescent="0.25">
      <c r="A759" s="119" t="s">
        <v>1897</v>
      </c>
      <c r="B759" s="121" t="s">
        <v>2140</v>
      </c>
      <c r="C759" s="101" t="s">
        <v>13</v>
      </c>
      <c r="D759" s="150">
        <v>0</v>
      </c>
      <c r="E759" s="13">
        <v>0</v>
      </c>
      <c r="F759" s="43">
        <f t="shared" si="25"/>
        <v>0</v>
      </c>
      <c r="G759" s="7"/>
    </row>
    <row r="760" spans="1:7" s="12" customFormat="1" ht="13.2" x14ac:dyDescent="0.25">
      <c r="A760" s="119" t="s">
        <v>3023</v>
      </c>
      <c r="B760" s="121" t="s">
        <v>2141</v>
      </c>
      <c r="C760" s="101" t="s">
        <v>13</v>
      </c>
      <c r="D760" s="150">
        <v>0</v>
      </c>
      <c r="E760" s="13">
        <v>0</v>
      </c>
      <c r="F760" s="43">
        <f t="shared" si="25"/>
        <v>0</v>
      </c>
      <c r="G760" s="7"/>
    </row>
    <row r="761" spans="1:7" s="6" customFormat="1" ht="13.2" x14ac:dyDescent="0.25">
      <c r="A761" s="119" t="s">
        <v>1476</v>
      </c>
      <c r="B761" s="33" t="s">
        <v>2033</v>
      </c>
      <c r="C761" s="100" t="s">
        <v>13</v>
      </c>
      <c r="D761" s="150">
        <v>0</v>
      </c>
      <c r="E761" s="13">
        <v>0</v>
      </c>
      <c r="F761" s="43">
        <f t="shared" si="25"/>
        <v>0</v>
      </c>
      <c r="G761" s="7"/>
    </row>
    <row r="762" spans="1:7" s="12" customFormat="1" ht="13.2" x14ac:dyDescent="0.25">
      <c r="A762" s="119" t="s">
        <v>1484</v>
      </c>
      <c r="B762" s="33" t="s">
        <v>3272</v>
      </c>
      <c r="C762" s="100" t="s">
        <v>13</v>
      </c>
      <c r="D762" s="150">
        <v>0</v>
      </c>
      <c r="E762" s="13">
        <v>0</v>
      </c>
      <c r="F762" s="43">
        <f t="shared" si="25"/>
        <v>0</v>
      </c>
      <c r="G762" s="7"/>
    </row>
    <row r="763" spans="1:7" s="12" customFormat="1" ht="13.2" x14ac:dyDescent="0.25">
      <c r="A763" s="119" t="s">
        <v>1485</v>
      </c>
      <c r="B763" s="33" t="s">
        <v>3273</v>
      </c>
      <c r="C763" s="100" t="s">
        <v>13</v>
      </c>
      <c r="D763" s="150">
        <v>0</v>
      </c>
      <c r="E763" s="13">
        <v>0</v>
      </c>
      <c r="F763" s="43">
        <f t="shared" si="25"/>
        <v>0</v>
      </c>
      <c r="G763" s="7"/>
    </row>
    <row r="764" spans="1:7" s="12" customFormat="1" ht="13.2" x14ac:dyDescent="0.25">
      <c r="A764" s="119" t="s">
        <v>1486</v>
      </c>
      <c r="B764" s="33" t="s">
        <v>2034</v>
      </c>
      <c r="C764" s="100" t="s">
        <v>13</v>
      </c>
      <c r="D764" s="150">
        <v>0</v>
      </c>
      <c r="E764" s="13">
        <v>0</v>
      </c>
      <c r="F764" s="43">
        <f t="shared" si="25"/>
        <v>0</v>
      </c>
      <c r="G764" s="7"/>
    </row>
    <row r="765" spans="1:7" s="12" customFormat="1" ht="13.2" x14ac:dyDescent="0.25">
      <c r="A765" s="119" t="s">
        <v>2012</v>
      </c>
      <c r="B765" s="33" t="s">
        <v>2035</v>
      </c>
      <c r="C765" s="100" t="s">
        <v>13</v>
      </c>
      <c r="D765" s="150">
        <v>0</v>
      </c>
      <c r="E765" s="13">
        <v>0</v>
      </c>
      <c r="F765" s="43">
        <f t="shared" si="25"/>
        <v>0</v>
      </c>
      <c r="G765" s="7"/>
    </row>
    <row r="766" spans="1:7" s="12" customFormat="1" ht="13.2" x14ac:dyDescent="0.25">
      <c r="A766" s="119" t="s">
        <v>3274</v>
      </c>
      <c r="B766" s="33" t="s">
        <v>1892</v>
      </c>
      <c r="C766" s="100"/>
      <c r="D766" s="17"/>
      <c r="E766" s="13"/>
      <c r="F766" s="43"/>
      <c r="G766" s="7"/>
    </row>
    <row r="767" spans="1:7" s="12" customFormat="1" ht="13.2" x14ac:dyDescent="0.25">
      <c r="A767" s="119" t="s">
        <v>3275</v>
      </c>
      <c r="B767" s="120" t="s">
        <v>1590</v>
      </c>
      <c r="C767" s="100" t="s">
        <v>13</v>
      </c>
      <c r="D767" s="150">
        <v>0</v>
      </c>
      <c r="E767" s="13">
        <v>0</v>
      </c>
      <c r="F767" s="43">
        <f t="shared" ref="F767:F772" si="26">D767*E767</f>
        <v>0</v>
      </c>
      <c r="G767" s="7"/>
    </row>
    <row r="768" spans="1:7" s="12" customFormat="1" ht="13.2" x14ac:dyDescent="0.25">
      <c r="A768" s="119" t="s">
        <v>3276</v>
      </c>
      <c r="B768" s="120" t="s">
        <v>1591</v>
      </c>
      <c r="C768" s="100" t="s">
        <v>13</v>
      </c>
      <c r="D768" s="150">
        <v>0</v>
      </c>
      <c r="E768" s="13">
        <v>0</v>
      </c>
      <c r="F768" s="43">
        <f t="shared" si="26"/>
        <v>0</v>
      </c>
      <c r="G768" s="7"/>
    </row>
    <row r="769" spans="1:7" s="12" customFormat="1" ht="13.2" x14ac:dyDescent="0.25">
      <c r="A769" s="119" t="s">
        <v>3277</v>
      </c>
      <c r="B769" s="120" t="s">
        <v>1592</v>
      </c>
      <c r="C769" s="100" t="s">
        <v>13</v>
      </c>
      <c r="D769" s="150">
        <v>0</v>
      </c>
      <c r="E769" s="13">
        <v>0</v>
      </c>
      <c r="F769" s="43">
        <f t="shared" si="26"/>
        <v>0</v>
      </c>
      <c r="G769" s="7"/>
    </row>
    <row r="770" spans="1:7" s="12" customFormat="1" ht="13.2" x14ac:dyDescent="0.25">
      <c r="A770" s="119" t="s">
        <v>3278</v>
      </c>
      <c r="B770" s="120" t="s">
        <v>1593</v>
      </c>
      <c r="C770" s="100" t="s">
        <v>13</v>
      </c>
      <c r="D770" s="150">
        <v>0</v>
      </c>
      <c r="E770" s="13">
        <v>0</v>
      </c>
      <c r="F770" s="43">
        <f t="shared" si="26"/>
        <v>0</v>
      </c>
      <c r="G770" s="7"/>
    </row>
    <row r="771" spans="1:7" s="12" customFormat="1" ht="13.2" x14ac:dyDescent="0.25">
      <c r="A771" s="119" t="s">
        <v>3279</v>
      </c>
      <c r="B771" s="120" t="s">
        <v>2225</v>
      </c>
      <c r="C771" s="100" t="s">
        <v>13</v>
      </c>
      <c r="D771" s="150">
        <v>0</v>
      </c>
      <c r="E771" s="13">
        <v>0</v>
      </c>
      <c r="F771" s="43">
        <f t="shared" si="26"/>
        <v>0</v>
      </c>
      <c r="G771" s="7"/>
    </row>
    <row r="772" spans="1:7" s="12" customFormat="1" ht="13.2" x14ac:dyDescent="0.25">
      <c r="A772" s="29" t="s">
        <v>3280</v>
      </c>
      <c r="B772" s="33" t="s">
        <v>2197</v>
      </c>
      <c r="C772" s="100" t="s">
        <v>13</v>
      </c>
      <c r="D772" s="150">
        <v>0</v>
      </c>
      <c r="E772" s="13">
        <v>0</v>
      </c>
      <c r="F772" s="43">
        <f t="shared" si="26"/>
        <v>0</v>
      </c>
      <c r="G772" s="7"/>
    </row>
    <row r="773" spans="1:7" s="12" customFormat="1" ht="13.2" x14ac:dyDescent="0.25">
      <c r="A773" s="32"/>
      <c r="B773" s="33"/>
      <c r="C773" s="101"/>
      <c r="D773" s="17"/>
      <c r="E773" s="13"/>
      <c r="F773" s="43"/>
      <c r="G773" s="7"/>
    </row>
    <row r="774" spans="1:7" s="12" customFormat="1" ht="13.2" x14ac:dyDescent="0.25">
      <c r="A774" s="119"/>
      <c r="B774" s="152" t="s">
        <v>1767</v>
      </c>
      <c r="C774" s="101"/>
      <c r="D774" s="17"/>
      <c r="E774" s="13"/>
      <c r="F774" s="43">
        <f>SUM(F636:F772)</f>
        <v>0</v>
      </c>
      <c r="G774" s="7"/>
    </row>
    <row r="775" spans="1:7" s="6" customFormat="1" ht="13.2" x14ac:dyDescent="0.25">
      <c r="A775" s="122"/>
      <c r="B775" s="157"/>
      <c r="C775" s="103"/>
      <c r="D775" s="18"/>
      <c r="E775" s="16"/>
      <c r="F775" s="44"/>
      <c r="G775" s="7"/>
    </row>
    <row r="776" spans="1:7" s="12" customFormat="1" ht="13.2" x14ac:dyDescent="0.25">
      <c r="A776" s="30" t="s">
        <v>1076</v>
      </c>
      <c r="B776" s="36" t="s">
        <v>1604</v>
      </c>
      <c r="C776" s="104"/>
      <c r="D776" s="108"/>
      <c r="E776" s="158"/>
      <c r="F776" s="124"/>
      <c r="G776" s="7"/>
    </row>
    <row r="777" spans="1:7" s="12" customFormat="1" ht="13.2" x14ac:dyDescent="0.25">
      <c r="A777" s="29" t="s">
        <v>848</v>
      </c>
      <c r="B777" s="28" t="s">
        <v>2014</v>
      </c>
      <c r="C777" s="100"/>
      <c r="D777" s="17"/>
      <c r="E777" s="13"/>
      <c r="F777" s="43"/>
      <c r="G777" s="7"/>
    </row>
    <row r="778" spans="1:7" s="12" customFormat="1" ht="26.4" x14ac:dyDescent="0.25">
      <c r="A778" s="128" t="s">
        <v>849</v>
      </c>
      <c r="B778" s="121" t="s">
        <v>3125</v>
      </c>
      <c r="C778" s="100" t="s">
        <v>13</v>
      </c>
      <c r="D778" s="150">
        <v>0</v>
      </c>
      <c r="E778" s="13">
        <v>0</v>
      </c>
      <c r="F778" s="43">
        <f t="shared" ref="F778:F787" si="27">D778*E778</f>
        <v>0</v>
      </c>
      <c r="G778" s="7"/>
    </row>
    <row r="779" spans="1:7" s="12" customFormat="1" ht="224.4" x14ac:dyDescent="0.25">
      <c r="A779" s="128" t="s">
        <v>850</v>
      </c>
      <c r="B779" s="121" t="s">
        <v>2234</v>
      </c>
      <c r="C779" s="101" t="s">
        <v>13</v>
      </c>
      <c r="D779" s="150">
        <v>0</v>
      </c>
      <c r="E779" s="13">
        <v>0</v>
      </c>
      <c r="F779" s="43">
        <f>D779*E779</f>
        <v>0</v>
      </c>
      <c r="G779" s="7"/>
    </row>
    <row r="780" spans="1:7" s="12" customFormat="1" ht="13.2" x14ac:dyDescent="0.25">
      <c r="A780" s="128" t="s">
        <v>851</v>
      </c>
      <c r="B780" s="121" t="s">
        <v>2036</v>
      </c>
      <c r="C780" s="100" t="s">
        <v>13</v>
      </c>
      <c r="D780" s="150">
        <v>0</v>
      </c>
      <c r="E780" s="13">
        <v>0</v>
      </c>
      <c r="F780" s="43">
        <f t="shared" si="27"/>
        <v>0</v>
      </c>
      <c r="G780" s="7"/>
    </row>
    <row r="781" spans="1:7" s="12" customFormat="1" ht="26.4" x14ac:dyDescent="0.25">
      <c r="A781" s="128" t="s">
        <v>852</v>
      </c>
      <c r="B781" s="121" t="s">
        <v>1605</v>
      </c>
      <c r="C781" s="100" t="s">
        <v>13</v>
      </c>
      <c r="D781" s="150">
        <v>0</v>
      </c>
      <c r="E781" s="13">
        <v>0</v>
      </c>
      <c r="F781" s="43">
        <f t="shared" si="27"/>
        <v>0</v>
      </c>
      <c r="G781" s="7"/>
    </row>
    <row r="782" spans="1:7" s="12" customFormat="1" ht="26.4" x14ac:dyDescent="0.25">
      <c r="A782" s="128" t="s">
        <v>853</v>
      </c>
      <c r="B782" s="121" t="s">
        <v>1606</v>
      </c>
      <c r="C782" s="100" t="s">
        <v>13</v>
      </c>
      <c r="D782" s="150">
        <v>0</v>
      </c>
      <c r="E782" s="13">
        <v>0</v>
      </c>
      <c r="F782" s="43">
        <f t="shared" si="27"/>
        <v>0</v>
      </c>
      <c r="G782" s="7"/>
    </row>
    <row r="783" spans="1:7" s="12" customFormat="1" ht="13.2" x14ac:dyDescent="0.25">
      <c r="A783" s="128" t="s">
        <v>854</v>
      </c>
      <c r="B783" s="121" t="s">
        <v>1607</v>
      </c>
      <c r="C783" s="100" t="s">
        <v>13</v>
      </c>
      <c r="D783" s="150">
        <v>0</v>
      </c>
      <c r="E783" s="13">
        <v>0</v>
      </c>
      <c r="F783" s="43">
        <f t="shared" si="27"/>
        <v>0</v>
      </c>
      <c r="G783" s="7"/>
    </row>
    <row r="784" spans="1:7" s="12" customFormat="1" ht="13.2" x14ac:dyDescent="0.25">
      <c r="A784" s="29" t="s">
        <v>860</v>
      </c>
      <c r="B784" s="28" t="s">
        <v>1908</v>
      </c>
      <c r="C784" s="100"/>
      <c r="D784" s="17"/>
      <c r="E784" s="13"/>
      <c r="F784" s="43"/>
      <c r="G784" s="7"/>
    </row>
    <row r="785" spans="1:7" s="12" customFormat="1" ht="13.2" x14ac:dyDescent="0.25">
      <c r="A785" s="128" t="s">
        <v>861</v>
      </c>
      <c r="B785" s="121" t="s">
        <v>1608</v>
      </c>
      <c r="C785" s="100" t="s">
        <v>13</v>
      </c>
      <c r="D785" s="150">
        <v>0</v>
      </c>
      <c r="E785" s="13">
        <v>0</v>
      </c>
      <c r="F785" s="43">
        <f t="shared" si="27"/>
        <v>0</v>
      </c>
      <c r="G785" s="7"/>
    </row>
    <row r="786" spans="1:7" s="12" customFormat="1" ht="13.2" x14ac:dyDescent="0.25">
      <c r="A786" s="128" t="s">
        <v>862</v>
      </c>
      <c r="B786" s="121" t="s">
        <v>1609</v>
      </c>
      <c r="C786" s="100" t="s">
        <v>13</v>
      </c>
      <c r="D786" s="150">
        <v>0</v>
      </c>
      <c r="E786" s="13">
        <v>0</v>
      </c>
      <c r="F786" s="43">
        <f t="shared" si="27"/>
        <v>0</v>
      </c>
      <c r="G786" s="7"/>
    </row>
    <row r="787" spans="1:7" s="12" customFormat="1" ht="13.2" x14ac:dyDescent="0.25">
      <c r="A787" s="29" t="s">
        <v>471</v>
      </c>
      <c r="B787" s="33" t="s">
        <v>1914</v>
      </c>
      <c r="C787" s="101" t="s">
        <v>13</v>
      </c>
      <c r="D787" s="150">
        <v>0</v>
      </c>
      <c r="E787" s="13">
        <v>0</v>
      </c>
      <c r="F787" s="43">
        <f t="shared" si="27"/>
        <v>0</v>
      </c>
      <c r="G787" s="7"/>
    </row>
    <row r="788" spans="1:7" s="12" customFormat="1" ht="13.2" x14ac:dyDescent="0.25">
      <c r="A788" s="29" t="s">
        <v>493</v>
      </c>
      <c r="B788" s="33" t="s">
        <v>1915</v>
      </c>
      <c r="C788" s="101" t="s">
        <v>13</v>
      </c>
      <c r="D788" s="150">
        <v>0</v>
      </c>
      <c r="E788" s="13">
        <v>0</v>
      </c>
      <c r="F788" s="43">
        <f>D788*E788</f>
        <v>0</v>
      </c>
      <c r="G788" s="7"/>
    </row>
    <row r="789" spans="1:7" s="12" customFormat="1" ht="13.2" x14ac:dyDescent="0.25">
      <c r="A789" s="29" t="s">
        <v>949</v>
      </c>
      <c r="B789" s="33" t="s">
        <v>1916</v>
      </c>
      <c r="C789" s="101" t="s">
        <v>13</v>
      </c>
      <c r="D789" s="150">
        <v>0</v>
      </c>
      <c r="E789" s="13">
        <v>0</v>
      </c>
      <c r="F789" s="43">
        <f>D789*E789</f>
        <v>0</v>
      </c>
      <c r="G789" s="7"/>
    </row>
    <row r="790" spans="1:7" s="12" customFormat="1" ht="13.2" x14ac:dyDescent="0.25">
      <c r="A790" s="29" t="s">
        <v>950</v>
      </c>
      <c r="B790" s="33" t="s">
        <v>2015</v>
      </c>
      <c r="C790" s="101" t="s">
        <v>13</v>
      </c>
      <c r="D790" s="150">
        <v>0</v>
      </c>
      <c r="E790" s="13">
        <v>0</v>
      </c>
      <c r="F790" s="43">
        <f>D790*E790</f>
        <v>0</v>
      </c>
      <c r="G790" s="7"/>
    </row>
    <row r="791" spans="1:7" s="12" customFormat="1" ht="13.2" x14ac:dyDescent="0.25">
      <c r="A791" s="32"/>
      <c r="B791" s="33"/>
      <c r="C791" s="101"/>
      <c r="D791" s="17"/>
      <c r="E791" s="13"/>
      <c r="F791" s="43"/>
      <c r="G791" s="7"/>
    </row>
    <row r="792" spans="1:7" s="12" customFormat="1" ht="13.2" x14ac:dyDescent="0.25">
      <c r="A792" s="119"/>
      <c r="B792" s="152" t="s">
        <v>1781</v>
      </c>
      <c r="C792" s="101"/>
      <c r="D792" s="17"/>
      <c r="E792" s="13"/>
      <c r="F792" s="43">
        <f>SUM(F778:F791)</f>
        <v>0</v>
      </c>
      <c r="G792" s="7"/>
    </row>
    <row r="793" spans="1:7" s="12" customFormat="1" ht="13.2" x14ac:dyDescent="0.25">
      <c r="A793" s="122"/>
      <c r="B793" s="157"/>
      <c r="C793" s="103"/>
      <c r="D793" s="18"/>
      <c r="E793" s="16"/>
      <c r="F793" s="44"/>
      <c r="G793" s="7"/>
    </row>
    <row r="794" spans="1:7" s="12" customFormat="1" ht="13.2" x14ac:dyDescent="0.25">
      <c r="A794" s="30" t="s">
        <v>1077</v>
      </c>
      <c r="B794" s="36" t="s">
        <v>1780</v>
      </c>
      <c r="C794" s="104" t="s">
        <v>1080</v>
      </c>
      <c r="D794" s="108"/>
      <c r="E794" s="158" t="s">
        <v>1080</v>
      </c>
      <c r="F794" s="124" t="s">
        <v>1080</v>
      </c>
      <c r="G794" s="7"/>
    </row>
    <row r="795" spans="1:7" s="12" customFormat="1" ht="13.2" x14ac:dyDescent="0.25">
      <c r="A795" s="29" t="s">
        <v>320</v>
      </c>
      <c r="B795" s="33" t="s">
        <v>1909</v>
      </c>
      <c r="C795" s="101" t="s">
        <v>1080</v>
      </c>
      <c r="D795" s="17"/>
      <c r="E795" s="13"/>
      <c r="F795" s="43"/>
      <c r="G795" s="7"/>
    </row>
    <row r="796" spans="1:7" s="12" customFormat="1" ht="13.2" x14ac:dyDescent="0.25">
      <c r="A796" s="119" t="s">
        <v>321</v>
      </c>
      <c r="B796" s="120" t="s">
        <v>2618</v>
      </c>
      <c r="C796" s="101" t="s">
        <v>13</v>
      </c>
      <c r="D796" s="150">
        <v>0</v>
      </c>
      <c r="E796" s="13">
        <v>0</v>
      </c>
      <c r="F796" s="43">
        <f>D796*E796</f>
        <v>0</v>
      </c>
      <c r="G796" s="7"/>
    </row>
    <row r="797" spans="1:7" s="12" customFormat="1" ht="13.2" x14ac:dyDescent="0.25">
      <c r="A797" s="119" t="s">
        <v>899</v>
      </c>
      <c r="B797" s="120" t="s">
        <v>2617</v>
      </c>
      <c r="C797" s="101" t="s">
        <v>13</v>
      </c>
      <c r="D797" s="150">
        <v>0</v>
      </c>
      <c r="E797" s="13">
        <v>0</v>
      </c>
      <c r="F797" s="43">
        <f>D797*E797</f>
        <v>0</v>
      </c>
      <c r="G797" s="7"/>
    </row>
    <row r="798" spans="1:7" s="12" customFormat="1" ht="13.2" x14ac:dyDescent="0.25">
      <c r="A798" s="119" t="s">
        <v>1487</v>
      </c>
      <c r="B798" s="120" t="s">
        <v>2619</v>
      </c>
      <c r="C798" s="101" t="s">
        <v>13</v>
      </c>
      <c r="D798" s="150">
        <v>0</v>
      </c>
      <c r="E798" s="13">
        <v>0</v>
      </c>
      <c r="F798" s="43">
        <f>D798*E798</f>
        <v>0</v>
      </c>
      <c r="G798" s="7"/>
    </row>
    <row r="799" spans="1:7" s="12" customFormat="1" ht="13.2" x14ac:dyDescent="0.25">
      <c r="A799" s="119" t="s">
        <v>1488</v>
      </c>
      <c r="B799" s="120" t="s">
        <v>2142</v>
      </c>
      <c r="C799" s="101" t="s">
        <v>13</v>
      </c>
      <c r="D799" s="150">
        <v>0</v>
      </c>
      <c r="E799" s="13">
        <v>0</v>
      </c>
      <c r="F799" s="43">
        <f>D799*E799</f>
        <v>0</v>
      </c>
      <c r="G799" s="7"/>
    </row>
    <row r="800" spans="1:7" s="12" customFormat="1" ht="13.2" x14ac:dyDescent="0.25">
      <c r="A800" s="29" t="s">
        <v>322</v>
      </c>
      <c r="B800" s="33" t="s">
        <v>1910</v>
      </c>
      <c r="C800" s="101"/>
      <c r="D800" s="17"/>
      <c r="E800" s="13"/>
      <c r="F800" s="43"/>
      <c r="G800" s="7"/>
    </row>
    <row r="801" spans="1:7" s="12" customFormat="1" ht="13.2" x14ac:dyDescent="0.25">
      <c r="A801" s="119" t="s">
        <v>323</v>
      </c>
      <c r="B801" s="120" t="s">
        <v>1558</v>
      </c>
      <c r="C801" s="101" t="s">
        <v>13</v>
      </c>
      <c r="D801" s="150">
        <v>0</v>
      </c>
      <c r="E801" s="13">
        <v>0</v>
      </c>
      <c r="F801" s="43">
        <f t="shared" ref="F801:F810" si="28">D801*E801</f>
        <v>0</v>
      </c>
      <c r="G801" s="7"/>
    </row>
    <row r="802" spans="1:7" s="12" customFormat="1" ht="13.2" x14ac:dyDescent="0.25">
      <c r="A802" s="119" t="s">
        <v>324</v>
      </c>
      <c r="B802" s="120" t="s">
        <v>1559</v>
      </c>
      <c r="C802" s="101" t="s">
        <v>13</v>
      </c>
      <c r="D802" s="150">
        <v>0</v>
      </c>
      <c r="E802" s="13">
        <v>0</v>
      </c>
      <c r="F802" s="43">
        <f t="shared" si="28"/>
        <v>0</v>
      </c>
      <c r="G802" s="7"/>
    </row>
    <row r="803" spans="1:7" s="12" customFormat="1" ht="13.2" x14ac:dyDescent="0.25">
      <c r="A803" s="119" t="s">
        <v>325</v>
      </c>
      <c r="B803" s="120" t="s">
        <v>1560</v>
      </c>
      <c r="C803" s="101" t="s">
        <v>13</v>
      </c>
      <c r="D803" s="150">
        <v>0</v>
      </c>
      <c r="E803" s="13">
        <v>0</v>
      </c>
      <c r="F803" s="43">
        <f t="shared" si="28"/>
        <v>0</v>
      </c>
      <c r="G803" s="7"/>
    </row>
    <row r="804" spans="1:7" s="12" customFormat="1" ht="13.2" x14ac:dyDescent="0.25">
      <c r="A804" s="119" t="s">
        <v>326</v>
      </c>
      <c r="B804" s="120" t="s">
        <v>1561</v>
      </c>
      <c r="C804" s="101" t="s">
        <v>13</v>
      </c>
      <c r="D804" s="150">
        <v>0</v>
      </c>
      <c r="E804" s="13">
        <v>0</v>
      </c>
      <c r="F804" s="43">
        <f t="shared" si="28"/>
        <v>0</v>
      </c>
      <c r="G804" s="7"/>
    </row>
    <row r="805" spans="1:7" s="12" customFormat="1" ht="13.2" x14ac:dyDescent="0.25">
      <c r="A805" s="119" t="s">
        <v>327</v>
      </c>
      <c r="B805" s="120" t="s">
        <v>1562</v>
      </c>
      <c r="C805" s="101" t="s">
        <v>13</v>
      </c>
      <c r="D805" s="150">
        <v>0</v>
      </c>
      <c r="E805" s="13">
        <v>0</v>
      </c>
      <c r="F805" s="43">
        <f t="shared" si="28"/>
        <v>0</v>
      </c>
      <c r="G805" s="7"/>
    </row>
    <row r="806" spans="1:7" s="12" customFormat="1" ht="13.2" x14ac:dyDescent="0.25">
      <c r="A806" s="119" t="s">
        <v>1489</v>
      </c>
      <c r="B806" s="120" t="s">
        <v>1563</v>
      </c>
      <c r="C806" s="101" t="s">
        <v>13</v>
      </c>
      <c r="D806" s="150">
        <v>0</v>
      </c>
      <c r="E806" s="13">
        <v>0</v>
      </c>
      <c r="F806" s="43">
        <f t="shared" si="28"/>
        <v>0</v>
      </c>
      <c r="G806" s="7"/>
    </row>
    <row r="807" spans="1:7" s="12" customFormat="1" ht="13.2" x14ac:dyDescent="0.25">
      <c r="A807" s="119" t="s">
        <v>1490</v>
      </c>
      <c r="B807" s="120" t="s">
        <v>1564</v>
      </c>
      <c r="C807" s="101" t="s">
        <v>13</v>
      </c>
      <c r="D807" s="150">
        <v>0</v>
      </c>
      <c r="E807" s="13">
        <v>0</v>
      </c>
      <c r="F807" s="43">
        <f t="shared" si="28"/>
        <v>0</v>
      </c>
      <c r="G807" s="7"/>
    </row>
    <row r="808" spans="1:7" s="12" customFormat="1" ht="13.2" x14ac:dyDescent="0.25">
      <c r="A808" s="119" t="s">
        <v>1673</v>
      </c>
      <c r="B808" s="120" t="s">
        <v>1565</v>
      </c>
      <c r="C808" s="101" t="s">
        <v>13</v>
      </c>
      <c r="D808" s="150">
        <v>0</v>
      </c>
      <c r="E808" s="13">
        <v>0</v>
      </c>
      <c r="F808" s="43">
        <f t="shared" si="28"/>
        <v>0</v>
      </c>
      <c r="G808" s="7"/>
    </row>
    <row r="809" spans="1:7" s="12" customFormat="1" ht="13.2" x14ac:dyDescent="0.25">
      <c r="A809" s="119" t="s">
        <v>1674</v>
      </c>
      <c r="B809" s="120" t="s">
        <v>1566</v>
      </c>
      <c r="C809" s="101" t="s">
        <v>13</v>
      </c>
      <c r="D809" s="150">
        <v>0</v>
      </c>
      <c r="E809" s="13">
        <v>0</v>
      </c>
      <c r="F809" s="43">
        <f t="shared" si="28"/>
        <v>0</v>
      </c>
      <c r="G809" s="7"/>
    </row>
    <row r="810" spans="1:7" s="12" customFormat="1" ht="13.2" x14ac:dyDescent="0.25">
      <c r="A810" s="119" t="s">
        <v>1675</v>
      </c>
      <c r="B810" s="120" t="s">
        <v>1567</v>
      </c>
      <c r="C810" s="101" t="s">
        <v>13</v>
      </c>
      <c r="D810" s="150">
        <v>0</v>
      </c>
      <c r="E810" s="13">
        <v>0</v>
      </c>
      <c r="F810" s="43">
        <f t="shared" si="28"/>
        <v>0</v>
      </c>
      <c r="G810" s="7"/>
    </row>
    <row r="811" spans="1:7" s="12" customFormat="1" ht="13.2" x14ac:dyDescent="0.25">
      <c r="A811" s="29" t="s">
        <v>328</v>
      </c>
      <c r="B811" s="33" t="s">
        <v>1911</v>
      </c>
      <c r="C811" s="101"/>
      <c r="D811" s="17"/>
      <c r="E811" s="13"/>
      <c r="F811" s="43"/>
      <c r="G811" s="7"/>
    </row>
    <row r="812" spans="1:7" s="12" customFormat="1" ht="13.2" x14ac:dyDescent="0.25">
      <c r="A812" s="119" t="s">
        <v>329</v>
      </c>
      <c r="B812" s="33" t="s">
        <v>2559</v>
      </c>
      <c r="C812" s="101"/>
      <c r="D812" s="17"/>
      <c r="E812" s="13"/>
      <c r="F812" s="43"/>
      <c r="G812" s="7"/>
    </row>
    <row r="813" spans="1:7" s="12" customFormat="1" ht="13.2" x14ac:dyDescent="0.25">
      <c r="A813" s="119" t="s">
        <v>2462</v>
      </c>
      <c r="B813" s="121" t="s">
        <v>2083</v>
      </c>
      <c r="C813" s="101" t="s">
        <v>13</v>
      </c>
      <c r="D813" s="150">
        <v>0</v>
      </c>
      <c r="E813" s="13">
        <v>0</v>
      </c>
      <c r="F813" s="43">
        <f>D813*E813</f>
        <v>0</v>
      </c>
      <c r="G813" s="7"/>
    </row>
    <row r="814" spans="1:7" s="12" customFormat="1" ht="13.2" x14ac:dyDescent="0.25">
      <c r="A814" s="119" t="s">
        <v>2464</v>
      </c>
      <c r="B814" s="121" t="s">
        <v>2084</v>
      </c>
      <c r="C814" s="101" t="s">
        <v>13</v>
      </c>
      <c r="D814" s="150">
        <v>0</v>
      </c>
      <c r="E814" s="13">
        <v>0</v>
      </c>
      <c r="F814" s="43">
        <f>D814*E814</f>
        <v>0</v>
      </c>
      <c r="G814" s="7"/>
    </row>
    <row r="815" spans="1:7" s="12" customFormat="1" ht="13.2" x14ac:dyDescent="0.25">
      <c r="A815" s="119" t="s">
        <v>2465</v>
      </c>
      <c r="B815" s="121" t="s">
        <v>2085</v>
      </c>
      <c r="C815" s="101" t="s">
        <v>13</v>
      </c>
      <c r="D815" s="150">
        <v>0</v>
      </c>
      <c r="E815" s="13">
        <v>0</v>
      </c>
      <c r="F815" s="43">
        <f>D815*E815</f>
        <v>0</v>
      </c>
      <c r="G815" s="7"/>
    </row>
    <row r="816" spans="1:7" s="12" customFormat="1" ht="13.2" x14ac:dyDescent="0.25">
      <c r="A816" s="119" t="s">
        <v>2466</v>
      </c>
      <c r="B816" s="121" t="s">
        <v>2086</v>
      </c>
      <c r="C816" s="101" t="s">
        <v>13</v>
      </c>
      <c r="D816" s="150">
        <v>0</v>
      </c>
      <c r="E816" s="13">
        <v>0</v>
      </c>
      <c r="F816" s="43">
        <f>D816*E816</f>
        <v>0</v>
      </c>
      <c r="G816" s="7"/>
    </row>
    <row r="817" spans="1:7" s="12" customFormat="1" ht="13.2" x14ac:dyDescent="0.25">
      <c r="A817" s="119" t="s">
        <v>330</v>
      </c>
      <c r="B817" s="33" t="s">
        <v>2143</v>
      </c>
      <c r="C817" s="101"/>
      <c r="D817" s="17"/>
      <c r="E817" s="13"/>
      <c r="F817" s="43"/>
      <c r="G817" s="7"/>
    </row>
    <row r="818" spans="1:7" s="12" customFormat="1" ht="13.2" x14ac:dyDescent="0.25">
      <c r="A818" s="119" t="s">
        <v>2467</v>
      </c>
      <c r="B818" s="121" t="s">
        <v>3281</v>
      </c>
      <c r="C818" s="101" t="s">
        <v>13</v>
      </c>
      <c r="D818" s="150">
        <v>0</v>
      </c>
      <c r="E818" s="13">
        <v>0</v>
      </c>
      <c r="F818" s="43">
        <f>D818*E818</f>
        <v>0</v>
      </c>
      <c r="G818" s="7"/>
    </row>
    <row r="819" spans="1:7" s="12" customFormat="1" ht="13.2" x14ac:dyDescent="0.25">
      <c r="A819" s="119" t="s">
        <v>2463</v>
      </c>
      <c r="B819" s="121" t="s">
        <v>2874</v>
      </c>
      <c r="C819" s="101" t="s">
        <v>13</v>
      </c>
      <c r="D819" s="150">
        <v>0</v>
      </c>
      <c r="E819" s="13">
        <v>0</v>
      </c>
      <c r="F819" s="43">
        <f>D819*E819</f>
        <v>0</v>
      </c>
      <c r="G819" s="7"/>
    </row>
    <row r="820" spans="1:7" s="12" customFormat="1" ht="13.2" x14ac:dyDescent="0.25">
      <c r="A820" s="119" t="s">
        <v>2468</v>
      </c>
      <c r="B820" s="120" t="s">
        <v>2875</v>
      </c>
      <c r="C820" s="101" t="s">
        <v>13</v>
      </c>
      <c r="D820" s="150">
        <v>0</v>
      </c>
      <c r="E820" s="13">
        <v>0</v>
      </c>
      <c r="F820" s="43">
        <f t="shared" ref="F820:F826" si="29">D820*E820</f>
        <v>0</v>
      </c>
      <c r="G820" s="7"/>
    </row>
    <row r="821" spans="1:7" s="12" customFormat="1" ht="13.2" x14ac:dyDescent="0.25">
      <c r="A821" s="119" t="s">
        <v>2469</v>
      </c>
      <c r="B821" s="120" t="s">
        <v>2876</v>
      </c>
      <c r="C821" s="101" t="s">
        <v>13</v>
      </c>
      <c r="D821" s="150">
        <v>0</v>
      </c>
      <c r="E821" s="13">
        <v>0</v>
      </c>
      <c r="F821" s="43">
        <f t="shared" si="29"/>
        <v>0</v>
      </c>
      <c r="G821" s="7"/>
    </row>
    <row r="822" spans="1:7" s="12" customFormat="1" ht="13.2" x14ac:dyDescent="0.25">
      <c r="A822" s="119" t="s">
        <v>2470</v>
      </c>
      <c r="B822" s="120" t="s">
        <v>2877</v>
      </c>
      <c r="C822" s="101" t="s">
        <v>13</v>
      </c>
      <c r="D822" s="150">
        <v>0</v>
      </c>
      <c r="E822" s="13">
        <v>0</v>
      </c>
      <c r="F822" s="43">
        <f t="shared" si="29"/>
        <v>0</v>
      </c>
      <c r="G822" s="7"/>
    </row>
    <row r="823" spans="1:7" s="12" customFormat="1" ht="13.2" x14ac:dyDescent="0.25">
      <c r="A823" s="119" t="s">
        <v>2471</v>
      </c>
      <c r="B823" s="120" t="s">
        <v>2878</v>
      </c>
      <c r="C823" s="101" t="s">
        <v>13</v>
      </c>
      <c r="D823" s="150">
        <v>0</v>
      </c>
      <c r="E823" s="13">
        <v>0</v>
      </c>
      <c r="F823" s="43">
        <f t="shared" si="29"/>
        <v>0</v>
      </c>
      <c r="G823" s="7"/>
    </row>
    <row r="824" spans="1:7" s="6" customFormat="1" ht="13.2" x14ac:dyDescent="0.25">
      <c r="A824" s="119" t="s">
        <v>2472</v>
      </c>
      <c r="B824" s="120" t="s">
        <v>2879</v>
      </c>
      <c r="C824" s="101" t="s">
        <v>13</v>
      </c>
      <c r="D824" s="150">
        <v>0</v>
      </c>
      <c r="E824" s="13">
        <v>0</v>
      </c>
      <c r="F824" s="43">
        <f t="shared" si="29"/>
        <v>0</v>
      </c>
      <c r="G824" s="7"/>
    </row>
    <row r="825" spans="1:7" s="6" customFormat="1" ht="13.2" x14ac:dyDescent="0.25">
      <c r="A825" s="119" t="s">
        <v>3282</v>
      </c>
      <c r="B825" s="120" t="s">
        <v>2880</v>
      </c>
      <c r="C825" s="101" t="s">
        <v>13</v>
      </c>
      <c r="D825" s="150">
        <v>0</v>
      </c>
      <c r="E825" s="13">
        <v>0</v>
      </c>
      <c r="F825" s="43">
        <f t="shared" si="29"/>
        <v>0</v>
      </c>
      <c r="G825" s="7"/>
    </row>
    <row r="826" spans="1:7" s="6" customFormat="1" ht="13.2" x14ac:dyDescent="0.25">
      <c r="A826" s="29" t="s">
        <v>334</v>
      </c>
      <c r="B826" s="33" t="s">
        <v>1912</v>
      </c>
      <c r="C826" s="101" t="s">
        <v>13</v>
      </c>
      <c r="D826" s="150">
        <v>0</v>
      </c>
      <c r="E826" s="13">
        <v>0</v>
      </c>
      <c r="F826" s="43">
        <f t="shared" si="29"/>
        <v>0</v>
      </c>
      <c r="G826" s="7"/>
    </row>
    <row r="827" spans="1:7" s="6" customFormat="1" ht="13.2" x14ac:dyDescent="0.25">
      <c r="A827" s="29" t="s">
        <v>335</v>
      </c>
      <c r="B827" s="33" t="s">
        <v>2144</v>
      </c>
      <c r="C827" s="101"/>
      <c r="D827" s="17"/>
      <c r="E827" s="13"/>
      <c r="F827" s="43"/>
      <c r="G827" s="7"/>
    </row>
    <row r="828" spans="1:7" s="6" customFormat="1" ht="13.2" x14ac:dyDescent="0.25">
      <c r="A828" s="119" t="s">
        <v>336</v>
      </c>
      <c r="B828" s="121" t="s">
        <v>2087</v>
      </c>
      <c r="C828" s="101" t="s">
        <v>13</v>
      </c>
      <c r="D828" s="150">
        <v>0</v>
      </c>
      <c r="E828" s="13">
        <v>0</v>
      </c>
      <c r="F828" s="43">
        <f>D828*E828</f>
        <v>0</v>
      </c>
      <c r="G828" s="7"/>
    </row>
    <row r="829" spans="1:7" s="12" customFormat="1" ht="13.2" x14ac:dyDescent="0.25">
      <c r="A829" s="119" t="s">
        <v>337</v>
      </c>
      <c r="B829" s="121" t="s">
        <v>2088</v>
      </c>
      <c r="C829" s="101" t="s">
        <v>13</v>
      </c>
      <c r="D829" s="150">
        <v>0</v>
      </c>
      <c r="E829" s="13">
        <v>0</v>
      </c>
      <c r="F829" s="43">
        <f>D829*E829</f>
        <v>0</v>
      </c>
      <c r="G829" s="7"/>
    </row>
    <row r="830" spans="1:7" s="12" customFormat="1" ht="13.2" x14ac:dyDescent="0.25">
      <c r="A830" s="119" t="s">
        <v>338</v>
      </c>
      <c r="B830" s="121" t="s">
        <v>2089</v>
      </c>
      <c r="C830" s="101" t="s">
        <v>13</v>
      </c>
      <c r="D830" s="150">
        <v>0</v>
      </c>
      <c r="E830" s="13">
        <v>0</v>
      </c>
      <c r="F830" s="43">
        <f>D830*E830</f>
        <v>0</v>
      </c>
      <c r="G830" s="7"/>
    </row>
    <row r="831" spans="1:7" s="12" customFormat="1" ht="13.2" x14ac:dyDescent="0.25">
      <c r="A831" s="119" t="s">
        <v>339</v>
      </c>
      <c r="B831" s="121" t="s">
        <v>2090</v>
      </c>
      <c r="C831" s="101" t="s">
        <v>13</v>
      </c>
      <c r="D831" s="150">
        <v>0</v>
      </c>
      <c r="E831" s="13">
        <v>0</v>
      </c>
      <c r="F831" s="43">
        <f>D831*E831</f>
        <v>0</v>
      </c>
      <c r="G831" s="7"/>
    </row>
    <row r="832" spans="1:7" s="12" customFormat="1" ht="13.2" x14ac:dyDescent="0.25">
      <c r="A832" s="29" t="s">
        <v>341</v>
      </c>
      <c r="B832" s="33" t="s">
        <v>2145</v>
      </c>
      <c r="C832" s="101"/>
      <c r="D832" s="17"/>
      <c r="E832" s="13"/>
      <c r="F832" s="43"/>
      <c r="G832" s="7"/>
    </row>
    <row r="833" spans="1:7" s="12" customFormat="1" ht="13.2" x14ac:dyDescent="0.25">
      <c r="A833" s="119" t="s">
        <v>342</v>
      </c>
      <c r="B833" s="121" t="s">
        <v>2081</v>
      </c>
      <c r="C833" s="101" t="s">
        <v>13</v>
      </c>
      <c r="D833" s="150">
        <v>0</v>
      </c>
      <c r="E833" s="13">
        <v>0</v>
      </c>
      <c r="F833" s="43">
        <f t="shared" ref="F833:F839" si="30">D833*E833</f>
        <v>0</v>
      </c>
      <c r="G833" s="7"/>
    </row>
    <row r="834" spans="1:7" s="12" customFormat="1" ht="13.2" x14ac:dyDescent="0.25">
      <c r="A834" s="119" t="s">
        <v>343</v>
      </c>
      <c r="B834" s="121" t="s">
        <v>2082</v>
      </c>
      <c r="C834" s="101" t="s">
        <v>13</v>
      </c>
      <c r="D834" s="150">
        <v>0</v>
      </c>
      <c r="E834" s="13">
        <v>0</v>
      </c>
      <c r="F834" s="43">
        <f t="shared" si="30"/>
        <v>0</v>
      </c>
      <c r="G834" s="7"/>
    </row>
    <row r="835" spans="1:7" s="12" customFormat="1" ht="13.2" x14ac:dyDescent="0.25">
      <c r="A835" s="119" t="s">
        <v>136</v>
      </c>
      <c r="B835" s="121" t="s">
        <v>2227</v>
      </c>
      <c r="C835" s="101" t="s">
        <v>13</v>
      </c>
      <c r="D835" s="150">
        <v>0</v>
      </c>
      <c r="E835" s="13">
        <v>0</v>
      </c>
      <c r="F835" s="43">
        <f t="shared" si="30"/>
        <v>0</v>
      </c>
      <c r="G835" s="7"/>
    </row>
    <row r="836" spans="1:7" s="6" customFormat="1" ht="13.2" x14ac:dyDescent="0.25">
      <c r="A836" s="119" t="s">
        <v>2473</v>
      </c>
      <c r="B836" s="121" t="s">
        <v>2228</v>
      </c>
      <c r="C836" s="101" t="s">
        <v>13</v>
      </c>
      <c r="D836" s="150">
        <v>0</v>
      </c>
      <c r="E836" s="13">
        <v>0</v>
      </c>
      <c r="F836" s="43">
        <f t="shared" si="30"/>
        <v>0</v>
      </c>
      <c r="G836" s="7"/>
    </row>
    <row r="837" spans="1:7" s="6" customFormat="1" ht="13.2" x14ac:dyDescent="0.25">
      <c r="A837" s="29" t="s">
        <v>1197</v>
      </c>
      <c r="B837" s="33" t="s">
        <v>2560</v>
      </c>
      <c r="C837" s="101" t="s">
        <v>13</v>
      </c>
      <c r="D837" s="150">
        <v>0</v>
      </c>
      <c r="E837" s="13">
        <v>0</v>
      </c>
      <c r="F837" s="43">
        <f t="shared" si="30"/>
        <v>0</v>
      </c>
      <c r="G837" s="7"/>
    </row>
    <row r="838" spans="1:7" s="12" customFormat="1" ht="13.2" x14ac:dyDescent="0.25">
      <c r="A838" s="29" t="s">
        <v>137</v>
      </c>
      <c r="B838" s="33" t="s">
        <v>2561</v>
      </c>
      <c r="C838" s="101" t="s">
        <v>13</v>
      </c>
      <c r="D838" s="150">
        <v>0</v>
      </c>
      <c r="E838" s="13">
        <v>0</v>
      </c>
      <c r="F838" s="43">
        <f t="shared" si="30"/>
        <v>0</v>
      </c>
      <c r="G838" s="7"/>
    </row>
    <row r="839" spans="1:7" s="12" customFormat="1" ht="13.2" x14ac:dyDescent="0.25">
      <c r="A839" s="29" t="s">
        <v>138</v>
      </c>
      <c r="B839" s="33" t="s">
        <v>2562</v>
      </c>
      <c r="C839" s="101" t="s">
        <v>13</v>
      </c>
      <c r="D839" s="150">
        <v>0</v>
      </c>
      <c r="E839" s="13">
        <v>0</v>
      </c>
      <c r="F839" s="43">
        <f t="shared" si="30"/>
        <v>0</v>
      </c>
      <c r="G839" s="7"/>
    </row>
    <row r="840" spans="1:7" s="12" customFormat="1" ht="13.2" x14ac:dyDescent="0.25">
      <c r="A840" s="29" t="s">
        <v>1756</v>
      </c>
      <c r="B840" s="33" t="s">
        <v>2563</v>
      </c>
      <c r="C840" s="101"/>
      <c r="D840" s="17"/>
      <c r="E840" s="13"/>
      <c r="F840" s="43"/>
      <c r="G840" s="7"/>
    </row>
    <row r="841" spans="1:7" s="12" customFormat="1" ht="13.2" x14ac:dyDescent="0.25">
      <c r="A841" s="119" t="s">
        <v>2474</v>
      </c>
      <c r="B841" s="121" t="s">
        <v>2842</v>
      </c>
      <c r="C841" s="101" t="s">
        <v>13</v>
      </c>
      <c r="D841" s="150">
        <v>0</v>
      </c>
      <c r="E841" s="13">
        <v>0</v>
      </c>
      <c r="F841" s="43">
        <f t="shared" ref="F841:F849" si="31">D841*E841</f>
        <v>0</v>
      </c>
      <c r="G841" s="7"/>
    </row>
    <row r="842" spans="1:7" s="12" customFormat="1" ht="13.2" x14ac:dyDescent="0.25">
      <c r="A842" s="119" t="s">
        <v>2475</v>
      </c>
      <c r="B842" s="121" t="s">
        <v>2146</v>
      </c>
      <c r="C842" s="101" t="s">
        <v>13</v>
      </c>
      <c r="D842" s="150">
        <v>0</v>
      </c>
      <c r="E842" s="13">
        <v>0</v>
      </c>
      <c r="F842" s="43">
        <f t="shared" si="31"/>
        <v>0</v>
      </c>
      <c r="G842" s="7"/>
    </row>
    <row r="843" spans="1:7" s="12" customFormat="1" ht="13.2" x14ac:dyDescent="0.25">
      <c r="A843" s="119" t="s">
        <v>2476</v>
      </c>
      <c r="B843" s="121" t="s">
        <v>2147</v>
      </c>
      <c r="C843" s="101" t="s">
        <v>13</v>
      </c>
      <c r="D843" s="150">
        <v>0</v>
      </c>
      <c r="E843" s="13">
        <v>0</v>
      </c>
      <c r="F843" s="43">
        <f t="shared" si="31"/>
        <v>0</v>
      </c>
      <c r="G843" s="7"/>
    </row>
    <row r="844" spans="1:7" s="12" customFormat="1" ht="13.2" x14ac:dyDescent="0.25">
      <c r="A844" s="119" t="s">
        <v>2477</v>
      </c>
      <c r="B844" s="121" t="s">
        <v>2148</v>
      </c>
      <c r="C844" s="101" t="s">
        <v>13</v>
      </c>
      <c r="D844" s="150">
        <v>0</v>
      </c>
      <c r="E844" s="13">
        <v>0</v>
      </c>
      <c r="F844" s="43">
        <f t="shared" si="31"/>
        <v>0</v>
      </c>
      <c r="G844" s="7"/>
    </row>
    <row r="845" spans="1:7" s="12" customFormat="1" ht="13.2" x14ac:dyDescent="0.25">
      <c r="A845" s="119" t="s">
        <v>2478</v>
      </c>
      <c r="B845" s="121" t="s">
        <v>2149</v>
      </c>
      <c r="C845" s="101" t="s">
        <v>13</v>
      </c>
      <c r="D845" s="150">
        <v>0</v>
      </c>
      <c r="E845" s="13">
        <v>0</v>
      </c>
      <c r="F845" s="43">
        <f t="shared" si="31"/>
        <v>0</v>
      </c>
      <c r="G845" s="7"/>
    </row>
    <row r="846" spans="1:7" s="12" customFormat="1" ht="13.2" x14ac:dyDescent="0.25">
      <c r="A846" s="119" t="s">
        <v>2479</v>
      </c>
      <c r="B846" s="121" t="s">
        <v>3000</v>
      </c>
      <c r="C846" s="101" t="s">
        <v>13</v>
      </c>
      <c r="D846" s="150">
        <v>0</v>
      </c>
      <c r="E846" s="13">
        <v>0</v>
      </c>
      <c r="F846" s="43">
        <f t="shared" si="31"/>
        <v>0</v>
      </c>
      <c r="G846" s="7"/>
    </row>
    <row r="847" spans="1:7" s="12" customFormat="1" ht="13.2" x14ac:dyDescent="0.25">
      <c r="A847" s="119" t="s">
        <v>2480</v>
      </c>
      <c r="B847" s="121" t="s">
        <v>2226</v>
      </c>
      <c r="C847" s="101" t="s">
        <v>13</v>
      </c>
      <c r="D847" s="150">
        <v>0</v>
      </c>
      <c r="E847" s="13">
        <v>0</v>
      </c>
      <c r="F847" s="43">
        <f t="shared" si="31"/>
        <v>0</v>
      </c>
      <c r="G847" s="7"/>
    </row>
    <row r="848" spans="1:7" s="12" customFormat="1" ht="13.2" x14ac:dyDescent="0.25">
      <c r="A848" s="119" t="s">
        <v>2481</v>
      </c>
      <c r="B848" s="121" t="s">
        <v>3132</v>
      </c>
      <c r="C848" s="101" t="s">
        <v>13</v>
      </c>
      <c r="D848" s="150">
        <v>0</v>
      </c>
      <c r="E848" s="13">
        <v>0</v>
      </c>
      <c r="F848" s="43">
        <f t="shared" si="31"/>
        <v>0</v>
      </c>
      <c r="G848" s="7"/>
    </row>
    <row r="849" spans="1:7" s="12" customFormat="1" ht="13.2" x14ac:dyDescent="0.25">
      <c r="A849" s="119" t="s">
        <v>2482</v>
      </c>
      <c r="B849" s="121" t="s">
        <v>3001</v>
      </c>
      <c r="C849" s="101" t="s">
        <v>13</v>
      </c>
      <c r="D849" s="150">
        <v>0</v>
      </c>
      <c r="E849" s="13">
        <v>0</v>
      </c>
      <c r="F849" s="43">
        <f t="shared" si="31"/>
        <v>0</v>
      </c>
      <c r="G849" s="7"/>
    </row>
    <row r="850" spans="1:7" s="12" customFormat="1" ht="13.2" x14ac:dyDescent="0.25">
      <c r="A850" s="29" t="s">
        <v>1757</v>
      </c>
      <c r="B850" s="33" t="s">
        <v>1913</v>
      </c>
      <c r="C850" s="101"/>
      <c r="D850" s="17"/>
      <c r="E850" s="13"/>
      <c r="F850" s="43"/>
      <c r="G850" s="7"/>
    </row>
    <row r="851" spans="1:7" s="12" customFormat="1" ht="13.2" x14ac:dyDescent="0.25">
      <c r="A851" s="119" t="s">
        <v>2564</v>
      </c>
      <c r="B851" s="120" t="s">
        <v>1693</v>
      </c>
      <c r="C851" s="101" t="s">
        <v>13</v>
      </c>
      <c r="D851" s="150">
        <v>0</v>
      </c>
      <c r="E851" s="13">
        <v>0</v>
      </c>
      <c r="F851" s="43">
        <f>D851*E851</f>
        <v>0</v>
      </c>
      <c r="G851" s="7"/>
    </row>
    <row r="852" spans="1:7" s="12" customFormat="1" ht="13.2" x14ac:dyDescent="0.25">
      <c r="A852" s="119" t="s">
        <v>2565</v>
      </c>
      <c r="B852" s="120" t="s">
        <v>1694</v>
      </c>
      <c r="C852" s="101" t="s">
        <v>13</v>
      </c>
      <c r="D852" s="150">
        <v>0</v>
      </c>
      <c r="E852" s="13">
        <v>0</v>
      </c>
      <c r="F852" s="43">
        <f>D852*E852</f>
        <v>0</v>
      </c>
      <c r="G852" s="7"/>
    </row>
    <row r="853" spans="1:7" s="12" customFormat="1" ht="13.2" x14ac:dyDescent="0.25">
      <c r="A853" s="119" t="s">
        <v>2566</v>
      </c>
      <c r="B853" s="120" t="s">
        <v>1695</v>
      </c>
      <c r="C853" s="101" t="s">
        <v>13</v>
      </c>
      <c r="D853" s="150">
        <v>0</v>
      </c>
      <c r="E853" s="13">
        <v>0</v>
      </c>
      <c r="F853" s="43">
        <f>D853*E853</f>
        <v>0</v>
      </c>
      <c r="G853" s="7"/>
    </row>
    <row r="854" spans="1:7" s="6" customFormat="1" ht="13.2" x14ac:dyDescent="0.25">
      <c r="A854" s="29" t="s">
        <v>1758</v>
      </c>
      <c r="B854" s="33" t="s">
        <v>1917</v>
      </c>
      <c r="C854" s="101" t="s">
        <v>13</v>
      </c>
      <c r="D854" s="150">
        <v>0</v>
      </c>
      <c r="E854" s="13">
        <v>0</v>
      </c>
      <c r="F854" s="43">
        <f t="shared" ref="F854:F859" si="32">D854*E854</f>
        <v>0</v>
      </c>
      <c r="G854" s="7"/>
    </row>
    <row r="855" spans="1:7" s="12" customFormat="1" ht="13.2" x14ac:dyDescent="0.25">
      <c r="A855" s="29" t="s">
        <v>1759</v>
      </c>
      <c r="B855" s="33" t="s">
        <v>1918</v>
      </c>
      <c r="C855" s="101" t="s">
        <v>13</v>
      </c>
      <c r="D855" s="150">
        <v>0</v>
      </c>
      <c r="E855" s="13">
        <v>0</v>
      </c>
      <c r="F855" s="43">
        <f t="shared" si="32"/>
        <v>0</v>
      </c>
      <c r="G855" s="7"/>
    </row>
    <row r="856" spans="1:7" s="12" customFormat="1" ht="13.2" x14ac:dyDescent="0.25">
      <c r="A856" s="29" t="s">
        <v>1760</v>
      </c>
      <c r="B856" s="33" t="s">
        <v>1919</v>
      </c>
      <c r="C856" s="101" t="s">
        <v>13</v>
      </c>
      <c r="D856" s="150">
        <v>0</v>
      </c>
      <c r="E856" s="13">
        <v>0</v>
      </c>
      <c r="F856" s="43">
        <f t="shared" si="32"/>
        <v>0</v>
      </c>
      <c r="G856" s="7"/>
    </row>
    <row r="857" spans="1:7" s="12" customFormat="1" ht="13.2" x14ac:dyDescent="0.25">
      <c r="A857" s="29" t="s">
        <v>1761</v>
      </c>
      <c r="B857" s="33" t="s">
        <v>2843</v>
      </c>
      <c r="C857" s="101" t="s">
        <v>13</v>
      </c>
      <c r="D857" s="150">
        <v>0</v>
      </c>
      <c r="E857" s="13">
        <v>0</v>
      </c>
      <c r="F857" s="43">
        <f t="shared" si="32"/>
        <v>0</v>
      </c>
      <c r="G857" s="7"/>
    </row>
    <row r="858" spans="1:7" s="12" customFormat="1" ht="13.2" x14ac:dyDescent="0.25">
      <c r="A858" s="29" t="s">
        <v>1762</v>
      </c>
      <c r="B858" s="33" t="s">
        <v>1920</v>
      </c>
      <c r="C858" s="101" t="s">
        <v>13</v>
      </c>
      <c r="D858" s="150">
        <v>0</v>
      </c>
      <c r="E858" s="13">
        <v>0</v>
      </c>
      <c r="F858" s="43">
        <f t="shared" si="32"/>
        <v>0</v>
      </c>
      <c r="G858" s="7"/>
    </row>
    <row r="859" spans="1:7" s="12" customFormat="1" ht="26.4" x14ac:dyDescent="0.25">
      <c r="A859" s="29" t="s">
        <v>1763</v>
      </c>
      <c r="B859" s="33" t="s">
        <v>1921</v>
      </c>
      <c r="C859" s="101" t="s">
        <v>13</v>
      </c>
      <c r="D859" s="150">
        <v>0</v>
      </c>
      <c r="E859" s="13">
        <v>0</v>
      </c>
      <c r="F859" s="43">
        <f t="shared" si="32"/>
        <v>0</v>
      </c>
      <c r="G859" s="7"/>
    </row>
    <row r="860" spans="1:7" s="12" customFormat="1" ht="13.2" x14ac:dyDescent="0.25">
      <c r="A860" s="29" t="s">
        <v>1764</v>
      </c>
      <c r="B860" s="33" t="s">
        <v>1922</v>
      </c>
      <c r="C860" s="101"/>
      <c r="D860" s="17"/>
      <c r="E860" s="13"/>
      <c r="F860" s="43"/>
      <c r="G860" s="7"/>
    </row>
    <row r="861" spans="1:7" s="12" customFormat="1" ht="13.2" x14ac:dyDescent="0.25">
      <c r="A861" s="119" t="s">
        <v>2846</v>
      </c>
      <c r="B861" s="121" t="s">
        <v>2847</v>
      </c>
      <c r="C861" s="101" t="s">
        <v>1302</v>
      </c>
      <c r="D861" s="150">
        <v>0</v>
      </c>
      <c r="E861" s="13">
        <v>0</v>
      </c>
      <c r="F861" s="43">
        <f t="shared" ref="F861:F871" si="33">D861*E861</f>
        <v>0</v>
      </c>
      <c r="G861" s="7"/>
    </row>
    <row r="862" spans="1:7" s="12" customFormat="1" ht="13.2" x14ac:dyDescent="0.25">
      <c r="A862" s="119" t="s">
        <v>2848</v>
      </c>
      <c r="B862" s="121" t="s">
        <v>2858</v>
      </c>
      <c r="C862" s="101" t="s">
        <v>1302</v>
      </c>
      <c r="D862" s="150">
        <v>0</v>
      </c>
      <c r="E862" s="13">
        <v>0</v>
      </c>
      <c r="F862" s="43">
        <f t="shared" si="33"/>
        <v>0</v>
      </c>
      <c r="G862" s="7"/>
    </row>
    <row r="863" spans="1:7" s="12" customFormat="1" ht="13.2" x14ac:dyDescent="0.25">
      <c r="A863" s="119" t="s">
        <v>2849</v>
      </c>
      <c r="B863" s="121" t="s">
        <v>2859</v>
      </c>
      <c r="C863" s="101" t="s">
        <v>1302</v>
      </c>
      <c r="D863" s="150">
        <v>0</v>
      </c>
      <c r="E863" s="13">
        <v>0</v>
      </c>
      <c r="F863" s="43">
        <f t="shared" si="33"/>
        <v>0</v>
      </c>
      <c r="G863" s="7"/>
    </row>
    <row r="864" spans="1:7" s="12" customFormat="1" ht="13.2" x14ac:dyDescent="0.25">
      <c r="A864" s="119" t="s">
        <v>2850</v>
      </c>
      <c r="B864" s="121" t="s">
        <v>2860</v>
      </c>
      <c r="C864" s="101" t="s">
        <v>1302</v>
      </c>
      <c r="D864" s="150">
        <v>0</v>
      </c>
      <c r="E864" s="13">
        <v>0</v>
      </c>
      <c r="F864" s="43">
        <f t="shared" si="33"/>
        <v>0</v>
      </c>
      <c r="G864" s="7"/>
    </row>
    <row r="865" spans="1:7" s="12" customFormat="1" ht="13.2" x14ac:dyDescent="0.25">
      <c r="A865" s="119" t="s">
        <v>2851</v>
      </c>
      <c r="B865" s="121" t="s">
        <v>2861</v>
      </c>
      <c r="C865" s="101" t="s">
        <v>1302</v>
      </c>
      <c r="D865" s="150">
        <v>0</v>
      </c>
      <c r="E865" s="13">
        <v>0</v>
      </c>
      <c r="F865" s="43">
        <f t="shared" si="33"/>
        <v>0</v>
      </c>
      <c r="G865" s="7"/>
    </row>
    <row r="866" spans="1:7" s="12" customFormat="1" ht="13.2" x14ac:dyDescent="0.25">
      <c r="A866" s="119" t="s">
        <v>2852</v>
      </c>
      <c r="B866" s="121" t="s">
        <v>2862</v>
      </c>
      <c r="C866" s="101" t="s">
        <v>1302</v>
      </c>
      <c r="D866" s="150">
        <v>0</v>
      </c>
      <c r="E866" s="13">
        <v>0</v>
      </c>
      <c r="F866" s="43">
        <f t="shared" si="33"/>
        <v>0</v>
      </c>
      <c r="G866" s="7"/>
    </row>
    <row r="867" spans="1:7" s="12" customFormat="1" ht="13.2" x14ac:dyDescent="0.25">
      <c r="A867" s="119" t="s">
        <v>2853</v>
      </c>
      <c r="B867" s="121" t="s">
        <v>2863</v>
      </c>
      <c r="C867" s="101" t="s">
        <v>1302</v>
      </c>
      <c r="D867" s="150">
        <v>0</v>
      </c>
      <c r="E867" s="13">
        <v>0</v>
      </c>
      <c r="F867" s="43">
        <f t="shared" si="33"/>
        <v>0</v>
      </c>
      <c r="G867" s="7"/>
    </row>
    <row r="868" spans="1:7" s="12" customFormat="1" ht="13.2" x14ac:dyDescent="0.25">
      <c r="A868" s="119" t="s">
        <v>2854</v>
      </c>
      <c r="B868" s="121" t="s">
        <v>2864</v>
      </c>
      <c r="C868" s="101" t="s">
        <v>1302</v>
      </c>
      <c r="D868" s="150">
        <v>0</v>
      </c>
      <c r="E868" s="13">
        <v>0</v>
      </c>
      <c r="F868" s="43">
        <f t="shared" si="33"/>
        <v>0</v>
      </c>
      <c r="G868" s="7"/>
    </row>
    <row r="869" spans="1:7" s="12" customFormat="1" ht="13.2" x14ac:dyDescent="0.25">
      <c r="A869" s="119" t="s">
        <v>2855</v>
      </c>
      <c r="B869" s="121" t="s">
        <v>2232</v>
      </c>
      <c r="C869" s="101" t="s">
        <v>1302</v>
      </c>
      <c r="D869" s="150">
        <v>0</v>
      </c>
      <c r="E869" s="13">
        <v>0</v>
      </c>
      <c r="F869" s="43">
        <f t="shared" si="33"/>
        <v>0</v>
      </c>
      <c r="G869" s="7"/>
    </row>
    <row r="870" spans="1:7" s="12" customFormat="1" ht="13.2" x14ac:dyDescent="0.25">
      <c r="A870" s="119" t="s">
        <v>2856</v>
      </c>
      <c r="B870" s="121" t="s">
        <v>2865</v>
      </c>
      <c r="C870" s="101" t="s">
        <v>1302</v>
      </c>
      <c r="D870" s="150">
        <v>0</v>
      </c>
      <c r="E870" s="13">
        <v>0</v>
      </c>
      <c r="F870" s="43">
        <f t="shared" si="33"/>
        <v>0</v>
      </c>
      <c r="G870" s="7"/>
    </row>
    <row r="871" spans="1:7" s="12" customFormat="1" ht="13.2" x14ac:dyDescent="0.25">
      <c r="A871" s="119" t="s">
        <v>2857</v>
      </c>
      <c r="B871" s="121" t="s">
        <v>2866</v>
      </c>
      <c r="C871" s="101" t="s">
        <v>1302</v>
      </c>
      <c r="D871" s="150">
        <v>0</v>
      </c>
      <c r="E871" s="13">
        <v>0</v>
      </c>
      <c r="F871" s="43">
        <f t="shared" si="33"/>
        <v>0</v>
      </c>
      <c r="G871" s="7"/>
    </row>
    <row r="872" spans="1:7" s="12" customFormat="1" ht="13.2" x14ac:dyDescent="0.25">
      <c r="A872" s="29" t="s">
        <v>1765</v>
      </c>
      <c r="B872" s="33" t="s">
        <v>2845</v>
      </c>
      <c r="C872" s="101" t="s">
        <v>1302</v>
      </c>
      <c r="D872" s="150">
        <v>0</v>
      </c>
      <c r="E872" s="13">
        <v>0</v>
      </c>
      <c r="F872" s="43">
        <f>D872*E872</f>
        <v>0</v>
      </c>
      <c r="G872" s="7"/>
    </row>
    <row r="873" spans="1:7" s="12" customFormat="1" ht="13.2" x14ac:dyDescent="0.25">
      <c r="A873" s="29" t="s">
        <v>1774</v>
      </c>
      <c r="B873" s="33" t="s">
        <v>1923</v>
      </c>
      <c r="C873" s="101" t="s">
        <v>13</v>
      </c>
      <c r="D873" s="150">
        <v>0</v>
      </c>
      <c r="E873" s="13">
        <v>0</v>
      </c>
      <c r="F873" s="43">
        <f>D873*E873</f>
        <v>0</v>
      </c>
      <c r="G873" s="7"/>
    </row>
    <row r="874" spans="1:7" s="12" customFormat="1" ht="13.2" x14ac:dyDescent="0.25">
      <c r="A874" s="29" t="s">
        <v>1775</v>
      </c>
      <c r="B874" s="33" t="s">
        <v>1924</v>
      </c>
      <c r="C874" s="101" t="s">
        <v>13</v>
      </c>
      <c r="D874" s="150">
        <v>0</v>
      </c>
      <c r="E874" s="13">
        <v>0</v>
      </c>
      <c r="F874" s="43">
        <f t="shared" ref="F874:F879" si="34">D874*E874</f>
        <v>0</v>
      </c>
      <c r="G874" s="7"/>
    </row>
    <row r="875" spans="1:7" s="12" customFormat="1" ht="13.2" x14ac:dyDescent="0.25">
      <c r="A875" s="29" t="s">
        <v>1776</v>
      </c>
      <c r="B875" s="33" t="s">
        <v>1925</v>
      </c>
      <c r="C875" s="101" t="s">
        <v>13</v>
      </c>
      <c r="D875" s="150">
        <v>0</v>
      </c>
      <c r="E875" s="13">
        <v>0</v>
      </c>
      <c r="F875" s="43">
        <f t="shared" si="34"/>
        <v>0</v>
      </c>
      <c r="G875" s="7"/>
    </row>
    <row r="876" spans="1:7" s="12" customFormat="1" ht="13.2" x14ac:dyDescent="0.25">
      <c r="A876" s="29" t="s">
        <v>1777</v>
      </c>
      <c r="B876" s="33" t="s">
        <v>1926</v>
      </c>
      <c r="C876" s="101" t="s">
        <v>13</v>
      </c>
      <c r="D876" s="150">
        <v>0</v>
      </c>
      <c r="E876" s="13">
        <v>0</v>
      </c>
      <c r="F876" s="43">
        <f t="shared" si="34"/>
        <v>0</v>
      </c>
      <c r="G876" s="7"/>
    </row>
    <row r="877" spans="1:7" s="12" customFormat="1" ht="26.4" x14ac:dyDescent="0.25">
      <c r="A877" s="29" t="s">
        <v>1778</v>
      </c>
      <c r="B877" s="33" t="s">
        <v>1927</v>
      </c>
      <c r="C877" s="101" t="s">
        <v>13</v>
      </c>
      <c r="D877" s="150">
        <v>0</v>
      </c>
      <c r="E877" s="13">
        <v>0</v>
      </c>
      <c r="F877" s="43">
        <f t="shared" si="34"/>
        <v>0</v>
      </c>
      <c r="G877" s="7"/>
    </row>
    <row r="878" spans="1:7" s="12" customFormat="1" ht="13.2" x14ac:dyDescent="0.25">
      <c r="A878" s="29" t="s">
        <v>1779</v>
      </c>
      <c r="B878" s="33" t="s">
        <v>1928</v>
      </c>
      <c r="C878" s="101" t="s">
        <v>13</v>
      </c>
      <c r="D878" s="150">
        <v>0</v>
      </c>
      <c r="E878" s="13">
        <v>0</v>
      </c>
      <c r="F878" s="43">
        <f t="shared" si="34"/>
        <v>0</v>
      </c>
      <c r="G878" s="7"/>
    </row>
    <row r="879" spans="1:7" s="12" customFormat="1" ht="13.2" x14ac:dyDescent="0.25">
      <c r="A879" s="29" t="s">
        <v>1816</v>
      </c>
      <c r="B879" s="33" t="s">
        <v>1929</v>
      </c>
      <c r="C879" s="101" t="s">
        <v>13</v>
      </c>
      <c r="D879" s="150">
        <v>0</v>
      </c>
      <c r="E879" s="13">
        <v>0</v>
      </c>
      <c r="F879" s="43">
        <f t="shared" si="34"/>
        <v>0</v>
      </c>
      <c r="G879" s="7"/>
    </row>
    <row r="880" spans="1:7" s="12" customFormat="1" ht="13.2" x14ac:dyDescent="0.25">
      <c r="A880" s="29" t="s">
        <v>1817</v>
      </c>
      <c r="B880" s="33" t="s">
        <v>1930</v>
      </c>
      <c r="C880" s="101" t="s">
        <v>13</v>
      </c>
      <c r="D880" s="150">
        <v>0</v>
      </c>
      <c r="E880" s="13">
        <v>0</v>
      </c>
      <c r="F880" s="43">
        <f>D880*E880</f>
        <v>0</v>
      </c>
      <c r="G880" s="7"/>
    </row>
    <row r="881" spans="1:7" s="12" customFormat="1" ht="13.2" x14ac:dyDescent="0.25">
      <c r="A881" s="29" t="s">
        <v>1818</v>
      </c>
      <c r="B881" s="33" t="s">
        <v>1931</v>
      </c>
      <c r="C881" s="101" t="s">
        <v>13</v>
      </c>
      <c r="D881" s="150">
        <v>0</v>
      </c>
      <c r="E881" s="13">
        <v>0</v>
      </c>
      <c r="F881" s="43">
        <f>D881*E881</f>
        <v>0</v>
      </c>
      <c r="G881" s="7"/>
    </row>
    <row r="882" spans="1:7" s="12" customFormat="1" ht="13.2" x14ac:dyDescent="0.25">
      <c r="A882" s="29" t="s">
        <v>1973</v>
      </c>
      <c r="B882" s="28" t="s">
        <v>1974</v>
      </c>
      <c r="C882" s="100" t="s">
        <v>13</v>
      </c>
      <c r="D882" s="150">
        <v>0</v>
      </c>
      <c r="E882" s="13">
        <v>0</v>
      </c>
      <c r="F882" s="43">
        <f t="shared" ref="F882:F917" si="35">D882*E882</f>
        <v>0</v>
      </c>
      <c r="G882" s="7"/>
    </row>
    <row r="883" spans="1:7" s="12" customFormat="1" ht="13.2" x14ac:dyDescent="0.25">
      <c r="A883" s="29" t="s">
        <v>2483</v>
      </c>
      <c r="B883" s="28" t="s">
        <v>1975</v>
      </c>
      <c r="C883" s="100" t="s">
        <v>13</v>
      </c>
      <c r="D883" s="150">
        <v>0</v>
      </c>
      <c r="E883" s="13">
        <v>0</v>
      </c>
      <c r="F883" s="43">
        <f t="shared" si="35"/>
        <v>0</v>
      </c>
      <c r="G883" s="7"/>
    </row>
    <row r="884" spans="1:7" s="12" customFormat="1" ht="13.2" x14ac:dyDescent="0.25">
      <c r="A884" s="29" t="s">
        <v>2484</v>
      </c>
      <c r="B884" s="28" t="s">
        <v>1976</v>
      </c>
      <c r="C884" s="100" t="s">
        <v>13</v>
      </c>
      <c r="D884" s="150">
        <v>0</v>
      </c>
      <c r="E884" s="13">
        <v>0</v>
      </c>
      <c r="F884" s="43">
        <f t="shared" si="35"/>
        <v>0</v>
      </c>
      <c r="G884" s="7"/>
    </row>
    <row r="885" spans="1:7" s="4" customFormat="1" ht="13.2" x14ac:dyDescent="0.25">
      <c r="A885" s="29" t="s">
        <v>2485</v>
      </c>
      <c r="B885" s="28" t="s">
        <v>1977</v>
      </c>
      <c r="C885" s="100" t="s">
        <v>13</v>
      </c>
      <c r="D885" s="150">
        <v>0</v>
      </c>
      <c r="E885" s="13">
        <v>0</v>
      </c>
      <c r="F885" s="43">
        <f t="shared" si="35"/>
        <v>0</v>
      </c>
      <c r="G885" s="7"/>
    </row>
    <row r="886" spans="1:7" s="4" customFormat="1" ht="13.2" x14ac:dyDescent="0.25">
      <c r="A886" s="29" t="s">
        <v>2486</v>
      </c>
      <c r="B886" s="28" t="s">
        <v>1978</v>
      </c>
      <c r="C886" s="100" t="s">
        <v>13</v>
      </c>
      <c r="D886" s="150">
        <v>0</v>
      </c>
      <c r="E886" s="13">
        <v>0</v>
      </c>
      <c r="F886" s="43">
        <f t="shared" si="35"/>
        <v>0</v>
      </c>
      <c r="G886" s="7"/>
    </row>
    <row r="887" spans="1:7" s="12" customFormat="1" ht="13.2" x14ac:dyDescent="0.25">
      <c r="A887" s="29" t="s">
        <v>2487</v>
      </c>
      <c r="B887" s="28" t="s">
        <v>2076</v>
      </c>
      <c r="C887" s="100" t="s">
        <v>13</v>
      </c>
      <c r="D887" s="150">
        <v>0</v>
      </c>
      <c r="E887" s="13">
        <v>0</v>
      </c>
      <c r="F887" s="43">
        <f>D887*E887</f>
        <v>0</v>
      </c>
      <c r="G887" s="7"/>
    </row>
    <row r="888" spans="1:7" s="4" customFormat="1" ht="13.2" x14ac:dyDescent="0.25">
      <c r="A888" s="29" t="s">
        <v>3283</v>
      </c>
      <c r="B888" s="28" t="s">
        <v>3284</v>
      </c>
      <c r="C888" s="100" t="s">
        <v>13</v>
      </c>
      <c r="D888" s="150">
        <v>0</v>
      </c>
      <c r="E888" s="13">
        <v>0</v>
      </c>
      <c r="F888" s="43">
        <f t="shared" ref="F888:F889" si="36">D888*E888</f>
        <v>0</v>
      </c>
      <c r="G888" s="7"/>
    </row>
    <row r="889" spans="1:7" s="4" customFormat="1" ht="13.2" x14ac:dyDescent="0.25">
      <c r="A889" s="29" t="s">
        <v>3285</v>
      </c>
      <c r="B889" s="28" t="s">
        <v>3286</v>
      </c>
      <c r="C889" s="100" t="s">
        <v>13</v>
      </c>
      <c r="D889" s="150">
        <v>0</v>
      </c>
      <c r="E889" s="13">
        <v>0</v>
      </c>
      <c r="F889" s="43">
        <f t="shared" si="36"/>
        <v>0</v>
      </c>
      <c r="G889" s="7"/>
    </row>
    <row r="890" spans="1:7" s="4" customFormat="1" ht="13.2" x14ac:dyDescent="0.25">
      <c r="A890" s="32"/>
      <c r="B890" s="33"/>
      <c r="C890" s="101"/>
      <c r="D890" s="17"/>
      <c r="E890" s="13"/>
      <c r="F890" s="43"/>
      <c r="G890" s="7"/>
    </row>
    <row r="891" spans="1:7" s="12" customFormat="1" ht="13.2" x14ac:dyDescent="0.25">
      <c r="A891" s="119"/>
      <c r="B891" s="152" t="s">
        <v>1782</v>
      </c>
      <c r="C891" s="101"/>
      <c r="D891" s="17"/>
      <c r="E891" s="13"/>
      <c r="F891" s="43">
        <f>SUM(F796:F890)</f>
        <v>0</v>
      </c>
      <c r="G891" s="7"/>
    </row>
    <row r="892" spans="1:7" s="12" customFormat="1" ht="13.2" x14ac:dyDescent="0.25">
      <c r="A892" s="122"/>
      <c r="B892" s="123"/>
      <c r="C892" s="103"/>
      <c r="D892" s="18"/>
      <c r="E892" s="16"/>
      <c r="F892" s="44"/>
      <c r="G892" s="7"/>
    </row>
    <row r="893" spans="1:7" s="12" customFormat="1" ht="13.2" x14ac:dyDescent="0.25">
      <c r="A893" s="30" t="s">
        <v>140</v>
      </c>
      <c r="B893" s="36" t="s">
        <v>2620</v>
      </c>
      <c r="C893" s="104"/>
      <c r="D893" s="108"/>
      <c r="E893" s="158"/>
      <c r="F893" s="124"/>
      <c r="G893" s="7"/>
    </row>
    <row r="894" spans="1:7" s="12" customFormat="1" ht="13.2" x14ac:dyDescent="0.25">
      <c r="A894" s="29" t="s">
        <v>1227</v>
      </c>
      <c r="B894" s="35" t="s">
        <v>1496</v>
      </c>
      <c r="C894" s="101"/>
      <c r="D894" s="130"/>
      <c r="E894" s="129"/>
      <c r="F894" s="43"/>
      <c r="G894" s="7"/>
    </row>
    <row r="895" spans="1:7" s="12" customFormat="1" ht="13.2" x14ac:dyDescent="0.25">
      <c r="A895" s="119" t="s">
        <v>1228</v>
      </c>
      <c r="B895" s="121" t="s">
        <v>1595</v>
      </c>
      <c r="C895" s="101"/>
      <c r="D895" s="130"/>
      <c r="E895" s="129"/>
      <c r="F895" s="43"/>
      <c r="G895" s="7"/>
    </row>
    <row r="896" spans="1:7" s="6" customFormat="1" ht="13.2" x14ac:dyDescent="0.25">
      <c r="A896" s="119" t="s">
        <v>2867</v>
      </c>
      <c r="B896" s="121" t="s">
        <v>3002</v>
      </c>
      <c r="C896" s="101" t="s">
        <v>1302</v>
      </c>
      <c r="D896" s="150">
        <v>0</v>
      </c>
      <c r="E896" s="13">
        <v>0</v>
      </c>
      <c r="F896" s="43">
        <f>D896*E896</f>
        <v>0</v>
      </c>
      <c r="G896" s="7"/>
    </row>
    <row r="897" spans="1:7" s="12" customFormat="1" ht="13.2" x14ac:dyDescent="0.25">
      <c r="A897" s="119" t="s">
        <v>2868</v>
      </c>
      <c r="B897" s="121" t="s">
        <v>3003</v>
      </c>
      <c r="C897" s="101" t="s">
        <v>1302</v>
      </c>
      <c r="D897" s="150">
        <v>0</v>
      </c>
      <c r="E897" s="13">
        <v>0</v>
      </c>
      <c r="F897" s="43">
        <f>D897*E897</f>
        <v>0</v>
      </c>
      <c r="G897" s="7"/>
    </row>
    <row r="898" spans="1:7" s="12" customFormat="1" ht="13.2" x14ac:dyDescent="0.25">
      <c r="A898" s="119" t="s">
        <v>2869</v>
      </c>
      <c r="B898" s="121" t="s">
        <v>3004</v>
      </c>
      <c r="C898" s="101" t="s">
        <v>1302</v>
      </c>
      <c r="D898" s="150">
        <v>0</v>
      </c>
      <c r="E898" s="13">
        <v>0</v>
      </c>
      <c r="F898" s="43">
        <f>D898*E898</f>
        <v>0</v>
      </c>
      <c r="G898" s="7"/>
    </row>
    <row r="899" spans="1:7" s="12" customFormat="1" ht="13.2" x14ac:dyDescent="0.25">
      <c r="A899" s="119" t="s">
        <v>1229</v>
      </c>
      <c r="B899" s="121" t="s">
        <v>1596</v>
      </c>
      <c r="C899" s="101"/>
      <c r="D899" s="130"/>
      <c r="E899" s="129"/>
      <c r="F899" s="43"/>
      <c r="G899" s="7"/>
    </row>
    <row r="900" spans="1:7" s="12" customFormat="1" ht="13.2" x14ac:dyDescent="0.25">
      <c r="A900" s="119" t="s">
        <v>2870</v>
      </c>
      <c r="B900" s="121" t="s">
        <v>3002</v>
      </c>
      <c r="C900" s="101" t="s">
        <v>1302</v>
      </c>
      <c r="D900" s="150">
        <v>0</v>
      </c>
      <c r="E900" s="13">
        <v>0</v>
      </c>
      <c r="F900" s="43">
        <f>D900*E900</f>
        <v>0</v>
      </c>
      <c r="G900" s="7"/>
    </row>
    <row r="901" spans="1:7" s="12" customFormat="1" ht="13.2" x14ac:dyDescent="0.25">
      <c r="A901" s="119" t="s">
        <v>2871</v>
      </c>
      <c r="B901" s="121" t="s">
        <v>3003</v>
      </c>
      <c r="C901" s="101" t="s">
        <v>1302</v>
      </c>
      <c r="D901" s="150">
        <v>0</v>
      </c>
      <c r="E901" s="13">
        <v>0</v>
      </c>
      <c r="F901" s="43">
        <f>D901*E901</f>
        <v>0</v>
      </c>
      <c r="G901" s="7"/>
    </row>
    <row r="902" spans="1:7" s="12" customFormat="1" ht="13.2" x14ac:dyDescent="0.25">
      <c r="A902" s="119" t="s">
        <v>2872</v>
      </c>
      <c r="B902" s="121" t="s">
        <v>3004</v>
      </c>
      <c r="C902" s="101" t="s">
        <v>1302</v>
      </c>
      <c r="D902" s="150">
        <v>0</v>
      </c>
      <c r="E902" s="13">
        <v>0</v>
      </c>
      <c r="F902" s="43">
        <f>D902*E902</f>
        <v>0</v>
      </c>
      <c r="G902" s="7"/>
    </row>
    <row r="903" spans="1:7" s="12" customFormat="1" ht="13.2" x14ac:dyDescent="0.25">
      <c r="A903" s="29" t="s">
        <v>141</v>
      </c>
      <c r="B903" s="28" t="s">
        <v>1932</v>
      </c>
      <c r="C903" s="100" t="s">
        <v>13</v>
      </c>
      <c r="D903" s="150">
        <v>0</v>
      </c>
      <c r="E903" s="13">
        <v>0</v>
      </c>
      <c r="F903" s="43">
        <f t="shared" si="35"/>
        <v>0</v>
      </c>
      <c r="G903" s="7"/>
    </row>
    <row r="904" spans="1:7" s="12" customFormat="1" ht="13.2" x14ac:dyDescent="0.25">
      <c r="A904" s="29" t="s">
        <v>142</v>
      </c>
      <c r="B904" s="28" t="s">
        <v>1933</v>
      </c>
      <c r="C904" s="100" t="s">
        <v>13</v>
      </c>
      <c r="D904" s="150">
        <v>0</v>
      </c>
      <c r="E904" s="13">
        <v>0</v>
      </c>
      <c r="F904" s="43">
        <f t="shared" si="35"/>
        <v>0</v>
      </c>
      <c r="G904" s="7"/>
    </row>
    <row r="905" spans="1:7" s="12" customFormat="1" ht="13.2" x14ac:dyDescent="0.25">
      <c r="A905" s="29" t="s">
        <v>143</v>
      </c>
      <c r="B905" s="28" t="s">
        <v>1934</v>
      </c>
      <c r="C905" s="100" t="s">
        <v>13</v>
      </c>
      <c r="D905" s="150">
        <v>0</v>
      </c>
      <c r="E905" s="13">
        <v>0</v>
      </c>
      <c r="F905" s="43">
        <f t="shared" si="35"/>
        <v>0</v>
      </c>
      <c r="G905" s="7"/>
    </row>
    <row r="906" spans="1:7" s="12" customFormat="1" ht="12.75" customHeight="1" x14ac:dyDescent="0.25">
      <c r="A906" s="29" t="s">
        <v>144</v>
      </c>
      <c r="B906" s="28" t="s">
        <v>1935</v>
      </c>
      <c r="C906" s="100" t="s">
        <v>13</v>
      </c>
      <c r="D906" s="150">
        <v>0</v>
      </c>
      <c r="E906" s="13">
        <v>0</v>
      </c>
      <c r="F906" s="43">
        <f t="shared" si="35"/>
        <v>0</v>
      </c>
      <c r="G906" s="7"/>
    </row>
    <row r="907" spans="1:7" s="12" customFormat="1" ht="12.75" customHeight="1" x14ac:dyDescent="0.25">
      <c r="A907" s="29" t="s">
        <v>145</v>
      </c>
      <c r="B907" s="28" t="s">
        <v>1936</v>
      </c>
      <c r="C907" s="100" t="s">
        <v>13</v>
      </c>
      <c r="D907" s="150">
        <v>0</v>
      </c>
      <c r="E907" s="13">
        <v>0</v>
      </c>
      <c r="F907" s="43">
        <f t="shared" si="35"/>
        <v>0</v>
      </c>
      <c r="G907" s="7"/>
    </row>
    <row r="908" spans="1:7" s="12" customFormat="1" ht="12.75" customHeight="1" x14ac:dyDescent="0.25">
      <c r="A908" s="29" t="s">
        <v>307</v>
      </c>
      <c r="B908" s="28" t="s">
        <v>1892</v>
      </c>
      <c r="C908" s="100"/>
      <c r="D908" s="17"/>
      <c r="E908" s="13"/>
      <c r="F908" s="43"/>
      <c r="G908" s="7"/>
    </row>
    <row r="909" spans="1:7" s="12" customFormat="1" ht="12.75" customHeight="1" x14ac:dyDescent="0.25">
      <c r="A909" s="119" t="s">
        <v>266</v>
      </c>
      <c r="B909" s="121" t="s">
        <v>1597</v>
      </c>
      <c r="C909" s="100" t="s">
        <v>1302</v>
      </c>
      <c r="D909" s="150">
        <v>0</v>
      </c>
      <c r="E909" s="13">
        <v>0</v>
      </c>
      <c r="F909" s="43">
        <f t="shared" si="35"/>
        <v>0</v>
      </c>
      <c r="G909" s="7"/>
    </row>
    <row r="910" spans="1:7" s="12" customFormat="1" ht="12.75" customHeight="1" x14ac:dyDescent="0.25">
      <c r="A910" s="119" t="s">
        <v>1264</v>
      </c>
      <c r="B910" s="121" t="s">
        <v>1598</v>
      </c>
      <c r="C910" s="100" t="s">
        <v>1302</v>
      </c>
      <c r="D910" s="150">
        <v>0</v>
      </c>
      <c r="E910" s="13">
        <v>0</v>
      </c>
      <c r="F910" s="43">
        <f t="shared" si="35"/>
        <v>0</v>
      </c>
      <c r="G910" s="7"/>
    </row>
    <row r="911" spans="1:7" s="12" customFormat="1" ht="12.75" customHeight="1" x14ac:dyDescent="0.25">
      <c r="A911" s="119" t="s">
        <v>1265</v>
      </c>
      <c r="B911" s="121" t="s">
        <v>1544</v>
      </c>
      <c r="C911" s="100" t="s">
        <v>1302</v>
      </c>
      <c r="D911" s="150">
        <v>0</v>
      </c>
      <c r="E911" s="13">
        <v>0</v>
      </c>
      <c r="F911" s="43">
        <f t="shared" si="35"/>
        <v>0</v>
      </c>
      <c r="G911" s="7"/>
    </row>
    <row r="912" spans="1:7" s="12" customFormat="1" ht="12.75" customHeight="1" x14ac:dyDescent="0.25">
      <c r="A912" s="119" t="s">
        <v>939</v>
      </c>
      <c r="B912" s="121" t="s">
        <v>1599</v>
      </c>
      <c r="C912" s="100" t="s">
        <v>1302</v>
      </c>
      <c r="D912" s="150">
        <v>0</v>
      </c>
      <c r="E912" s="13">
        <v>0</v>
      </c>
      <c r="F912" s="43">
        <f t="shared" si="35"/>
        <v>0</v>
      </c>
      <c r="G912" s="7"/>
    </row>
    <row r="913" spans="1:7" s="12" customFormat="1" ht="12.75" customHeight="1" x14ac:dyDescent="0.25">
      <c r="A913" s="119" t="s">
        <v>1266</v>
      </c>
      <c r="B913" s="121" t="s">
        <v>1542</v>
      </c>
      <c r="C913" s="100" t="s">
        <v>13</v>
      </c>
      <c r="D913" s="150">
        <v>0</v>
      </c>
      <c r="E913" s="13">
        <v>0</v>
      </c>
      <c r="F913" s="43">
        <f t="shared" si="35"/>
        <v>0</v>
      </c>
      <c r="G913" s="7"/>
    </row>
    <row r="914" spans="1:7" s="12" customFormat="1" ht="12.75" customHeight="1" x14ac:dyDescent="0.25">
      <c r="A914" s="119" t="s">
        <v>940</v>
      </c>
      <c r="B914" s="121" t="s">
        <v>1600</v>
      </c>
      <c r="C914" s="100" t="s">
        <v>13</v>
      </c>
      <c r="D914" s="150">
        <v>0</v>
      </c>
      <c r="E914" s="13">
        <v>0</v>
      </c>
      <c r="F914" s="43">
        <f t="shared" si="35"/>
        <v>0</v>
      </c>
      <c r="G914" s="7"/>
    </row>
    <row r="915" spans="1:7" s="12" customFormat="1" ht="12.75" customHeight="1" x14ac:dyDescent="0.25">
      <c r="A915" s="119" t="s">
        <v>941</v>
      </c>
      <c r="B915" s="121" t="s">
        <v>1601</v>
      </c>
      <c r="C915" s="100" t="s">
        <v>13</v>
      </c>
      <c r="D915" s="150">
        <v>0</v>
      </c>
      <c r="E915" s="13">
        <v>0</v>
      </c>
      <c r="F915" s="43">
        <f t="shared" si="35"/>
        <v>0</v>
      </c>
      <c r="G915" s="7"/>
    </row>
    <row r="916" spans="1:7" s="12" customFormat="1" ht="12.75" customHeight="1" x14ac:dyDescent="0.25">
      <c r="A916" s="119" t="s">
        <v>1267</v>
      </c>
      <c r="B916" s="121" t="s">
        <v>1602</v>
      </c>
      <c r="C916" s="100" t="s">
        <v>13</v>
      </c>
      <c r="D916" s="150">
        <v>0</v>
      </c>
      <c r="E916" s="13">
        <v>0</v>
      </c>
      <c r="F916" s="43">
        <f t="shared" si="35"/>
        <v>0</v>
      </c>
      <c r="G916" s="7"/>
    </row>
    <row r="917" spans="1:7" s="12" customFormat="1" ht="12.75" customHeight="1" x14ac:dyDescent="0.25">
      <c r="A917" s="119" t="s">
        <v>1268</v>
      </c>
      <c r="B917" s="121" t="s">
        <v>1603</v>
      </c>
      <c r="C917" s="100" t="s">
        <v>13</v>
      </c>
      <c r="D917" s="150">
        <v>0</v>
      </c>
      <c r="E917" s="13">
        <v>0</v>
      </c>
      <c r="F917" s="43">
        <f t="shared" si="35"/>
        <v>0</v>
      </c>
      <c r="G917" s="7"/>
    </row>
    <row r="918" spans="1:7" s="6" customFormat="1" ht="13.2" x14ac:dyDescent="0.25">
      <c r="A918" s="119"/>
      <c r="B918" s="121"/>
      <c r="C918" s="100"/>
      <c r="D918" s="155"/>
      <c r="E918" s="13"/>
      <c r="F918" s="43"/>
      <c r="G918" s="7"/>
    </row>
    <row r="919" spans="1:7" s="12" customFormat="1" ht="13.2" x14ac:dyDescent="0.25">
      <c r="A919" s="119"/>
      <c r="B919" s="152" t="s">
        <v>1783</v>
      </c>
      <c r="C919" s="101"/>
      <c r="D919" s="17"/>
      <c r="E919" s="13"/>
      <c r="F919" s="43">
        <f>SUM(F894:F918)</f>
        <v>0</v>
      </c>
      <c r="G919" s="7"/>
    </row>
    <row r="920" spans="1:7" s="12" customFormat="1" ht="13.2" x14ac:dyDescent="0.25">
      <c r="A920" s="122"/>
      <c r="B920" s="123"/>
      <c r="C920" s="103"/>
      <c r="D920" s="156"/>
      <c r="E920" s="16"/>
      <c r="F920" s="44"/>
      <c r="G920" s="7"/>
    </row>
    <row r="921" spans="1:7" s="12" customFormat="1" ht="13.5" customHeight="1" x14ac:dyDescent="0.25">
      <c r="A921" s="30" t="s">
        <v>1078</v>
      </c>
      <c r="B921" s="36" t="s">
        <v>1610</v>
      </c>
      <c r="C921" s="104"/>
      <c r="D921" s="108"/>
      <c r="E921" s="158"/>
      <c r="F921" s="124"/>
      <c r="G921" s="7"/>
    </row>
    <row r="922" spans="1:7" s="12" customFormat="1" ht="13.2" x14ac:dyDescent="0.25">
      <c r="A922" s="29" t="s">
        <v>1079</v>
      </c>
      <c r="B922" s="28" t="s">
        <v>2639</v>
      </c>
      <c r="C922" s="101"/>
      <c r="D922" s="17"/>
      <c r="E922" s="13"/>
      <c r="F922" s="43"/>
      <c r="G922" s="7"/>
    </row>
    <row r="923" spans="1:7" s="12" customFormat="1" ht="13.2" x14ac:dyDescent="0.25">
      <c r="A923" s="119" t="s">
        <v>963</v>
      </c>
      <c r="B923" s="121" t="s">
        <v>2640</v>
      </c>
      <c r="C923" s="100"/>
      <c r="D923" s="155"/>
      <c r="E923" s="13"/>
      <c r="F923" s="43"/>
      <c r="G923" s="7"/>
    </row>
    <row r="924" spans="1:7" s="12" customFormat="1" ht="13.2" x14ac:dyDescent="0.25">
      <c r="A924" s="119" t="s">
        <v>2881</v>
      </c>
      <c r="B924" s="121" t="s">
        <v>1135</v>
      </c>
      <c r="C924" s="100" t="s">
        <v>1081</v>
      </c>
      <c r="D924" s="150">
        <v>1</v>
      </c>
      <c r="E924" s="13">
        <v>0</v>
      </c>
      <c r="F924" s="43">
        <f t="shared" ref="F924:F987" si="37">D924*E924</f>
        <v>0</v>
      </c>
      <c r="G924" s="7"/>
    </row>
    <row r="925" spans="1:7" s="12" customFormat="1" ht="13.2" x14ac:dyDescent="0.25">
      <c r="A925" s="119" t="s">
        <v>2882</v>
      </c>
      <c r="B925" s="121" t="s">
        <v>3122</v>
      </c>
      <c r="C925" s="100" t="s">
        <v>1081</v>
      </c>
      <c r="D925" s="150">
        <v>0</v>
      </c>
      <c r="E925" s="13">
        <v>0</v>
      </c>
      <c r="F925" s="43">
        <f t="shared" si="37"/>
        <v>0</v>
      </c>
      <c r="G925" s="7"/>
    </row>
    <row r="926" spans="1:7" s="6" customFormat="1" ht="12.75" customHeight="1" x14ac:dyDescent="0.25">
      <c r="A926" s="119" t="s">
        <v>2883</v>
      </c>
      <c r="B926" s="121" t="s">
        <v>3123</v>
      </c>
      <c r="C926" s="100" t="s">
        <v>1081</v>
      </c>
      <c r="D926" s="150">
        <v>0</v>
      </c>
      <c r="E926" s="13">
        <v>0</v>
      </c>
      <c r="F926" s="43">
        <f t="shared" si="37"/>
        <v>0</v>
      </c>
      <c r="G926" s="7"/>
    </row>
    <row r="927" spans="1:7" s="12" customFormat="1" ht="12.75" customHeight="1" x14ac:dyDescent="0.25">
      <c r="A927" s="119" t="s">
        <v>964</v>
      </c>
      <c r="B927" s="121" t="s">
        <v>3098</v>
      </c>
      <c r="C927" s="100"/>
      <c r="D927" s="155"/>
      <c r="E927" s="13"/>
      <c r="F927" s="43"/>
      <c r="G927" s="7"/>
    </row>
    <row r="928" spans="1:7" s="12" customFormat="1" ht="12.75" customHeight="1" x14ac:dyDescent="0.25">
      <c r="A928" s="119" t="s">
        <v>2884</v>
      </c>
      <c r="B928" s="121" t="s">
        <v>1135</v>
      </c>
      <c r="C928" s="100" t="s">
        <v>1081</v>
      </c>
      <c r="D928" s="150">
        <v>1</v>
      </c>
      <c r="E928" s="13">
        <v>0</v>
      </c>
      <c r="F928" s="43">
        <f t="shared" si="37"/>
        <v>0</v>
      </c>
      <c r="G928" s="7"/>
    </row>
    <row r="929" spans="1:7" s="12" customFormat="1" ht="13.2" x14ac:dyDescent="0.25">
      <c r="A929" s="119" t="s">
        <v>2885</v>
      </c>
      <c r="B929" s="121" t="s">
        <v>1137</v>
      </c>
      <c r="C929" s="100" t="s">
        <v>1081</v>
      </c>
      <c r="D929" s="150">
        <v>0</v>
      </c>
      <c r="E929" s="13">
        <v>0</v>
      </c>
      <c r="F929" s="43">
        <f t="shared" si="37"/>
        <v>0</v>
      </c>
      <c r="G929" s="7"/>
    </row>
    <row r="930" spans="1:7" s="12" customFormat="1" ht="13.2" x14ac:dyDescent="0.25">
      <c r="A930" s="119" t="s">
        <v>2886</v>
      </c>
      <c r="B930" s="121" t="s">
        <v>1139</v>
      </c>
      <c r="C930" s="100" t="s">
        <v>1081</v>
      </c>
      <c r="D930" s="150">
        <v>0</v>
      </c>
      <c r="E930" s="13">
        <v>0</v>
      </c>
      <c r="F930" s="43">
        <f t="shared" si="37"/>
        <v>0</v>
      </c>
      <c r="G930" s="7"/>
    </row>
    <row r="931" spans="1:7" s="12" customFormat="1" ht="13.2" x14ac:dyDescent="0.25">
      <c r="A931" s="119" t="s">
        <v>965</v>
      </c>
      <c r="B931" s="121" t="s">
        <v>2641</v>
      </c>
      <c r="C931" s="100" t="s">
        <v>1081</v>
      </c>
      <c r="D931" s="150">
        <v>1</v>
      </c>
      <c r="E931" s="13">
        <v>0</v>
      </c>
      <c r="F931" s="43">
        <f t="shared" si="37"/>
        <v>0</v>
      </c>
      <c r="G931" s="7"/>
    </row>
    <row r="932" spans="1:7" s="12" customFormat="1" ht="13.2" x14ac:dyDescent="0.25">
      <c r="A932" s="34" t="s">
        <v>962</v>
      </c>
      <c r="B932" s="33" t="s">
        <v>2642</v>
      </c>
      <c r="C932" s="101"/>
      <c r="D932" s="155"/>
      <c r="E932" s="13"/>
      <c r="F932" s="43"/>
      <c r="G932" s="7"/>
    </row>
    <row r="933" spans="1:7" s="12" customFormat="1" ht="13.2" x14ac:dyDescent="0.25">
      <c r="A933" s="119" t="s">
        <v>974</v>
      </c>
      <c r="B933" s="121" t="s">
        <v>2643</v>
      </c>
      <c r="C933" s="100" t="s">
        <v>13</v>
      </c>
      <c r="D933" s="150">
        <v>12</v>
      </c>
      <c r="E933" s="13">
        <v>0</v>
      </c>
      <c r="F933" s="43">
        <f t="shared" si="37"/>
        <v>0</v>
      </c>
      <c r="G933" s="7"/>
    </row>
    <row r="934" spans="1:7" s="12" customFormat="1" ht="13.2" x14ac:dyDescent="0.25">
      <c r="A934" s="119" t="s">
        <v>975</v>
      </c>
      <c r="B934" s="121" t="s">
        <v>3091</v>
      </c>
      <c r="C934" s="100" t="s">
        <v>13</v>
      </c>
      <c r="D934" s="150">
        <v>14</v>
      </c>
      <c r="E934" s="13">
        <v>0</v>
      </c>
      <c r="F934" s="43">
        <f t="shared" si="37"/>
        <v>0</v>
      </c>
      <c r="G934" s="7"/>
    </row>
    <row r="935" spans="1:7" s="6" customFormat="1" ht="13.2" x14ac:dyDescent="0.25">
      <c r="A935" s="119" t="s">
        <v>976</v>
      </c>
      <c r="B935" s="121" t="s">
        <v>2644</v>
      </c>
      <c r="C935" s="100" t="s">
        <v>13</v>
      </c>
      <c r="D935" s="150">
        <v>0</v>
      </c>
      <c r="E935" s="13">
        <v>0</v>
      </c>
      <c r="F935" s="43">
        <f t="shared" si="37"/>
        <v>0</v>
      </c>
      <c r="G935" s="7"/>
    </row>
    <row r="936" spans="1:7" s="12" customFormat="1" ht="13.2" x14ac:dyDescent="0.25">
      <c r="A936" s="119" t="s">
        <v>977</v>
      </c>
      <c r="B936" s="121" t="s">
        <v>2776</v>
      </c>
      <c r="C936" s="100" t="s">
        <v>1302</v>
      </c>
      <c r="D936" s="150">
        <v>0</v>
      </c>
      <c r="E936" s="13">
        <v>0</v>
      </c>
      <c r="F936" s="43">
        <f t="shared" si="37"/>
        <v>0</v>
      </c>
      <c r="G936" s="7"/>
    </row>
    <row r="937" spans="1:7" s="12" customFormat="1" ht="13.2" x14ac:dyDescent="0.25">
      <c r="A937" s="119" t="s">
        <v>978</v>
      </c>
      <c r="B937" s="121" t="s">
        <v>1616</v>
      </c>
      <c r="C937" s="100" t="s">
        <v>13</v>
      </c>
      <c r="D937" s="150">
        <v>10</v>
      </c>
      <c r="E937" s="13">
        <v>0</v>
      </c>
      <c r="F937" s="43">
        <f t="shared" si="37"/>
        <v>0</v>
      </c>
      <c r="G937" s="7"/>
    </row>
    <row r="938" spans="1:7" s="12" customFormat="1" ht="13.2" x14ac:dyDescent="0.25">
      <c r="A938" s="34" t="s">
        <v>2645</v>
      </c>
      <c r="B938" s="33" t="s">
        <v>2646</v>
      </c>
      <c r="C938" s="101"/>
      <c r="D938" s="155"/>
      <c r="E938" s="13"/>
      <c r="F938" s="43"/>
      <c r="G938" s="7"/>
    </row>
    <row r="939" spans="1:7" s="12" customFormat="1" ht="13.2" x14ac:dyDescent="0.25">
      <c r="A939" s="119" t="s">
        <v>984</v>
      </c>
      <c r="B939" s="121" t="s">
        <v>2647</v>
      </c>
      <c r="C939" s="100" t="s">
        <v>1302</v>
      </c>
      <c r="D939" s="150">
        <v>90</v>
      </c>
      <c r="E939" s="13">
        <v>0</v>
      </c>
      <c r="F939" s="43">
        <f t="shared" si="37"/>
        <v>0</v>
      </c>
      <c r="G939" s="7"/>
    </row>
    <row r="940" spans="1:7" s="12" customFormat="1" ht="13.2" x14ac:dyDescent="0.25">
      <c r="A940" s="119" t="s">
        <v>985</v>
      </c>
      <c r="B940" s="121" t="s">
        <v>2648</v>
      </c>
      <c r="C940" s="100" t="s">
        <v>1302</v>
      </c>
      <c r="D940" s="150">
        <v>280</v>
      </c>
      <c r="E940" s="13">
        <v>0</v>
      </c>
      <c r="F940" s="43">
        <f t="shared" si="37"/>
        <v>0</v>
      </c>
      <c r="G940" s="7"/>
    </row>
    <row r="941" spans="1:7" s="12" customFormat="1" ht="13.2" x14ac:dyDescent="0.25">
      <c r="A941" s="119" t="s">
        <v>986</v>
      </c>
      <c r="B941" s="121" t="s">
        <v>2887</v>
      </c>
      <c r="C941" s="100" t="s">
        <v>1302</v>
      </c>
      <c r="D941" s="150">
        <v>100</v>
      </c>
      <c r="E941" s="13">
        <v>0</v>
      </c>
      <c r="F941" s="43">
        <f t="shared" si="37"/>
        <v>0</v>
      </c>
      <c r="G941" s="7"/>
    </row>
    <row r="942" spans="1:7" s="12" customFormat="1" ht="13.2" x14ac:dyDescent="0.25">
      <c r="A942" s="119" t="s">
        <v>987</v>
      </c>
      <c r="B942" s="121" t="s">
        <v>2888</v>
      </c>
      <c r="C942" s="100" t="s">
        <v>1302</v>
      </c>
      <c r="D942" s="150">
        <v>0</v>
      </c>
      <c r="E942" s="13">
        <v>0</v>
      </c>
      <c r="F942" s="43">
        <f t="shared" si="37"/>
        <v>0</v>
      </c>
      <c r="G942" s="7"/>
    </row>
    <row r="943" spans="1:7" s="12" customFormat="1" ht="13.2" x14ac:dyDescent="0.25">
      <c r="A943" s="119" t="s">
        <v>988</v>
      </c>
      <c r="B943" s="121" t="s">
        <v>2889</v>
      </c>
      <c r="C943" s="100" t="s">
        <v>1302</v>
      </c>
      <c r="D943" s="150">
        <v>290</v>
      </c>
      <c r="E943" s="13">
        <v>0</v>
      </c>
      <c r="F943" s="43">
        <f t="shared" si="37"/>
        <v>0</v>
      </c>
      <c r="G943" s="7"/>
    </row>
    <row r="944" spans="1:7" s="12" customFormat="1" ht="13.2" x14ac:dyDescent="0.25">
      <c r="A944" s="119" t="s">
        <v>989</v>
      </c>
      <c r="B944" s="121" t="s">
        <v>2649</v>
      </c>
      <c r="C944" s="100" t="s">
        <v>1302</v>
      </c>
      <c r="D944" s="150">
        <v>0</v>
      </c>
      <c r="E944" s="13">
        <v>0</v>
      </c>
      <c r="F944" s="43">
        <f t="shared" si="37"/>
        <v>0</v>
      </c>
      <c r="G944" s="7"/>
    </row>
    <row r="945" spans="1:7" s="12" customFormat="1" ht="13.2" x14ac:dyDescent="0.25">
      <c r="A945" s="34" t="s">
        <v>2650</v>
      </c>
      <c r="B945" s="33" t="s">
        <v>2651</v>
      </c>
      <c r="C945" s="101"/>
      <c r="D945" s="155"/>
      <c r="E945" s="13"/>
      <c r="F945" s="43"/>
      <c r="G945" s="7"/>
    </row>
    <row r="946" spans="1:7" s="6" customFormat="1" ht="13.2" x14ac:dyDescent="0.25">
      <c r="A946" s="119" t="s">
        <v>994</v>
      </c>
      <c r="B946" s="121" t="s">
        <v>2780</v>
      </c>
      <c r="C946" s="100" t="s">
        <v>13</v>
      </c>
      <c r="D946" s="150">
        <v>0</v>
      </c>
      <c r="E946" s="13">
        <v>0</v>
      </c>
      <c r="F946" s="43">
        <f t="shared" si="37"/>
        <v>0</v>
      </c>
      <c r="G946" s="7"/>
    </row>
    <row r="947" spans="1:7" s="12" customFormat="1" ht="13.2" x14ac:dyDescent="0.25">
      <c r="A947" s="119" t="s">
        <v>995</v>
      </c>
      <c r="B947" s="121" t="s">
        <v>2890</v>
      </c>
      <c r="C947" s="101"/>
      <c r="D947" s="155"/>
      <c r="E947" s="13"/>
      <c r="F947" s="43"/>
      <c r="G947" s="7"/>
    </row>
    <row r="948" spans="1:7" s="12" customFormat="1" ht="13.2" x14ac:dyDescent="0.25">
      <c r="A948" s="119" t="s">
        <v>2655</v>
      </c>
      <c r="B948" s="121" t="s">
        <v>2652</v>
      </c>
      <c r="C948" s="101"/>
      <c r="D948" s="155"/>
      <c r="E948" s="13"/>
      <c r="F948" s="43"/>
      <c r="G948" s="7"/>
    </row>
    <row r="949" spans="1:7" s="12" customFormat="1" ht="13.2" x14ac:dyDescent="0.25">
      <c r="A949" s="119" t="s">
        <v>2657</v>
      </c>
      <c r="B949" s="121" t="s">
        <v>2653</v>
      </c>
      <c r="C949" s="100" t="s">
        <v>13</v>
      </c>
      <c r="D949" s="150">
        <v>0</v>
      </c>
      <c r="E949" s="13">
        <v>0</v>
      </c>
      <c r="F949" s="43">
        <f t="shared" si="37"/>
        <v>0</v>
      </c>
      <c r="G949" s="7"/>
    </row>
    <row r="950" spans="1:7" s="12" customFormat="1" ht="13.2" x14ac:dyDescent="0.25">
      <c r="A950" s="119" t="s">
        <v>2658</v>
      </c>
      <c r="B950" s="121" t="s">
        <v>2654</v>
      </c>
      <c r="C950" s="100" t="s">
        <v>13</v>
      </c>
      <c r="D950" s="150">
        <v>0</v>
      </c>
      <c r="E950" s="13">
        <v>0</v>
      </c>
      <c r="F950" s="43">
        <f t="shared" si="37"/>
        <v>0</v>
      </c>
      <c r="G950" s="7"/>
    </row>
    <row r="951" spans="1:7" s="12" customFormat="1" ht="13.2" x14ac:dyDescent="0.25">
      <c r="A951" s="119" t="s">
        <v>2659</v>
      </c>
      <c r="B951" s="121" t="s">
        <v>1611</v>
      </c>
      <c r="C951" s="100" t="s">
        <v>13</v>
      </c>
      <c r="D951" s="150">
        <v>0</v>
      </c>
      <c r="E951" s="13">
        <v>0</v>
      </c>
      <c r="F951" s="43">
        <f t="shared" si="37"/>
        <v>0</v>
      </c>
      <c r="G951" s="7"/>
    </row>
    <row r="952" spans="1:7" s="12" customFormat="1" ht="13.2" x14ac:dyDescent="0.25">
      <c r="A952" s="119" t="s">
        <v>2660</v>
      </c>
      <c r="B952" s="121" t="s">
        <v>2779</v>
      </c>
      <c r="C952" s="100" t="s">
        <v>13</v>
      </c>
      <c r="D952" s="150">
        <v>0</v>
      </c>
      <c r="E952" s="13">
        <v>0</v>
      </c>
      <c r="F952" s="43">
        <f t="shared" si="37"/>
        <v>0</v>
      </c>
      <c r="G952" s="7"/>
    </row>
    <row r="953" spans="1:7" s="12" customFormat="1" ht="13.2" x14ac:dyDescent="0.25">
      <c r="A953" s="119" t="s">
        <v>2656</v>
      </c>
      <c r="B953" s="121" t="s">
        <v>2661</v>
      </c>
      <c r="C953" s="101"/>
      <c r="D953" s="155"/>
      <c r="E953" s="13"/>
      <c r="F953" s="43"/>
      <c r="G953" s="7"/>
    </row>
    <row r="954" spans="1:7" s="12" customFormat="1" ht="13.2" x14ac:dyDescent="0.25">
      <c r="A954" s="119" t="s">
        <v>2674</v>
      </c>
      <c r="B954" s="121" t="s">
        <v>2662</v>
      </c>
      <c r="C954" s="100" t="s">
        <v>13</v>
      </c>
      <c r="D954" s="150">
        <v>0</v>
      </c>
      <c r="E954" s="13">
        <v>0</v>
      </c>
      <c r="F954" s="43">
        <f t="shared" si="37"/>
        <v>0</v>
      </c>
      <c r="G954" s="7"/>
    </row>
    <row r="955" spans="1:7" s="12" customFormat="1" ht="13.2" x14ac:dyDescent="0.25">
      <c r="A955" s="119" t="s">
        <v>2675</v>
      </c>
      <c r="B955" s="121" t="s">
        <v>2663</v>
      </c>
      <c r="C955" s="100" t="s">
        <v>13</v>
      </c>
      <c r="D955" s="150">
        <v>0</v>
      </c>
      <c r="E955" s="13">
        <v>0</v>
      </c>
      <c r="F955" s="43">
        <f t="shared" si="37"/>
        <v>0</v>
      </c>
      <c r="G955" s="7"/>
    </row>
    <row r="956" spans="1:7" s="12" customFormat="1" ht="13.2" x14ac:dyDescent="0.25">
      <c r="A956" s="119" t="s">
        <v>2676</v>
      </c>
      <c r="B956" s="121" t="s">
        <v>2664</v>
      </c>
      <c r="C956" s="100" t="s">
        <v>13</v>
      </c>
      <c r="D956" s="150">
        <v>0</v>
      </c>
      <c r="E956" s="13">
        <v>0</v>
      </c>
      <c r="F956" s="43">
        <f t="shared" si="37"/>
        <v>0</v>
      </c>
      <c r="G956" s="7"/>
    </row>
    <row r="957" spans="1:7" s="12" customFormat="1" ht="13.2" x14ac:dyDescent="0.25">
      <c r="A957" s="119" t="s">
        <v>2677</v>
      </c>
      <c r="B957" s="121" t="s">
        <v>2665</v>
      </c>
      <c r="C957" s="100" t="s">
        <v>13</v>
      </c>
      <c r="D957" s="150">
        <v>0</v>
      </c>
      <c r="E957" s="13">
        <v>0</v>
      </c>
      <c r="F957" s="43">
        <f t="shared" si="37"/>
        <v>0</v>
      </c>
      <c r="G957" s="7"/>
    </row>
    <row r="958" spans="1:7" s="12" customFormat="1" ht="13.2" x14ac:dyDescent="0.25">
      <c r="A958" s="119" t="s">
        <v>2678</v>
      </c>
      <c r="B958" s="121" t="s">
        <v>2666</v>
      </c>
      <c r="C958" s="100" t="s">
        <v>1302</v>
      </c>
      <c r="D958" s="150">
        <v>0</v>
      </c>
      <c r="E958" s="13">
        <v>0</v>
      </c>
      <c r="F958" s="43">
        <f t="shared" si="37"/>
        <v>0</v>
      </c>
      <c r="G958" s="7"/>
    </row>
    <row r="959" spans="1:7" s="12" customFormat="1" ht="13.2" x14ac:dyDescent="0.25">
      <c r="A959" s="119" t="s">
        <v>2679</v>
      </c>
      <c r="B959" s="121" t="s">
        <v>2667</v>
      </c>
      <c r="C959" s="100" t="s">
        <v>1302</v>
      </c>
      <c r="D959" s="150">
        <v>1200</v>
      </c>
      <c r="E959" s="13">
        <v>0</v>
      </c>
      <c r="F959" s="43">
        <f t="shared" si="37"/>
        <v>0</v>
      </c>
      <c r="G959" s="7"/>
    </row>
    <row r="960" spans="1:7" s="12" customFormat="1" ht="13.2" x14ac:dyDescent="0.25">
      <c r="A960" s="119" t="s">
        <v>996</v>
      </c>
      <c r="B960" s="121" t="s">
        <v>2668</v>
      </c>
      <c r="C960" s="100" t="s">
        <v>3287</v>
      </c>
      <c r="D960" s="150">
        <v>0</v>
      </c>
      <c r="E960" s="13">
        <v>0</v>
      </c>
      <c r="F960" s="43">
        <f t="shared" si="37"/>
        <v>0</v>
      </c>
      <c r="G960" s="7"/>
    </row>
    <row r="961" spans="1:7" s="12" customFormat="1" ht="13.2" x14ac:dyDescent="0.25">
      <c r="A961" s="119" t="s">
        <v>2686</v>
      </c>
      <c r="B961" s="121" t="s">
        <v>2669</v>
      </c>
      <c r="C961" s="100" t="s">
        <v>1302</v>
      </c>
      <c r="D961" s="150">
        <v>0</v>
      </c>
      <c r="E961" s="13">
        <v>0</v>
      </c>
      <c r="F961" s="43">
        <f t="shared" si="37"/>
        <v>0</v>
      </c>
      <c r="G961" s="7"/>
    </row>
    <row r="962" spans="1:7" s="12" customFormat="1" ht="13.2" x14ac:dyDescent="0.25">
      <c r="A962" s="119" t="s">
        <v>2690</v>
      </c>
      <c r="B962" s="121" t="s">
        <v>2670</v>
      </c>
      <c r="C962" s="100" t="s">
        <v>13</v>
      </c>
      <c r="D962" s="150">
        <v>10</v>
      </c>
      <c r="E962" s="13">
        <v>0</v>
      </c>
      <c r="F962" s="43">
        <f t="shared" si="37"/>
        <v>0</v>
      </c>
      <c r="G962" s="7"/>
    </row>
    <row r="963" spans="1:7" s="12" customFormat="1" ht="13.2" x14ac:dyDescent="0.25">
      <c r="A963" s="119" t="s">
        <v>2691</v>
      </c>
      <c r="B963" s="121" t="s">
        <v>2671</v>
      </c>
      <c r="C963" s="100" t="s">
        <v>13</v>
      </c>
      <c r="D963" s="150">
        <v>0</v>
      </c>
      <c r="E963" s="13">
        <v>0</v>
      </c>
      <c r="F963" s="43">
        <f t="shared" si="37"/>
        <v>0</v>
      </c>
      <c r="G963" s="7"/>
    </row>
    <row r="964" spans="1:7" s="12" customFormat="1" ht="13.2" x14ac:dyDescent="0.25">
      <c r="A964" s="119" t="s">
        <v>2692</v>
      </c>
      <c r="B964" s="121" t="s">
        <v>2672</v>
      </c>
      <c r="C964" s="100" t="s">
        <v>13</v>
      </c>
      <c r="D964" s="150">
        <v>1</v>
      </c>
      <c r="E964" s="13">
        <v>0</v>
      </c>
      <c r="F964" s="43">
        <f t="shared" si="37"/>
        <v>0</v>
      </c>
      <c r="G964" s="7"/>
    </row>
    <row r="965" spans="1:7" s="12" customFormat="1" ht="13.2" x14ac:dyDescent="0.25">
      <c r="A965" s="119" t="s">
        <v>2740</v>
      </c>
      <c r="B965" s="121" t="s">
        <v>3112</v>
      </c>
      <c r="C965" s="101"/>
      <c r="D965" s="155"/>
      <c r="E965" s="13"/>
      <c r="F965" s="43"/>
      <c r="G965" s="7"/>
    </row>
    <row r="966" spans="1:7" s="12" customFormat="1" ht="13.2" x14ac:dyDescent="0.25">
      <c r="A966" s="119" t="s">
        <v>2741</v>
      </c>
      <c r="B966" s="121" t="s">
        <v>2763</v>
      </c>
      <c r="C966" s="100" t="s">
        <v>13</v>
      </c>
      <c r="D966" s="150">
        <v>0</v>
      </c>
      <c r="E966" s="13">
        <v>0</v>
      </c>
      <c r="F966" s="43">
        <f t="shared" si="37"/>
        <v>0</v>
      </c>
      <c r="G966" s="7"/>
    </row>
    <row r="967" spans="1:7" s="12" customFormat="1" ht="13.2" x14ac:dyDescent="0.25">
      <c r="A967" s="119" t="s">
        <v>2742</v>
      </c>
      <c r="B967" s="121" t="s">
        <v>2764</v>
      </c>
      <c r="C967" s="100" t="s">
        <v>13</v>
      </c>
      <c r="D967" s="150">
        <v>0</v>
      </c>
      <c r="E967" s="13">
        <v>0</v>
      </c>
      <c r="F967" s="43">
        <f t="shared" si="37"/>
        <v>0</v>
      </c>
      <c r="G967" s="7"/>
    </row>
    <row r="968" spans="1:7" s="12" customFormat="1" ht="13.2" x14ac:dyDescent="0.25">
      <c r="A968" s="119" t="s">
        <v>2743</v>
      </c>
      <c r="B968" s="121" t="s">
        <v>3055</v>
      </c>
      <c r="C968" s="101"/>
      <c r="D968" s="155"/>
      <c r="E968" s="13"/>
      <c r="F968" s="43"/>
      <c r="G968" s="7"/>
    </row>
    <row r="969" spans="1:7" s="12" customFormat="1" ht="13.2" x14ac:dyDescent="0.25">
      <c r="A969" s="119" t="s">
        <v>2744</v>
      </c>
      <c r="B969" s="121" t="s">
        <v>2763</v>
      </c>
      <c r="C969" s="100" t="s">
        <v>13</v>
      </c>
      <c r="D969" s="150">
        <v>0</v>
      </c>
      <c r="E969" s="13">
        <v>0</v>
      </c>
      <c r="F969" s="43">
        <f t="shared" si="37"/>
        <v>0</v>
      </c>
      <c r="G969" s="7"/>
    </row>
    <row r="970" spans="1:7" s="12" customFormat="1" ht="13.2" x14ac:dyDescent="0.25">
      <c r="A970" s="119" t="s">
        <v>2745</v>
      </c>
      <c r="B970" s="121" t="s">
        <v>2764</v>
      </c>
      <c r="C970" s="100" t="s">
        <v>13</v>
      </c>
      <c r="D970" s="150">
        <v>0</v>
      </c>
      <c r="E970" s="13">
        <v>0</v>
      </c>
      <c r="F970" s="43">
        <f t="shared" si="37"/>
        <v>0</v>
      </c>
      <c r="G970" s="7"/>
    </row>
    <row r="971" spans="1:7" s="12" customFormat="1" ht="13.2" x14ac:dyDescent="0.25">
      <c r="A971" s="119" t="s">
        <v>2746</v>
      </c>
      <c r="B971" s="121" t="s">
        <v>3056</v>
      </c>
      <c r="C971" s="101"/>
      <c r="D971" s="155"/>
      <c r="E971" s="13"/>
      <c r="F971" s="43"/>
      <c r="G971" s="7"/>
    </row>
    <row r="972" spans="1:7" s="12" customFormat="1" ht="13.2" x14ac:dyDescent="0.25">
      <c r="A972" s="119" t="s">
        <v>2747</v>
      </c>
      <c r="B972" s="121" t="s">
        <v>2763</v>
      </c>
      <c r="C972" s="100" t="s">
        <v>13</v>
      </c>
      <c r="D972" s="150">
        <v>0</v>
      </c>
      <c r="E972" s="13">
        <v>0</v>
      </c>
      <c r="F972" s="43">
        <f t="shared" si="37"/>
        <v>0</v>
      </c>
      <c r="G972" s="7"/>
    </row>
    <row r="973" spans="1:7" s="12" customFormat="1" ht="13.2" x14ac:dyDescent="0.25">
      <c r="A973" s="119" t="s">
        <v>2748</v>
      </c>
      <c r="B973" s="121" t="s">
        <v>2764</v>
      </c>
      <c r="C973" s="100" t="s">
        <v>13</v>
      </c>
      <c r="D973" s="150">
        <v>0</v>
      </c>
      <c r="E973" s="13">
        <v>0</v>
      </c>
      <c r="F973" s="43">
        <f t="shared" si="37"/>
        <v>0</v>
      </c>
      <c r="G973" s="7"/>
    </row>
    <row r="974" spans="1:7" s="12" customFormat="1" ht="13.2" x14ac:dyDescent="0.25">
      <c r="A974" s="119" t="s">
        <v>2749</v>
      </c>
      <c r="B974" s="121" t="s">
        <v>2673</v>
      </c>
      <c r="C974" s="100" t="s">
        <v>13</v>
      </c>
      <c r="D974" s="150">
        <v>0</v>
      </c>
      <c r="E974" s="13">
        <v>0</v>
      </c>
      <c r="F974" s="43">
        <f t="shared" si="37"/>
        <v>0</v>
      </c>
      <c r="G974" s="7"/>
    </row>
    <row r="975" spans="1:7" s="12" customFormat="1" ht="13.2" x14ac:dyDescent="0.25">
      <c r="A975" s="119" t="s">
        <v>2756</v>
      </c>
      <c r="B975" s="121" t="s">
        <v>2680</v>
      </c>
      <c r="C975" s="101"/>
      <c r="D975" s="155"/>
      <c r="E975" s="13"/>
      <c r="F975" s="43"/>
      <c r="G975" s="7"/>
    </row>
    <row r="976" spans="1:7" s="12" customFormat="1" ht="13.2" x14ac:dyDescent="0.25">
      <c r="A976" s="119" t="s">
        <v>2750</v>
      </c>
      <c r="B976" s="121" t="s">
        <v>2891</v>
      </c>
      <c r="C976" s="100" t="s">
        <v>13</v>
      </c>
      <c r="D976" s="150">
        <v>20</v>
      </c>
      <c r="E976" s="13">
        <v>0</v>
      </c>
      <c r="F976" s="43">
        <f t="shared" si="37"/>
        <v>0</v>
      </c>
      <c r="G976" s="7"/>
    </row>
    <row r="977" spans="1:7" s="12" customFormat="1" ht="13.2" x14ac:dyDescent="0.25">
      <c r="A977" s="119" t="s">
        <v>2751</v>
      </c>
      <c r="B977" s="121" t="s">
        <v>2892</v>
      </c>
      <c r="C977" s="100" t="s">
        <v>13</v>
      </c>
      <c r="D977" s="150">
        <v>0</v>
      </c>
      <c r="E977" s="13">
        <v>0</v>
      </c>
      <c r="F977" s="43">
        <f t="shared" si="37"/>
        <v>0</v>
      </c>
      <c r="G977" s="7"/>
    </row>
    <row r="978" spans="1:7" s="12" customFormat="1" ht="26.4" x14ac:dyDescent="0.25">
      <c r="A978" s="119" t="s">
        <v>2752</v>
      </c>
      <c r="B978" s="121" t="s">
        <v>2893</v>
      </c>
      <c r="C978" s="100" t="s">
        <v>13</v>
      </c>
      <c r="D978" s="150">
        <v>0</v>
      </c>
      <c r="E978" s="13">
        <v>0</v>
      </c>
      <c r="F978" s="43">
        <f t="shared" si="37"/>
        <v>0</v>
      </c>
      <c r="G978" s="7"/>
    </row>
    <row r="979" spans="1:7" s="12" customFormat="1" ht="13.2" x14ac:dyDescent="0.25">
      <c r="A979" s="119" t="s">
        <v>2753</v>
      </c>
      <c r="B979" s="121" t="s">
        <v>2681</v>
      </c>
      <c r="C979" s="100" t="s">
        <v>13</v>
      </c>
      <c r="D979" s="150">
        <v>0</v>
      </c>
      <c r="E979" s="13">
        <v>0</v>
      </c>
      <c r="F979" s="43">
        <f t="shared" si="37"/>
        <v>0</v>
      </c>
      <c r="G979" s="7"/>
    </row>
    <row r="980" spans="1:7" s="12" customFormat="1" ht="13.2" x14ac:dyDescent="0.25">
      <c r="A980" s="119" t="s">
        <v>2754</v>
      </c>
      <c r="B980" s="121" t="s">
        <v>2682</v>
      </c>
      <c r="C980" s="100" t="s">
        <v>13</v>
      </c>
      <c r="D980" s="150">
        <v>0</v>
      </c>
      <c r="E980" s="13">
        <v>0</v>
      </c>
      <c r="F980" s="43">
        <f t="shared" si="37"/>
        <v>0</v>
      </c>
      <c r="G980" s="7"/>
    </row>
    <row r="981" spans="1:7" s="12" customFormat="1" ht="13.2" x14ac:dyDescent="0.25">
      <c r="A981" s="119" t="s">
        <v>2755</v>
      </c>
      <c r="B981" s="120" t="s">
        <v>2775</v>
      </c>
      <c r="C981" s="100" t="s">
        <v>13</v>
      </c>
      <c r="D981" s="150">
        <v>0</v>
      </c>
      <c r="E981" s="13">
        <v>0</v>
      </c>
      <c r="F981" s="43">
        <f t="shared" si="37"/>
        <v>0</v>
      </c>
      <c r="G981" s="7"/>
    </row>
    <row r="982" spans="1:7" s="12" customFormat="1" ht="13.2" x14ac:dyDescent="0.25">
      <c r="A982" s="119" t="s">
        <v>3116</v>
      </c>
      <c r="B982" s="120" t="s">
        <v>2774</v>
      </c>
      <c r="C982" s="101"/>
      <c r="D982" s="155"/>
      <c r="E982" s="13"/>
      <c r="F982" s="43"/>
      <c r="G982" s="7"/>
    </row>
    <row r="983" spans="1:7" s="12" customFormat="1" ht="13.2" x14ac:dyDescent="0.25">
      <c r="A983" s="119" t="s">
        <v>3113</v>
      </c>
      <c r="B983" s="120" t="s">
        <v>2765</v>
      </c>
      <c r="C983" s="100" t="s">
        <v>13</v>
      </c>
      <c r="D983" s="150">
        <v>0</v>
      </c>
      <c r="E983" s="13">
        <v>0</v>
      </c>
      <c r="F983" s="43">
        <f t="shared" si="37"/>
        <v>0</v>
      </c>
      <c r="G983" s="7"/>
    </row>
    <row r="984" spans="1:7" s="12" customFormat="1" ht="13.2" x14ac:dyDescent="0.25">
      <c r="A984" s="119" t="s">
        <v>3114</v>
      </c>
      <c r="B984" s="120" t="s">
        <v>2766</v>
      </c>
      <c r="C984" s="100" t="s">
        <v>13</v>
      </c>
      <c r="D984" s="150">
        <v>5</v>
      </c>
      <c r="E984" s="13">
        <v>0</v>
      </c>
      <c r="F984" s="43">
        <f t="shared" si="37"/>
        <v>0</v>
      </c>
      <c r="G984" s="7"/>
    </row>
    <row r="985" spans="1:7" s="12" customFormat="1" ht="13.2" x14ac:dyDescent="0.25">
      <c r="A985" s="119" t="s">
        <v>3115</v>
      </c>
      <c r="B985" s="120" t="s">
        <v>2767</v>
      </c>
      <c r="C985" s="100" t="s">
        <v>13</v>
      </c>
      <c r="D985" s="150">
        <v>0</v>
      </c>
      <c r="E985" s="13">
        <v>0</v>
      </c>
      <c r="F985" s="43">
        <f t="shared" si="37"/>
        <v>0</v>
      </c>
      <c r="G985" s="7"/>
    </row>
    <row r="986" spans="1:7" s="12" customFormat="1" ht="13.2" x14ac:dyDescent="0.25">
      <c r="A986" s="119" t="s">
        <v>2757</v>
      </c>
      <c r="B986" s="120" t="s">
        <v>2768</v>
      </c>
      <c r="C986" s="100" t="s">
        <v>13</v>
      </c>
      <c r="D986" s="150">
        <v>0</v>
      </c>
      <c r="E986" s="13">
        <v>0</v>
      </c>
      <c r="F986" s="43">
        <f t="shared" si="37"/>
        <v>0</v>
      </c>
      <c r="G986" s="7"/>
    </row>
    <row r="987" spans="1:7" s="12" customFormat="1" ht="13.2" x14ac:dyDescent="0.25">
      <c r="A987" s="119" t="s">
        <v>2758</v>
      </c>
      <c r="B987" s="120" t="s">
        <v>2769</v>
      </c>
      <c r="C987" s="100" t="s">
        <v>13</v>
      </c>
      <c r="D987" s="150">
        <v>0</v>
      </c>
      <c r="E987" s="13">
        <v>0</v>
      </c>
      <c r="F987" s="43">
        <f t="shared" si="37"/>
        <v>0</v>
      </c>
      <c r="G987" s="7"/>
    </row>
    <row r="988" spans="1:7" s="12" customFormat="1" ht="13.2" x14ac:dyDescent="0.25">
      <c r="A988" s="119" t="s">
        <v>2759</v>
      </c>
      <c r="B988" s="120" t="s">
        <v>2683</v>
      </c>
      <c r="C988" s="100" t="s">
        <v>13</v>
      </c>
      <c r="D988" s="150">
        <v>0</v>
      </c>
      <c r="E988" s="13">
        <v>0</v>
      </c>
      <c r="F988" s="43">
        <f t="shared" ref="F988:F1046" si="38">D988*E988</f>
        <v>0</v>
      </c>
      <c r="G988" s="7"/>
    </row>
    <row r="989" spans="1:7" s="12" customFormat="1" ht="13.2" x14ac:dyDescent="0.25">
      <c r="A989" s="119" t="s">
        <v>2760</v>
      </c>
      <c r="B989" s="120" t="s">
        <v>2684</v>
      </c>
      <c r="C989" s="100" t="s">
        <v>13</v>
      </c>
      <c r="D989" s="150">
        <v>0</v>
      </c>
      <c r="E989" s="13">
        <v>0</v>
      </c>
      <c r="F989" s="43">
        <f t="shared" si="38"/>
        <v>0</v>
      </c>
      <c r="G989" s="7"/>
    </row>
    <row r="990" spans="1:7" s="12" customFormat="1" ht="13.2" x14ac:dyDescent="0.25">
      <c r="A990" s="119" t="s">
        <v>2761</v>
      </c>
      <c r="B990" s="120" t="s">
        <v>2685</v>
      </c>
      <c r="C990" s="100" t="s">
        <v>13</v>
      </c>
      <c r="D990" s="150">
        <v>0</v>
      </c>
      <c r="E990" s="13">
        <v>0</v>
      </c>
      <c r="F990" s="43">
        <f t="shared" si="38"/>
        <v>0</v>
      </c>
      <c r="G990" s="7"/>
    </row>
    <row r="991" spans="1:7" s="12" customFormat="1" ht="26.4" x14ac:dyDescent="0.25">
      <c r="A991" s="119" t="s">
        <v>2762</v>
      </c>
      <c r="B991" s="120" t="s">
        <v>3007</v>
      </c>
      <c r="C991" s="100" t="s">
        <v>13</v>
      </c>
      <c r="D991" s="150">
        <v>0</v>
      </c>
      <c r="E991" s="13">
        <v>0</v>
      </c>
      <c r="F991" s="43">
        <f t="shared" si="38"/>
        <v>0</v>
      </c>
      <c r="G991" s="7"/>
    </row>
    <row r="992" spans="1:7" s="12" customFormat="1" ht="13.2" x14ac:dyDescent="0.25">
      <c r="A992" s="119" t="s">
        <v>3107</v>
      </c>
      <c r="B992" s="120" t="s">
        <v>2687</v>
      </c>
      <c r="C992" s="101"/>
      <c r="D992" s="155"/>
      <c r="E992" s="13"/>
      <c r="F992" s="43"/>
      <c r="G992" s="7"/>
    </row>
    <row r="993" spans="1:7" s="12" customFormat="1" ht="13.2" x14ac:dyDescent="0.25">
      <c r="A993" s="119" t="s">
        <v>3108</v>
      </c>
      <c r="B993" s="120" t="s">
        <v>2770</v>
      </c>
      <c r="C993" s="100" t="s">
        <v>1302</v>
      </c>
      <c r="D993" s="150">
        <v>0</v>
      </c>
      <c r="E993" s="13">
        <v>0</v>
      </c>
      <c r="F993" s="43">
        <f t="shared" si="38"/>
        <v>0</v>
      </c>
      <c r="G993" s="7"/>
    </row>
    <row r="994" spans="1:7" s="12" customFormat="1" ht="13.2" x14ac:dyDescent="0.25">
      <c r="A994" s="119" t="s">
        <v>3109</v>
      </c>
      <c r="B994" s="120" t="s">
        <v>2771</v>
      </c>
      <c r="C994" s="100" t="s">
        <v>1302</v>
      </c>
      <c r="D994" s="150">
        <v>0</v>
      </c>
      <c r="E994" s="13">
        <v>0</v>
      </c>
      <c r="F994" s="43">
        <f t="shared" si="38"/>
        <v>0</v>
      </c>
      <c r="G994" s="7"/>
    </row>
    <row r="995" spans="1:7" s="12" customFormat="1" ht="13.2" x14ac:dyDescent="0.25">
      <c r="A995" s="119" t="s">
        <v>3110</v>
      </c>
      <c r="B995" s="120" t="s">
        <v>2772</v>
      </c>
      <c r="C995" s="100" t="s">
        <v>1302</v>
      </c>
      <c r="D995" s="150">
        <v>0</v>
      </c>
      <c r="E995" s="13">
        <v>0</v>
      </c>
      <c r="F995" s="43">
        <f t="shared" si="38"/>
        <v>0</v>
      </c>
      <c r="G995" s="7"/>
    </row>
    <row r="996" spans="1:7" s="12" customFormat="1" ht="13.2" x14ac:dyDescent="0.25">
      <c r="A996" s="119" t="s">
        <v>3111</v>
      </c>
      <c r="B996" s="120" t="s">
        <v>2773</v>
      </c>
      <c r="C996" s="100" t="s">
        <v>1302</v>
      </c>
      <c r="D996" s="150">
        <v>0</v>
      </c>
      <c r="E996" s="13">
        <v>0</v>
      </c>
      <c r="F996" s="43">
        <f t="shared" si="38"/>
        <v>0</v>
      </c>
      <c r="G996" s="7"/>
    </row>
    <row r="997" spans="1:7" s="12" customFormat="1" ht="13.2" x14ac:dyDescent="0.25">
      <c r="A997" s="34" t="s">
        <v>2694</v>
      </c>
      <c r="B997" s="33" t="s">
        <v>2688</v>
      </c>
      <c r="C997" s="101"/>
      <c r="D997" s="155"/>
      <c r="E997" s="13"/>
      <c r="F997" s="43"/>
      <c r="G997" s="7"/>
    </row>
    <row r="998" spans="1:7" s="12" customFormat="1" ht="13.2" x14ac:dyDescent="0.25">
      <c r="A998" s="119" t="s">
        <v>997</v>
      </c>
      <c r="B998" s="121" t="s">
        <v>2689</v>
      </c>
      <c r="C998" s="100" t="s">
        <v>1302</v>
      </c>
      <c r="D998" s="150">
        <v>0</v>
      </c>
      <c r="E998" s="13">
        <v>0</v>
      </c>
      <c r="F998" s="43">
        <f t="shared" si="38"/>
        <v>0</v>
      </c>
      <c r="G998" s="7"/>
    </row>
    <row r="999" spans="1:7" s="12" customFormat="1" ht="13.2" x14ac:dyDescent="0.25">
      <c r="A999" s="119" t="s">
        <v>998</v>
      </c>
      <c r="B999" s="121" t="s">
        <v>1612</v>
      </c>
      <c r="C999" s="100" t="s">
        <v>1302</v>
      </c>
      <c r="D999" s="150">
        <v>0</v>
      </c>
      <c r="E999" s="13">
        <v>0</v>
      </c>
      <c r="F999" s="43">
        <f t="shared" si="38"/>
        <v>0</v>
      </c>
      <c r="G999" s="7"/>
    </row>
    <row r="1000" spans="1:7" s="12" customFormat="1" ht="13.2" x14ac:dyDescent="0.25">
      <c r="A1000" s="119" t="s">
        <v>999</v>
      </c>
      <c r="B1000" s="121" t="s">
        <v>1613</v>
      </c>
      <c r="C1000" s="100" t="s">
        <v>13</v>
      </c>
      <c r="D1000" s="150">
        <v>0</v>
      </c>
      <c r="E1000" s="13">
        <v>0</v>
      </c>
      <c r="F1000" s="43">
        <f t="shared" si="38"/>
        <v>0</v>
      </c>
      <c r="G1000" s="7"/>
    </row>
    <row r="1001" spans="1:7" s="12" customFormat="1" ht="13.2" x14ac:dyDescent="0.25">
      <c r="A1001" s="119" t="s">
        <v>1000</v>
      </c>
      <c r="B1001" s="121" t="s">
        <v>1617</v>
      </c>
      <c r="C1001" s="100" t="s">
        <v>13</v>
      </c>
      <c r="D1001" s="150">
        <v>0</v>
      </c>
      <c r="E1001" s="13">
        <v>0</v>
      </c>
      <c r="F1001" s="43">
        <f t="shared" si="38"/>
        <v>0</v>
      </c>
      <c r="G1001" s="7"/>
    </row>
    <row r="1002" spans="1:7" s="12" customFormat="1" ht="13.2" x14ac:dyDescent="0.25">
      <c r="A1002" s="119" t="s">
        <v>2900</v>
      </c>
      <c r="B1002" s="121" t="s">
        <v>1551</v>
      </c>
      <c r="C1002" s="100" t="s">
        <v>13</v>
      </c>
      <c r="D1002" s="150">
        <v>0</v>
      </c>
      <c r="E1002" s="13">
        <v>0</v>
      </c>
      <c r="F1002" s="43">
        <f t="shared" si="38"/>
        <v>0</v>
      </c>
      <c r="G1002" s="7"/>
    </row>
    <row r="1003" spans="1:7" s="12" customFormat="1" ht="13.2" x14ac:dyDescent="0.25">
      <c r="A1003" s="119" t="s">
        <v>2901</v>
      </c>
      <c r="B1003" s="121" t="s">
        <v>1618</v>
      </c>
      <c r="C1003" s="100" t="s">
        <v>13</v>
      </c>
      <c r="D1003" s="150">
        <v>0</v>
      </c>
      <c r="E1003" s="13">
        <v>0</v>
      </c>
      <c r="F1003" s="43">
        <f t="shared" si="38"/>
        <v>0</v>
      </c>
      <c r="G1003" s="7"/>
    </row>
    <row r="1004" spans="1:7" s="12" customFormat="1" ht="13.2" x14ac:dyDescent="0.25">
      <c r="A1004" s="34" t="s">
        <v>2727</v>
      </c>
      <c r="B1004" s="33" t="s">
        <v>2693</v>
      </c>
      <c r="C1004" s="101"/>
      <c r="D1004" s="155"/>
      <c r="E1004" s="13"/>
      <c r="F1004" s="43"/>
      <c r="G1004" s="7"/>
    </row>
    <row r="1005" spans="1:7" s="12" customFormat="1" ht="13.2" x14ac:dyDescent="0.25">
      <c r="A1005" s="119" t="s">
        <v>1001</v>
      </c>
      <c r="B1005" s="120" t="s">
        <v>3117</v>
      </c>
      <c r="C1005" s="101"/>
      <c r="D1005" s="155"/>
      <c r="E1005" s="13"/>
      <c r="F1005" s="43"/>
      <c r="G1005" s="7"/>
    </row>
    <row r="1006" spans="1:7" s="12" customFormat="1" ht="13.2" x14ac:dyDescent="0.25">
      <c r="A1006" s="119" t="s">
        <v>2728</v>
      </c>
      <c r="B1006" s="120" t="s">
        <v>2894</v>
      </c>
      <c r="C1006" s="100" t="s">
        <v>13</v>
      </c>
      <c r="D1006" s="150">
        <v>0</v>
      </c>
      <c r="E1006" s="13">
        <v>0</v>
      </c>
      <c r="F1006" s="43">
        <f t="shared" si="38"/>
        <v>0</v>
      </c>
      <c r="G1006" s="7"/>
    </row>
    <row r="1007" spans="1:7" s="12" customFormat="1" ht="13.2" x14ac:dyDescent="0.25">
      <c r="A1007" s="119" t="s">
        <v>2729</v>
      </c>
      <c r="B1007" s="120" t="s">
        <v>2895</v>
      </c>
      <c r="C1007" s="100" t="s">
        <v>13</v>
      </c>
      <c r="D1007" s="150">
        <v>0</v>
      </c>
      <c r="E1007" s="13">
        <v>0</v>
      </c>
      <c r="F1007" s="43">
        <f t="shared" si="38"/>
        <v>0</v>
      </c>
      <c r="G1007" s="7"/>
    </row>
    <row r="1008" spans="1:7" s="12" customFormat="1" ht="13.2" x14ac:dyDescent="0.25">
      <c r="A1008" s="119" t="s">
        <v>1002</v>
      </c>
      <c r="B1008" s="120" t="s">
        <v>3092</v>
      </c>
      <c r="C1008" s="101"/>
      <c r="D1008" s="155"/>
      <c r="E1008" s="13"/>
      <c r="F1008" s="43"/>
      <c r="G1008" s="7"/>
    </row>
    <row r="1009" spans="1:7" s="12" customFormat="1" ht="13.2" x14ac:dyDescent="0.25">
      <c r="A1009" s="119" t="s">
        <v>2730</v>
      </c>
      <c r="B1009" s="120" t="s">
        <v>2695</v>
      </c>
      <c r="C1009" s="101"/>
      <c r="D1009" s="155"/>
      <c r="E1009" s="13"/>
      <c r="F1009" s="43"/>
      <c r="G1009" s="7"/>
    </row>
    <row r="1010" spans="1:7" s="12" customFormat="1" ht="13.2" x14ac:dyDescent="0.25">
      <c r="A1010" s="119" t="s">
        <v>2902</v>
      </c>
      <c r="B1010" s="120" t="s">
        <v>2696</v>
      </c>
      <c r="C1010" s="100" t="s">
        <v>13</v>
      </c>
      <c r="D1010" s="150">
        <v>0</v>
      </c>
      <c r="E1010" s="13">
        <v>0</v>
      </c>
      <c r="F1010" s="43">
        <f t="shared" si="38"/>
        <v>0</v>
      </c>
      <c r="G1010" s="7"/>
    </row>
    <row r="1011" spans="1:7" s="12" customFormat="1" ht="13.2" x14ac:dyDescent="0.25">
      <c r="A1011" s="119" t="s">
        <v>2903</v>
      </c>
      <c r="B1011" s="120" t="s">
        <v>2697</v>
      </c>
      <c r="C1011" s="100" t="s">
        <v>13</v>
      </c>
      <c r="D1011" s="150">
        <v>0</v>
      </c>
      <c r="E1011" s="13">
        <v>0</v>
      </c>
      <c r="F1011" s="43">
        <f t="shared" si="38"/>
        <v>0</v>
      </c>
      <c r="G1011" s="7"/>
    </row>
    <row r="1012" spans="1:7" s="12" customFormat="1" ht="13.2" x14ac:dyDescent="0.25">
      <c r="A1012" s="119" t="s">
        <v>2904</v>
      </c>
      <c r="B1012" s="120" t="s">
        <v>2698</v>
      </c>
      <c r="C1012" s="100" t="s">
        <v>13</v>
      </c>
      <c r="D1012" s="150">
        <v>7</v>
      </c>
      <c r="E1012" s="13">
        <v>0</v>
      </c>
      <c r="F1012" s="43">
        <f t="shared" si="38"/>
        <v>0</v>
      </c>
      <c r="G1012" s="7"/>
    </row>
    <row r="1013" spans="1:7" s="12" customFormat="1" ht="13.2" x14ac:dyDescent="0.25">
      <c r="A1013" s="119" t="s">
        <v>2905</v>
      </c>
      <c r="B1013" s="120" t="s">
        <v>2699</v>
      </c>
      <c r="C1013" s="100" t="s">
        <v>13</v>
      </c>
      <c r="D1013" s="150">
        <v>0</v>
      </c>
      <c r="E1013" s="13">
        <v>0</v>
      </c>
      <c r="F1013" s="43">
        <f t="shared" si="38"/>
        <v>0</v>
      </c>
      <c r="G1013" s="7"/>
    </row>
    <row r="1014" spans="1:7" s="12" customFormat="1" ht="13.2" x14ac:dyDescent="0.25">
      <c r="A1014" s="119" t="s">
        <v>2906</v>
      </c>
      <c r="B1014" s="120" t="s">
        <v>2700</v>
      </c>
      <c r="C1014" s="100" t="s">
        <v>13</v>
      </c>
      <c r="D1014" s="150">
        <v>0</v>
      </c>
      <c r="E1014" s="13">
        <v>0</v>
      </c>
      <c r="F1014" s="43">
        <f t="shared" si="38"/>
        <v>0</v>
      </c>
      <c r="G1014" s="7"/>
    </row>
    <row r="1015" spans="1:7" s="12" customFormat="1" ht="13.2" x14ac:dyDescent="0.25">
      <c r="A1015" s="119" t="s">
        <v>2907</v>
      </c>
      <c r="B1015" s="120" t="s">
        <v>2701</v>
      </c>
      <c r="C1015" s="100" t="s">
        <v>13</v>
      </c>
      <c r="D1015" s="150">
        <v>0</v>
      </c>
      <c r="E1015" s="13">
        <v>0</v>
      </c>
      <c r="F1015" s="43">
        <f t="shared" si="38"/>
        <v>0</v>
      </c>
      <c r="G1015" s="7"/>
    </row>
    <row r="1016" spans="1:7" s="12" customFormat="1" ht="13.2" x14ac:dyDescent="0.25">
      <c r="A1016" s="119" t="s">
        <v>2908</v>
      </c>
      <c r="B1016" s="120" t="s">
        <v>2702</v>
      </c>
      <c r="C1016" s="100" t="s">
        <v>13</v>
      </c>
      <c r="D1016" s="150">
        <v>0</v>
      </c>
      <c r="E1016" s="13">
        <v>0</v>
      </c>
      <c r="F1016" s="43">
        <f t="shared" si="38"/>
        <v>0</v>
      </c>
      <c r="G1016" s="7"/>
    </row>
    <row r="1017" spans="1:7" s="12" customFormat="1" ht="13.2" x14ac:dyDescent="0.25">
      <c r="A1017" s="119" t="s">
        <v>2909</v>
      </c>
      <c r="B1017" s="120" t="s">
        <v>2703</v>
      </c>
      <c r="C1017" s="100" t="s">
        <v>13</v>
      </c>
      <c r="D1017" s="150">
        <v>0</v>
      </c>
      <c r="E1017" s="13">
        <v>0</v>
      </c>
      <c r="F1017" s="43">
        <f t="shared" si="38"/>
        <v>0</v>
      </c>
      <c r="G1017" s="7"/>
    </row>
    <row r="1018" spans="1:7" s="12" customFormat="1" ht="13.2" x14ac:dyDescent="0.25">
      <c r="A1018" s="119" t="s">
        <v>2921</v>
      </c>
      <c r="B1018" s="120" t="s">
        <v>2710</v>
      </c>
      <c r="C1018" s="100" t="s">
        <v>13</v>
      </c>
      <c r="D1018" s="150">
        <v>0</v>
      </c>
      <c r="E1018" s="13">
        <v>0</v>
      </c>
      <c r="F1018" s="43">
        <f t="shared" si="38"/>
        <v>0</v>
      </c>
      <c r="G1018" s="7"/>
    </row>
    <row r="1019" spans="1:7" s="12" customFormat="1" ht="13.2" x14ac:dyDescent="0.25">
      <c r="A1019" s="119" t="s">
        <v>2731</v>
      </c>
      <c r="B1019" s="120" t="s">
        <v>2704</v>
      </c>
      <c r="C1019" s="101"/>
      <c r="D1019" s="155"/>
      <c r="E1019" s="13"/>
      <c r="F1019" s="43"/>
      <c r="G1019" s="7"/>
    </row>
    <row r="1020" spans="1:7" s="12" customFormat="1" ht="13.2" x14ac:dyDescent="0.25">
      <c r="A1020" s="119" t="s">
        <v>2910</v>
      </c>
      <c r="B1020" s="120" t="s">
        <v>2705</v>
      </c>
      <c r="C1020" s="100" t="s">
        <v>13</v>
      </c>
      <c r="D1020" s="150">
        <v>0</v>
      </c>
      <c r="E1020" s="13">
        <v>0</v>
      </c>
      <c r="F1020" s="43">
        <f t="shared" si="38"/>
        <v>0</v>
      </c>
      <c r="G1020" s="7"/>
    </row>
    <row r="1021" spans="1:7" s="12" customFormat="1" ht="13.2" x14ac:dyDescent="0.25">
      <c r="A1021" s="119" t="s">
        <v>2911</v>
      </c>
      <c r="B1021" s="120" t="s">
        <v>2706</v>
      </c>
      <c r="C1021" s="100" t="s">
        <v>13</v>
      </c>
      <c r="D1021" s="150">
        <v>0</v>
      </c>
      <c r="E1021" s="13">
        <v>0</v>
      </c>
      <c r="F1021" s="43">
        <f t="shared" si="38"/>
        <v>0</v>
      </c>
      <c r="G1021" s="7"/>
    </row>
    <row r="1022" spans="1:7" s="12" customFormat="1" ht="13.2" x14ac:dyDescent="0.25">
      <c r="A1022" s="119" t="s">
        <v>2912</v>
      </c>
      <c r="B1022" s="120" t="s">
        <v>2707</v>
      </c>
      <c r="C1022" s="100" t="s">
        <v>13</v>
      </c>
      <c r="D1022" s="150">
        <v>0</v>
      </c>
      <c r="E1022" s="13">
        <v>0</v>
      </c>
      <c r="F1022" s="43">
        <f t="shared" si="38"/>
        <v>0</v>
      </c>
      <c r="G1022" s="7"/>
    </row>
    <row r="1023" spans="1:7" s="12" customFormat="1" ht="13.2" x14ac:dyDescent="0.25">
      <c r="A1023" s="119" t="s">
        <v>2913</v>
      </c>
      <c r="B1023" s="120" t="s">
        <v>3093</v>
      </c>
      <c r="C1023" s="101"/>
      <c r="D1023" s="155"/>
      <c r="E1023" s="13"/>
      <c r="F1023" s="43"/>
      <c r="G1023" s="7"/>
    </row>
    <row r="1024" spans="1:7" s="12" customFormat="1" ht="13.2" x14ac:dyDescent="0.25">
      <c r="A1024" s="119" t="s">
        <v>2914</v>
      </c>
      <c r="B1024" s="120" t="s">
        <v>2708</v>
      </c>
      <c r="C1024" s="100" t="s">
        <v>13</v>
      </c>
      <c r="D1024" s="150">
        <v>0</v>
      </c>
      <c r="E1024" s="13">
        <v>0</v>
      </c>
      <c r="F1024" s="43">
        <f t="shared" si="38"/>
        <v>0</v>
      </c>
      <c r="G1024" s="7"/>
    </row>
    <row r="1025" spans="1:7" s="12" customFormat="1" ht="13.2" x14ac:dyDescent="0.25">
      <c r="A1025" s="119" t="s">
        <v>2915</v>
      </c>
      <c r="B1025" s="120" t="s">
        <v>2709</v>
      </c>
      <c r="C1025" s="100" t="s">
        <v>13</v>
      </c>
      <c r="D1025" s="150">
        <v>0</v>
      </c>
      <c r="E1025" s="13">
        <v>0</v>
      </c>
      <c r="F1025" s="43">
        <f t="shared" si="38"/>
        <v>0</v>
      </c>
      <c r="G1025" s="7"/>
    </row>
    <row r="1026" spans="1:7" s="12" customFormat="1" ht="13.2" x14ac:dyDescent="0.25">
      <c r="A1026" s="119" t="s">
        <v>1003</v>
      </c>
      <c r="B1026" s="120" t="s">
        <v>3094</v>
      </c>
      <c r="C1026" s="101"/>
      <c r="D1026" s="155"/>
      <c r="E1026" s="13"/>
      <c r="F1026" s="43"/>
      <c r="G1026" s="7"/>
    </row>
    <row r="1027" spans="1:7" s="12" customFormat="1" ht="13.2" x14ac:dyDescent="0.25">
      <c r="A1027" s="119" t="s">
        <v>2732</v>
      </c>
      <c r="B1027" s="120" t="s">
        <v>2711</v>
      </c>
      <c r="C1027" s="101"/>
      <c r="D1027" s="155"/>
      <c r="E1027" s="13"/>
      <c r="F1027" s="43"/>
      <c r="G1027" s="7"/>
    </row>
    <row r="1028" spans="1:7" s="12" customFormat="1" ht="13.2" x14ac:dyDescent="0.25">
      <c r="A1028" s="119" t="s">
        <v>2916</v>
      </c>
      <c r="B1028" s="120" t="s">
        <v>2763</v>
      </c>
      <c r="C1028" s="100" t="s">
        <v>13</v>
      </c>
      <c r="D1028" s="150">
        <v>0</v>
      </c>
      <c r="E1028" s="13">
        <v>0</v>
      </c>
      <c r="F1028" s="43">
        <f t="shared" si="38"/>
        <v>0</v>
      </c>
      <c r="G1028" s="7"/>
    </row>
    <row r="1029" spans="1:7" s="12" customFormat="1" ht="13.2" x14ac:dyDescent="0.25">
      <c r="A1029" s="119" t="s">
        <v>2917</v>
      </c>
      <c r="B1029" s="120" t="s">
        <v>2764</v>
      </c>
      <c r="C1029" s="100" t="s">
        <v>13</v>
      </c>
      <c r="D1029" s="150">
        <v>1</v>
      </c>
      <c r="E1029" s="13">
        <v>0</v>
      </c>
      <c r="F1029" s="43">
        <f t="shared" si="38"/>
        <v>0</v>
      </c>
      <c r="G1029" s="7"/>
    </row>
    <row r="1030" spans="1:7" s="12" customFormat="1" ht="13.2" x14ac:dyDescent="0.25">
      <c r="A1030" s="119" t="s">
        <v>2733</v>
      </c>
      <c r="B1030" s="120" t="s">
        <v>2712</v>
      </c>
      <c r="C1030" s="100" t="s">
        <v>13</v>
      </c>
      <c r="D1030" s="150">
        <v>0</v>
      </c>
      <c r="E1030" s="13">
        <v>0</v>
      </c>
      <c r="F1030" s="43">
        <f t="shared" si="38"/>
        <v>0</v>
      </c>
      <c r="G1030" s="7"/>
    </row>
    <row r="1031" spans="1:7" s="12" customFormat="1" ht="13.2" x14ac:dyDescent="0.25">
      <c r="A1031" s="119" t="s">
        <v>2734</v>
      </c>
      <c r="B1031" s="120" t="s">
        <v>2896</v>
      </c>
      <c r="C1031" s="100" t="s">
        <v>13</v>
      </c>
      <c r="D1031" s="150">
        <v>0</v>
      </c>
      <c r="E1031" s="13">
        <v>0</v>
      </c>
      <c r="F1031" s="43">
        <f t="shared" si="38"/>
        <v>0</v>
      </c>
      <c r="G1031" s="7"/>
    </row>
    <row r="1032" spans="1:7" s="12" customFormat="1" ht="13.2" x14ac:dyDescent="0.25">
      <c r="A1032" s="119" t="s">
        <v>2735</v>
      </c>
      <c r="B1032" s="120" t="s">
        <v>2713</v>
      </c>
      <c r="C1032" s="100" t="s">
        <v>13</v>
      </c>
      <c r="D1032" s="150">
        <v>1</v>
      </c>
      <c r="E1032" s="13">
        <v>0</v>
      </c>
      <c r="F1032" s="43">
        <f t="shared" si="38"/>
        <v>0</v>
      </c>
      <c r="G1032" s="7"/>
    </row>
    <row r="1033" spans="1:7" s="12" customFormat="1" ht="13.2" x14ac:dyDescent="0.25">
      <c r="A1033" s="119" t="s">
        <v>2736</v>
      </c>
      <c r="B1033" s="120" t="s">
        <v>2714</v>
      </c>
      <c r="C1033" s="100" t="s">
        <v>13</v>
      </c>
      <c r="D1033" s="150">
        <v>2</v>
      </c>
      <c r="E1033" s="13">
        <v>0</v>
      </c>
      <c r="F1033" s="43">
        <f t="shared" si="38"/>
        <v>0</v>
      </c>
      <c r="G1033" s="7"/>
    </row>
    <row r="1034" spans="1:7" s="12" customFormat="1" ht="13.2" x14ac:dyDescent="0.25">
      <c r="A1034" s="119" t="s">
        <v>2737</v>
      </c>
      <c r="B1034" s="120" t="s">
        <v>2715</v>
      </c>
      <c r="C1034" s="100" t="s">
        <v>13</v>
      </c>
      <c r="D1034" s="150">
        <v>0</v>
      </c>
      <c r="E1034" s="13">
        <v>0</v>
      </c>
      <c r="F1034" s="43">
        <f t="shared" si="38"/>
        <v>0</v>
      </c>
      <c r="G1034" s="7"/>
    </row>
    <row r="1035" spans="1:7" s="12" customFormat="1" ht="13.2" x14ac:dyDescent="0.25">
      <c r="A1035" s="119" t="s">
        <v>1004</v>
      </c>
      <c r="B1035" s="120" t="s">
        <v>3095</v>
      </c>
      <c r="C1035" s="101"/>
      <c r="D1035" s="155"/>
      <c r="E1035" s="13"/>
      <c r="F1035" s="43"/>
      <c r="G1035" s="7"/>
    </row>
    <row r="1036" spans="1:7" s="12" customFormat="1" ht="13.2" x14ac:dyDescent="0.25">
      <c r="A1036" s="119" t="s">
        <v>2738</v>
      </c>
      <c r="B1036" s="120" t="s">
        <v>1548</v>
      </c>
      <c r="C1036" s="100" t="s">
        <v>13</v>
      </c>
      <c r="D1036" s="150">
        <v>16</v>
      </c>
      <c r="E1036" s="13">
        <v>0</v>
      </c>
      <c r="F1036" s="43">
        <f t="shared" si="38"/>
        <v>0</v>
      </c>
      <c r="G1036" s="7"/>
    </row>
    <row r="1037" spans="1:7" s="12" customFormat="1" ht="13.2" x14ac:dyDescent="0.25">
      <c r="A1037" s="119" t="s">
        <v>2739</v>
      </c>
      <c r="B1037" s="120" t="s">
        <v>1614</v>
      </c>
      <c r="C1037" s="100" t="s">
        <v>13</v>
      </c>
      <c r="D1037" s="150">
        <v>0</v>
      </c>
      <c r="E1037" s="13">
        <v>0</v>
      </c>
      <c r="F1037" s="43">
        <f t="shared" si="38"/>
        <v>0</v>
      </c>
      <c r="G1037" s="7"/>
    </row>
    <row r="1038" spans="1:7" s="12" customFormat="1" ht="13.2" x14ac:dyDescent="0.25">
      <c r="A1038" s="119" t="s">
        <v>2918</v>
      </c>
      <c r="B1038" s="120" t="s">
        <v>1615</v>
      </c>
      <c r="C1038" s="100" t="s">
        <v>13</v>
      </c>
      <c r="D1038" s="150">
        <v>0</v>
      </c>
      <c r="E1038" s="13">
        <v>0</v>
      </c>
      <c r="F1038" s="43">
        <f t="shared" si="38"/>
        <v>0</v>
      </c>
      <c r="G1038" s="7"/>
    </row>
    <row r="1039" spans="1:7" s="12" customFormat="1" ht="13.2" x14ac:dyDescent="0.25">
      <c r="A1039" s="119" t="s">
        <v>2919</v>
      </c>
      <c r="B1039" s="120" t="s">
        <v>1549</v>
      </c>
      <c r="C1039" s="100" t="s">
        <v>13</v>
      </c>
      <c r="D1039" s="150">
        <v>3</v>
      </c>
      <c r="E1039" s="13">
        <v>0</v>
      </c>
      <c r="F1039" s="43">
        <f t="shared" si="38"/>
        <v>0</v>
      </c>
      <c r="G1039" s="7"/>
    </row>
    <row r="1040" spans="1:7" s="12" customFormat="1" ht="13.2" x14ac:dyDescent="0.25">
      <c r="A1040" s="119" t="s">
        <v>2920</v>
      </c>
      <c r="B1040" s="120" t="s">
        <v>1550</v>
      </c>
      <c r="C1040" s="100" t="s">
        <v>13</v>
      </c>
      <c r="D1040" s="150">
        <v>0</v>
      </c>
      <c r="E1040" s="13">
        <v>0</v>
      </c>
      <c r="F1040" s="43">
        <f t="shared" si="38"/>
        <v>0</v>
      </c>
      <c r="G1040" s="7"/>
    </row>
    <row r="1041" spans="1:7" s="12" customFormat="1" ht="13.2" x14ac:dyDescent="0.25">
      <c r="A1041" s="34" t="s">
        <v>2922</v>
      </c>
      <c r="B1041" s="33" t="s">
        <v>3057</v>
      </c>
      <c r="C1041" s="101"/>
      <c r="D1041" s="155"/>
      <c r="E1041" s="13"/>
      <c r="F1041" s="43"/>
      <c r="G1041" s="7"/>
    </row>
    <row r="1042" spans="1:7" s="12" customFormat="1" ht="13.2" x14ac:dyDescent="0.25">
      <c r="A1042" s="119" t="s">
        <v>1059</v>
      </c>
      <c r="B1042" s="120" t="s">
        <v>3058</v>
      </c>
      <c r="C1042" s="101"/>
      <c r="D1042" s="155"/>
      <c r="E1042" s="13"/>
      <c r="F1042" s="43"/>
      <c r="G1042" s="7"/>
    </row>
    <row r="1043" spans="1:7" s="12" customFormat="1" ht="13.2" x14ac:dyDescent="0.25">
      <c r="A1043" s="119" t="s">
        <v>2923</v>
      </c>
      <c r="B1043" s="120" t="s">
        <v>3059</v>
      </c>
      <c r="C1043" s="100" t="s">
        <v>13</v>
      </c>
      <c r="D1043" s="150">
        <v>1</v>
      </c>
      <c r="E1043" s="13">
        <v>0</v>
      </c>
      <c r="F1043" s="43">
        <f t="shared" si="38"/>
        <v>0</v>
      </c>
      <c r="G1043" s="7"/>
    </row>
    <row r="1044" spans="1:7" s="12" customFormat="1" ht="13.2" x14ac:dyDescent="0.25">
      <c r="A1044" s="119" t="s">
        <v>2924</v>
      </c>
      <c r="B1044" s="120" t="s">
        <v>2716</v>
      </c>
      <c r="C1044" s="100" t="s">
        <v>13</v>
      </c>
      <c r="D1044" s="150">
        <v>5</v>
      </c>
      <c r="E1044" s="13">
        <v>0</v>
      </c>
      <c r="F1044" s="43">
        <f t="shared" si="38"/>
        <v>0</v>
      </c>
      <c r="G1044" s="7"/>
    </row>
    <row r="1045" spans="1:7" s="12" customFormat="1" ht="13.2" x14ac:dyDescent="0.25">
      <c r="A1045" s="119" t="s">
        <v>2925</v>
      </c>
      <c r="B1045" s="120" t="s">
        <v>2717</v>
      </c>
      <c r="C1045" s="100" t="s">
        <v>1302</v>
      </c>
      <c r="D1045" s="150">
        <v>0</v>
      </c>
      <c r="E1045" s="13">
        <v>0</v>
      </c>
      <c r="F1045" s="43">
        <f t="shared" si="38"/>
        <v>0</v>
      </c>
      <c r="G1045" s="7"/>
    </row>
    <row r="1046" spans="1:7" s="12" customFormat="1" ht="13.2" x14ac:dyDescent="0.25">
      <c r="A1046" s="119" t="s">
        <v>2926</v>
      </c>
      <c r="B1046" s="120" t="s">
        <v>2718</v>
      </c>
      <c r="C1046" s="100" t="s">
        <v>13</v>
      </c>
      <c r="D1046" s="150">
        <v>7</v>
      </c>
      <c r="E1046" s="13">
        <v>0</v>
      </c>
      <c r="F1046" s="43">
        <f t="shared" si="38"/>
        <v>0</v>
      </c>
      <c r="G1046" s="7"/>
    </row>
    <row r="1047" spans="1:7" s="12" customFormat="1" ht="13.2" x14ac:dyDescent="0.25">
      <c r="A1047" s="119" t="s">
        <v>1021</v>
      </c>
      <c r="B1047" s="120" t="s">
        <v>2961</v>
      </c>
      <c r="C1047" s="101"/>
      <c r="D1047" s="155"/>
      <c r="E1047" s="13"/>
      <c r="F1047" s="43"/>
      <c r="G1047" s="7"/>
    </row>
    <row r="1048" spans="1:7" s="12" customFormat="1" ht="13.2" x14ac:dyDescent="0.25">
      <c r="A1048" s="119" t="s">
        <v>2927</v>
      </c>
      <c r="B1048" s="120" t="s">
        <v>2719</v>
      </c>
      <c r="C1048" s="100" t="s">
        <v>13</v>
      </c>
      <c r="D1048" s="150">
        <v>0</v>
      </c>
      <c r="E1048" s="13">
        <v>0</v>
      </c>
      <c r="F1048" s="43">
        <f t="shared" ref="F1048:F1116" si="39">D1048*E1048</f>
        <v>0</v>
      </c>
      <c r="G1048" s="7"/>
    </row>
    <row r="1049" spans="1:7" s="12" customFormat="1" ht="13.2" x14ac:dyDescent="0.25">
      <c r="A1049" s="119" t="s">
        <v>2928</v>
      </c>
      <c r="B1049" s="120" t="s">
        <v>2720</v>
      </c>
      <c r="C1049" s="100" t="s">
        <v>13</v>
      </c>
      <c r="D1049" s="150">
        <v>0</v>
      </c>
      <c r="E1049" s="13">
        <v>0</v>
      </c>
      <c r="F1049" s="43">
        <f t="shared" si="39"/>
        <v>0</v>
      </c>
      <c r="G1049" s="7"/>
    </row>
    <row r="1050" spans="1:7" s="12" customFormat="1" ht="13.2" x14ac:dyDescent="0.25">
      <c r="A1050" s="119" t="s">
        <v>1022</v>
      </c>
      <c r="B1050" s="120" t="s">
        <v>1703</v>
      </c>
      <c r="C1050" s="101"/>
      <c r="D1050" s="155"/>
      <c r="E1050" s="13"/>
      <c r="F1050" s="43"/>
      <c r="G1050" s="7"/>
    </row>
    <row r="1051" spans="1:7" s="12" customFormat="1" ht="13.2" x14ac:dyDescent="0.25">
      <c r="A1051" s="119" t="s">
        <v>2929</v>
      </c>
      <c r="B1051" s="120" t="s">
        <v>1705</v>
      </c>
      <c r="C1051" s="100" t="s">
        <v>13</v>
      </c>
      <c r="D1051" s="150">
        <v>0</v>
      </c>
      <c r="E1051" s="13">
        <v>0</v>
      </c>
      <c r="F1051" s="43">
        <f t="shared" si="39"/>
        <v>0</v>
      </c>
      <c r="G1051" s="7"/>
    </row>
    <row r="1052" spans="1:7" s="12" customFormat="1" ht="13.2" x14ac:dyDescent="0.25">
      <c r="A1052" s="119" t="s">
        <v>2930</v>
      </c>
      <c r="B1052" s="120" t="s">
        <v>1706</v>
      </c>
      <c r="C1052" s="100" t="s">
        <v>13</v>
      </c>
      <c r="D1052" s="150">
        <v>0</v>
      </c>
      <c r="E1052" s="13">
        <v>0</v>
      </c>
      <c r="F1052" s="43">
        <f t="shared" si="39"/>
        <v>0</v>
      </c>
      <c r="G1052" s="7"/>
    </row>
    <row r="1053" spans="1:7" s="12" customFormat="1" ht="13.2" x14ac:dyDescent="0.25">
      <c r="A1053" s="119" t="s">
        <v>2931</v>
      </c>
      <c r="B1053" s="120" t="s">
        <v>1707</v>
      </c>
      <c r="C1053" s="100" t="s">
        <v>13</v>
      </c>
      <c r="D1053" s="150">
        <v>5</v>
      </c>
      <c r="E1053" s="13">
        <v>0</v>
      </c>
      <c r="F1053" s="43">
        <f t="shared" si="39"/>
        <v>0</v>
      </c>
      <c r="G1053" s="7"/>
    </row>
    <row r="1054" spans="1:7" s="12" customFormat="1" ht="13.2" x14ac:dyDescent="0.25">
      <c r="A1054" s="119" t="s">
        <v>2932</v>
      </c>
      <c r="B1054" s="120" t="s">
        <v>1708</v>
      </c>
      <c r="C1054" s="100" t="s">
        <v>13</v>
      </c>
      <c r="D1054" s="150">
        <v>0</v>
      </c>
      <c r="E1054" s="13">
        <v>0</v>
      </c>
      <c r="F1054" s="43">
        <f t="shared" si="39"/>
        <v>0</v>
      </c>
      <c r="G1054" s="7"/>
    </row>
    <row r="1055" spans="1:7" s="12" customFormat="1" ht="13.2" x14ac:dyDescent="0.25">
      <c r="A1055" s="119" t="s">
        <v>2933</v>
      </c>
      <c r="B1055" s="120" t="s">
        <v>1709</v>
      </c>
      <c r="C1055" s="100" t="s">
        <v>13</v>
      </c>
      <c r="D1055" s="150">
        <v>0</v>
      </c>
      <c r="E1055" s="13">
        <v>0</v>
      </c>
      <c r="F1055" s="43">
        <f t="shared" si="39"/>
        <v>0</v>
      </c>
      <c r="G1055" s="7"/>
    </row>
    <row r="1056" spans="1:7" s="12" customFormat="1" ht="13.2" x14ac:dyDescent="0.25">
      <c r="A1056" s="119" t="s">
        <v>2934</v>
      </c>
      <c r="B1056" s="120" t="s">
        <v>1710</v>
      </c>
      <c r="C1056" s="100" t="s">
        <v>13</v>
      </c>
      <c r="D1056" s="150">
        <v>0</v>
      </c>
      <c r="E1056" s="13">
        <v>0</v>
      </c>
      <c r="F1056" s="43">
        <f t="shared" si="39"/>
        <v>0</v>
      </c>
      <c r="G1056" s="7"/>
    </row>
    <row r="1057" spans="1:7" s="12" customFormat="1" ht="13.2" x14ac:dyDescent="0.25">
      <c r="A1057" s="119" t="s">
        <v>2935</v>
      </c>
      <c r="B1057" s="120" t="s">
        <v>1711</v>
      </c>
      <c r="C1057" s="100" t="s">
        <v>13</v>
      </c>
      <c r="D1057" s="150">
        <v>0</v>
      </c>
      <c r="E1057" s="13">
        <v>0</v>
      </c>
      <c r="F1057" s="43">
        <f t="shared" si="39"/>
        <v>0</v>
      </c>
      <c r="G1057" s="7"/>
    </row>
    <row r="1058" spans="1:7" s="12" customFormat="1" ht="13.2" x14ac:dyDescent="0.25">
      <c r="A1058" s="119" t="s">
        <v>2936</v>
      </c>
      <c r="B1058" s="120" t="s">
        <v>1712</v>
      </c>
      <c r="C1058" s="100" t="s">
        <v>13</v>
      </c>
      <c r="D1058" s="150">
        <v>0</v>
      </c>
      <c r="E1058" s="13">
        <v>0</v>
      </c>
      <c r="F1058" s="43">
        <f t="shared" si="39"/>
        <v>0</v>
      </c>
      <c r="G1058" s="7"/>
    </row>
    <row r="1059" spans="1:7" s="12" customFormat="1" ht="13.2" x14ac:dyDescent="0.25">
      <c r="A1059" s="119" t="s">
        <v>2937</v>
      </c>
      <c r="B1059" s="120" t="s">
        <v>1713</v>
      </c>
      <c r="C1059" s="100" t="s">
        <v>13</v>
      </c>
      <c r="D1059" s="150">
        <v>0</v>
      </c>
      <c r="E1059" s="13">
        <v>0</v>
      </c>
      <c r="F1059" s="43">
        <f t="shared" si="39"/>
        <v>0</v>
      </c>
      <c r="G1059" s="7"/>
    </row>
    <row r="1060" spans="1:7" s="12" customFormat="1" ht="13.2" x14ac:dyDescent="0.25">
      <c r="A1060" s="119" t="s">
        <v>2938</v>
      </c>
      <c r="B1060" s="120" t="s">
        <v>1714</v>
      </c>
      <c r="C1060" s="100" t="s">
        <v>13</v>
      </c>
      <c r="D1060" s="150">
        <v>0</v>
      </c>
      <c r="E1060" s="13">
        <v>0</v>
      </c>
      <c r="F1060" s="43">
        <f t="shared" si="39"/>
        <v>0</v>
      </c>
      <c r="G1060" s="7"/>
    </row>
    <row r="1061" spans="1:7" s="12" customFormat="1" ht="13.2" x14ac:dyDescent="0.25">
      <c r="A1061" s="119" t="s">
        <v>2939</v>
      </c>
      <c r="B1061" s="120" t="s">
        <v>3030</v>
      </c>
      <c r="C1061" s="100" t="s">
        <v>13</v>
      </c>
      <c r="D1061" s="150">
        <v>0</v>
      </c>
      <c r="E1061" s="13">
        <v>0</v>
      </c>
      <c r="F1061" s="43">
        <f t="shared" si="39"/>
        <v>0</v>
      </c>
      <c r="G1061" s="7"/>
    </row>
    <row r="1062" spans="1:7" s="12" customFormat="1" ht="13.2" x14ac:dyDescent="0.25">
      <c r="A1062" s="119" t="s">
        <v>2940</v>
      </c>
      <c r="B1062" s="120" t="s">
        <v>1715</v>
      </c>
      <c r="C1062" s="100" t="s">
        <v>13</v>
      </c>
      <c r="D1062" s="150">
        <v>0</v>
      </c>
      <c r="E1062" s="13">
        <v>0</v>
      </c>
      <c r="F1062" s="43">
        <f t="shared" si="39"/>
        <v>0</v>
      </c>
      <c r="G1062" s="7"/>
    </row>
    <row r="1063" spans="1:7" s="12" customFormat="1" ht="13.2" x14ac:dyDescent="0.25">
      <c r="A1063" s="119" t="s">
        <v>2941</v>
      </c>
      <c r="B1063" s="120" t="s">
        <v>3031</v>
      </c>
      <c r="C1063" s="100" t="s">
        <v>13</v>
      </c>
      <c r="D1063" s="150">
        <v>0</v>
      </c>
      <c r="E1063" s="13">
        <v>0</v>
      </c>
      <c r="F1063" s="43">
        <f t="shared" si="39"/>
        <v>0</v>
      </c>
      <c r="G1063" s="7"/>
    </row>
    <row r="1064" spans="1:7" s="12" customFormat="1" ht="13.2" x14ac:dyDescent="0.25">
      <c r="A1064" s="119" t="s">
        <v>1023</v>
      </c>
      <c r="B1064" s="120" t="s">
        <v>3060</v>
      </c>
      <c r="C1064" s="101"/>
      <c r="D1064" s="155"/>
      <c r="E1064" s="13"/>
      <c r="F1064" s="43"/>
      <c r="G1064" s="7"/>
    </row>
    <row r="1065" spans="1:7" s="12" customFormat="1" ht="13.2" x14ac:dyDescent="0.25">
      <c r="A1065" s="119" t="s">
        <v>2942</v>
      </c>
      <c r="B1065" s="120" t="s">
        <v>3062</v>
      </c>
      <c r="C1065" s="100" t="s">
        <v>13</v>
      </c>
      <c r="D1065" s="150">
        <v>0</v>
      </c>
      <c r="E1065" s="13">
        <v>0</v>
      </c>
      <c r="F1065" s="43">
        <f t="shared" si="39"/>
        <v>0</v>
      </c>
      <c r="G1065" s="7"/>
    </row>
    <row r="1066" spans="1:7" s="12" customFormat="1" ht="13.2" x14ac:dyDescent="0.25">
      <c r="A1066" s="119" t="s">
        <v>2943</v>
      </c>
      <c r="B1066" s="120" t="s">
        <v>3063</v>
      </c>
      <c r="C1066" s="100" t="s">
        <v>13</v>
      </c>
      <c r="D1066" s="150">
        <v>0</v>
      </c>
      <c r="E1066" s="13">
        <v>0</v>
      </c>
      <c r="F1066" s="43">
        <f t="shared" si="39"/>
        <v>0</v>
      </c>
      <c r="G1066" s="7"/>
    </row>
    <row r="1067" spans="1:7" s="12" customFormat="1" ht="13.2" x14ac:dyDescent="0.25">
      <c r="A1067" s="119" t="s">
        <v>227</v>
      </c>
      <c r="B1067" s="120" t="s">
        <v>1704</v>
      </c>
      <c r="C1067" s="101"/>
      <c r="D1067" s="155"/>
      <c r="E1067" s="13"/>
      <c r="F1067" s="43"/>
      <c r="G1067" s="7"/>
    </row>
    <row r="1068" spans="1:7" s="12" customFormat="1" ht="13.2" x14ac:dyDescent="0.25">
      <c r="A1068" s="119" t="s">
        <v>2944</v>
      </c>
      <c r="B1068" s="120" t="s">
        <v>3061</v>
      </c>
      <c r="C1068" s="100" t="s">
        <v>13</v>
      </c>
      <c r="D1068" s="150">
        <v>0</v>
      </c>
      <c r="E1068" s="13">
        <v>0</v>
      </c>
      <c r="F1068" s="43">
        <f t="shared" si="39"/>
        <v>0</v>
      </c>
      <c r="G1068" s="7"/>
    </row>
    <row r="1069" spans="1:7" s="12" customFormat="1" ht="13.2" x14ac:dyDescent="0.25">
      <c r="A1069" s="119" t="s">
        <v>2945</v>
      </c>
      <c r="B1069" s="120" t="s">
        <v>1142</v>
      </c>
      <c r="C1069" s="100" t="s">
        <v>13</v>
      </c>
      <c r="D1069" s="150">
        <v>0</v>
      </c>
      <c r="E1069" s="13">
        <v>0</v>
      </c>
      <c r="F1069" s="43">
        <f t="shared" si="39"/>
        <v>0</v>
      </c>
      <c r="G1069" s="7"/>
    </row>
    <row r="1070" spans="1:7" s="12" customFormat="1" ht="13.2" x14ac:dyDescent="0.25">
      <c r="A1070" s="119" t="s">
        <v>2946</v>
      </c>
      <c r="B1070" s="120" t="s">
        <v>1143</v>
      </c>
      <c r="C1070" s="100" t="s">
        <v>13</v>
      </c>
      <c r="D1070" s="150">
        <v>5</v>
      </c>
      <c r="E1070" s="13">
        <v>0</v>
      </c>
      <c r="F1070" s="43">
        <f t="shared" si="39"/>
        <v>0</v>
      </c>
      <c r="G1070" s="7"/>
    </row>
    <row r="1071" spans="1:7" s="96" customFormat="1" ht="13.2" x14ac:dyDescent="0.25">
      <c r="A1071" s="119" t="s">
        <v>2947</v>
      </c>
      <c r="B1071" s="120" t="s">
        <v>1144</v>
      </c>
      <c r="C1071" s="100" t="s">
        <v>13</v>
      </c>
      <c r="D1071" s="150">
        <v>0</v>
      </c>
      <c r="E1071" s="13">
        <v>0</v>
      </c>
      <c r="F1071" s="43">
        <f t="shared" si="39"/>
        <v>0</v>
      </c>
      <c r="G1071" s="7"/>
    </row>
    <row r="1072" spans="1:7" s="96" customFormat="1" ht="13.2" x14ac:dyDescent="0.25">
      <c r="A1072" s="119" t="s">
        <v>2948</v>
      </c>
      <c r="B1072" s="120" t="s">
        <v>1145</v>
      </c>
      <c r="C1072" s="100" t="s">
        <v>13</v>
      </c>
      <c r="D1072" s="150">
        <v>0</v>
      </c>
      <c r="E1072" s="13">
        <v>0</v>
      </c>
      <c r="F1072" s="43">
        <f t="shared" si="39"/>
        <v>0</v>
      </c>
      <c r="G1072" s="7"/>
    </row>
    <row r="1073" spans="1:7" s="96" customFormat="1" ht="13.2" x14ac:dyDescent="0.25">
      <c r="A1073" s="119" t="s">
        <v>2949</v>
      </c>
      <c r="B1073" s="120" t="s">
        <v>1146</v>
      </c>
      <c r="C1073" s="100" t="s">
        <v>13</v>
      </c>
      <c r="D1073" s="150">
        <v>0</v>
      </c>
      <c r="E1073" s="13">
        <v>0</v>
      </c>
      <c r="F1073" s="43">
        <f t="shared" si="39"/>
        <v>0</v>
      </c>
      <c r="G1073" s="7"/>
    </row>
    <row r="1074" spans="1:7" s="96" customFormat="1" ht="13.2" x14ac:dyDescent="0.25">
      <c r="A1074" s="119" t="s">
        <v>2950</v>
      </c>
      <c r="B1074" s="120" t="s">
        <v>1147</v>
      </c>
      <c r="C1074" s="100" t="s">
        <v>13</v>
      </c>
      <c r="D1074" s="150">
        <v>0</v>
      </c>
      <c r="E1074" s="13">
        <v>0</v>
      </c>
      <c r="F1074" s="43">
        <f t="shared" si="39"/>
        <v>0</v>
      </c>
      <c r="G1074" s="7"/>
    </row>
    <row r="1075" spans="1:7" s="96" customFormat="1" ht="13.2" x14ac:dyDescent="0.25">
      <c r="A1075" s="119" t="s">
        <v>2951</v>
      </c>
      <c r="B1075" s="120" t="s">
        <v>3032</v>
      </c>
      <c r="C1075" s="100" t="s">
        <v>13</v>
      </c>
      <c r="D1075" s="150">
        <v>0</v>
      </c>
      <c r="E1075" s="13">
        <v>0</v>
      </c>
      <c r="F1075" s="43">
        <f>D1075*E1075</f>
        <v>0</v>
      </c>
      <c r="G1075" s="7"/>
    </row>
    <row r="1076" spans="1:7" s="96" customFormat="1" ht="13.2" x14ac:dyDescent="0.25">
      <c r="A1076" s="119" t="s">
        <v>2952</v>
      </c>
      <c r="B1076" s="120" t="s">
        <v>3033</v>
      </c>
      <c r="C1076" s="100" t="s">
        <v>13</v>
      </c>
      <c r="D1076" s="150">
        <v>0</v>
      </c>
      <c r="E1076" s="13">
        <v>0</v>
      </c>
      <c r="F1076" s="43">
        <f>D1076*E1076</f>
        <v>0</v>
      </c>
      <c r="G1076" s="7"/>
    </row>
    <row r="1077" spans="1:7" s="96" customFormat="1" ht="13.2" x14ac:dyDescent="0.25">
      <c r="A1077" s="119" t="s">
        <v>2953</v>
      </c>
      <c r="B1077" s="120" t="s">
        <v>3034</v>
      </c>
      <c r="C1077" s="100" t="s">
        <v>13</v>
      </c>
      <c r="D1077" s="150">
        <v>0</v>
      </c>
      <c r="E1077" s="13">
        <v>0</v>
      </c>
      <c r="F1077" s="43">
        <f>D1077*E1077</f>
        <v>0</v>
      </c>
      <c r="G1077" s="7"/>
    </row>
    <row r="1078" spans="1:7" s="96" customFormat="1" ht="13.2" x14ac:dyDescent="0.25">
      <c r="A1078" s="119" t="s">
        <v>2954</v>
      </c>
      <c r="B1078" s="120" t="s">
        <v>1148</v>
      </c>
      <c r="C1078" s="100" t="s">
        <v>13</v>
      </c>
      <c r="D1078" s="150">
        <v>0</v>
      </c>
      <c r="E1078" s="13">
        <v>0</v>
      </c>
      <c r="F1078" s="43">
        <f t="shared" si="39"/>
        <v>0</v>
      </c>
      <c r="G1078" s="7"/>
    </row>
    <row r="1079" spans="1:7" s="96" customFormat="1" ht="13.2" x14ac:dyDescent="0.25">
      <c r="A1079" s="119" t="s">
        <v>2955</v>
      </c>
      <c r="B1079" s="120" t="s">
        <v>1149</v>
      </c>
      <c r="C1079" s="100" t="s">
        <v>13</v>
      </c>
      <c r="D1079" s="150">
        <v>0</v>
      </c>
      <c r="E1079" s="13">
        <v>0</v>
      </c>
      <c r="F1079" s="43">
        <f t="shared" si="39"/>
        <v>0</v>
      </c>
      <c r="G1079" s="7"/>
    </row>
    <row r="1080" spans="1:7" s="96" customFormat="1" ht="13.2" x14ac:dyDescent="0.25">
      <c r="A1080" s="119" t="s">
        <v>2956</v>
      </c>
      <c r="B1080" s="120" t="s">
        <v>1150</v>
      </c>
      <c r="C1080" s="100" t="s">
        <v>13</v>
      </c>
      <c r="D1080" s="150">
        <v>0</v>
      </c>
      <c r="E1080" s="13">
        <v>0</v>
      </c>
      <c r="F1080" s="43">
        <f t="shared" si="39"/>
        <v>0</v>
      </c>
      <c r="G1080" s="7"/>
    </row>
    <row r="1081" spans="1:7" s="6" customFormat="1" ht="13.2" x14ac:dyDescent="0.25">
      <c r="A1081" s="119" t="s">
        <v>1060</v>
      </c>
      <c r="B1081" s="120" t="s">
        <v>3089</v>
      </c>
      <c r="C1081" s="101"/>
      <c r="D1081" s="155"/>
      <c r="E1081" s="13"/>
      <c r="F1081" s="43"/>
      <c r="G1081" s="7"/>
    </row>
    <row r="1082" spans="1:7" s="96" customFormat="1" ht="13.2" x14ac:dyDescent="0.25">
      <c r="A1082" s="119" t="s">
        <v>2957</v>
      </c>
      <c r="B1082" s="120" t="s">
        <v>2721</v>
      </c>
      <c r="C1082" s="100" t="s">
        <v>1302</v>
      </c>
      <c r="D1082" s="150">
        <v>0</v>
      </c>
      <c r="E1082" s="13">
        <v>0</v>
      </c>
      <c r="F1082" s="43">
        <f t="shared" si="39"/>
        <v>0</v>
      </c>
      <c r="G1082" s="7"/>
    </row>
    <row r="1083" spans="1:7" s="96" customFormat="1" ht="13.2" x14ac:dyDescent="0.25">
      <c r="A1083" s="119" t="s">
        <v>2958</v>
      </c>
      <c r="B1083" s="120" t="s">
        <v>3090</v>
      </c>
      <c r="C1083" s="100" t="s">
        <v>1302</v>
      </c>
      <c r="D1083" s="150">
        <v>0</v>
      </c>
      <c r="E1083" s="13">
        <v>0</v>
      </c>
      <c r="F1083" s="43">
        <f t="shared" si="39"/>
        <v>0</v>
      </c>
      <c r="G1083" s="7"/>
    </row>
    <row r="1084" spans="1:7" s="96" customFormat="1" ht="13.2" x14ac:dyDescent="0.25">
      <c r="A1084" s="119" t="s">
        <v>2959</v>
      </c>
      <c r="B1084" s="120" t="s">
        <v>2898</v>
      </c>
      <c r="C1084" s="100" t="s">
        <v>1302</v>
      </c>
      <c r="D1084" s="150">
        <v>0</v>
      </c>
      <c r="E1084" s="13">
        <v>0</v>
      </c>
      <c r="F1084" s="43">
        <f t="shared" si="39"/>
        <v>0</v>
      </c>
      <c r="G1084" s="7"/>
    </row>
    <row r="1085" spans="1:7" s="96" customFormat="1" ht="13.2" x14ac:dyDescent="0.25">
      <c r="A1085" s="119" t="s">
        <v>2960</v>
      </c>
      <c r="B1085" s="120" t="s">
        <v>2899</v>
      </c>
      <c r="C1085" s="100" t="s">
        <v>1302</v>
      </c>
      <c r="D1085" s="150">
        <v>190</v>
      </c>
      <c r="E1085" s="13">
        <v>0</v>
      </c>
      <c r="F1085" s="43">
        <f t="shared" si="39"/>
        <v>0</v>
      </c>
      <c r="G1085" s="7"/>
    </row>
    <row r="1086" spans="1:7" s="96" customFormat="1" ht="13.2" x14ac:dyDescent="0.25">
      <c r="A1086" s="119" t="s">
        <v>3064</v>
      </c>
      <c r="B1086" s="120" t="s">
        <v>3099</v>
      </c>
      <c r="C1086" s="100" t="s">
        <v>1302</v>
      </c>
      <c r="D1086" s="150">
        <v>0</v>
      </c>
      <c r="E1086" s="13">
        <v>0</v>
      </c>
      <c r="F1086" s="43">
        <f t="shared" si="39"/>
        <v>0</v>
      </c>
      <c r="G1086" s="7"/>
    </row>
    <row r="1087" spans="1:7" s="96" customFormat="1" ht="13.2" x14ac:dyDescent="0.25">
      <c r="A1087" s="119" t="s">
        <v>3065</v>
      </c>
      <c r="B1087" s="120" t="s">
        <v>3100</v>
      </c>
      <c r="C1087" s="100" t="s">
        <v>1302</v>
      </c>
      <c r="D1087" s="150">
        <v>0</v>
      </c>
      <c r="E1087" s="13">
        <v>0</v>
      </c>
      <c r="F1087" s="43">
        <f t="shared" si="39"/>
        <v>0</v>
      </c>
      <c r="G1087" s="7"/>
    </row>
    <row r="1088" spans="1:7" s="96" customFormat="1" ht="13.2" x14ac:dyDescent="0.25">
      <c r="A1088" s="119" t="s">
        <v>3066</v>
      </c>
      <c r="B1088" s="120" t="s">
        <v>3101</v>
      </c>
      <c r="C1088" s="100" t="s">
        <v>1302</v>
      </c>
      <c r="D1088" s="150">
        <v>0</v>
      </c>
      <c r="E1088" s="13">
        <v>0</v>
      </c>
      <c r="F1088" s="43">
        <f t="shared" si="39"/>
        <v>0</v>
      </c>
      <c r="G1088" s="7"/>
    </row>
    <row r="1089" spans="1:7" s="96" customFormat="1" ht="13.2" x14ac:dyDescent="0.25">
      <c r="A1089" s="119" t="s">
        <v>3067</v>
      </c>
      <c r="B1089" s="120" t="s">
        <v>3102</v>
      </c>
      <c r="C1089" s="100" t="s">
        <v>1302</v>
      </c>
      <c r="D1089" s="150">
        <v>0</v>
      </c>
      <c r="E1089" s="13">
        <v>0</v>
      </c>
      <c r="F1089" s="43">
        <f t="shared" si="39"/>
        <v>0</v>
      </c>
      <c r="G1089" s="7"/>
    </row>
    <row r="1090" spans="1:7" s="96" customFormat="1" ht="13.2" x14ac:dyDescent="0.25">
      <c r="A1090" s="119" t="s">
        <v>1061</v>
      </c>
      <c r="B1090" s="120" t="s">
        <v>2722</v>
      </c>
      <c r="C1090" s="100" t="s">
        <v>1302</v>
      </c>
      <c r="D1090" s="150">
        <v>20</v>
      </c>
      <c r="E1090" s="13">
        <v>0</v>
      </c>
      <c r="F1090" s="43">
        <f t="shared" si="39"/>
        <v>0</v>
      </c>
      <c r="G1090" s="7"/>
    </row>
    <row r="1091" spans="1:7" s="96" customFormat="1" ht="13.2" x14ac:dyDescent="0.25">
      <c r="A1091" s="119" t="s">
        <v>228</v>
      </c>
      <c r="B1091" s="120" t="s">
        <v>2723</v>
      </c>
      <c r="C1091" s="101"/>
      <c r="D1091" s="155"/>
      <c r="E1091" s="13"/>
      <c r="F1091" s="43"/>
      <c r="G1091" s="7"/>
    </row>
    <row r="1092" spans="1:7" ht="13.2" x14ac:dyDescent="0.25">
      <c r="A1092" s="119" t="s">
        <v>2962</v>
      </c>
      <c r="B1092" s="121" t="s">
        <v>3068</v>
      </c>
      <c r="C1092" s="100" t="s">
        <v>1081</v>
      </c>
      <c r="D1092" s="150">
        <v>0</v>
      </c>
      <c r="E1092" s="13">
        <v>0</v>
      </c>
      <c r="F1092" s="43">
        <f t="shared" si="39"/>
        <v>0</v>
      </c>
      <c r="G1092" s="7"/>
    </row>
    <row r="1093" spans="1:7" ht="13.2" x14ac:dyDescent="0.25">
      <c r="A1093" s="119" t="s">
        <v>2963</v>
      </c>
      <c r="B1093" s="121" t="s">
        <v>3118</v>
      </c>
      <c r="C1093" s="100" t="s">
        <v>1081</v>
      </c>
      <c r="D1093" s="150">
        <v>1</v>
      </c>
      <c r="E1093" s="13">
        <v>0</v>
      </c>
      <c r="F1093" s="43">
        <f t="shared" si="39"/>
        <v>0</v>
      </c>
      <c r="G1093" s="7"/>
    </row>
    <row r="1094" spans="1:7" ht="13.2" x14ac:dyDescent="0.25">
      <c r="A1094" s="119" t="s">
        <v>2964</v>
      </c>
      <c r="B1094" s="121" t="s">
        <v>3119</v>
      </c>
      <c r="C1094" s="100" t="s">
        <v>1081</v>
      </c>
      <c r="D1094" s="150">
        <v>0</v>
      </c>
      <c r="E1094" s="13">
        <v>0</v>
      </c>
      <c r="F1094" s="43">
        <f t="shared" si="39"/>
        <v>0</v>
      </c>
      <c r="G1094" s="7"/>
    </row>
    <row r="1095" spans="1:7" ht="13.2" x14ac:dyDescent="0.25">
      <c r="A1095" s="119" t="s">
        <v>3069</v>
      </c>
      <c r="B1095" s="121" t="s">
        <v>3120</v>
      </c>
      <c r="C1095" s="100" t="s">
        <v>1081</v>
      </c>
      <c r="D1095" s="150">
        <v>0</v>
      </c>
      <c r="E1095" s="13">
        <v>0</v>
      </c>
      <c r="F1095" s="43">
        <f t="shared" si="39"/>
        <v>0</v>
      </c>
      <c r="G1095" s="7"/>
    </row>
    <row r="1096" spans="1:7" s="4" customFormat="1" ht="13.2" x14ac:dyDescent="0.25">
      <c r="A1096" s="119" t="s">
        <v>3070</v>
      </c>
      <c r="B1096" s="121" t="s">
        <v>3121</v>
      </c>
      <c r="C1096" s="100" t="s">
        <v>1081</v>
      </c>
      <c r="D1096" s="150">
        <v>0</v>
      </c>
      <c r="E1096" s="13">
        <v>0</v>
      </c>
      <c r="F1096" s="43">
        <f t="shared" si="39"/>
        <v>0</v>
      </c>
      <c r="G1096" s="7"/>
    </row>
    <row r="1097" spans="1:7" s="4" customFormat="1" ht="13.2" x14ac:dyDescent="0.25">
      <c r="A1097" s="119" t="s">
        <v>229</v>
      </c>
      <c r="B1097" s="120" t="s">
        <v>2724</v>
      </c>
      <c r="C1097" s="100" t="s">
        <v>13</v>
      </c>
      <c r="D1097" s="150">
        <v>0</v>
      </c>
      <c r="E1097" s="13">
        <v>0</v>
      </c>
      <c r="F1097" s="43">
        <f t="shared" si="39"/>
        <v>0</v>
      </c>
      <c r="G1097" s="7"/>
    </row>
    <row r="1098" spans="1:7" s="4" customFormat="1" ht="13.2" x14ac:dyDescent="0.25">
      <c r="A1098" s="119" t="s">
        <v>230</v>
      </c>
      <c r="B1098" s="120" t="s">
        <v>3079</v>
      </c>
      <c r="C1098" s="101"/>
      <c r="D1098" s="155"/>
      <c r="E1098" s="13"/>
      <c r="F1098" s="43"/>
      <c r="G1098" s="7"/>
    </row>
    <row r="1099" spans="1:7" s="4" customFormat="1" ht="13.2" x14ac:dyDescent="0.25">
      <c r="A1099" s="119" t="s">
        <v>3071</v>
      </c>
      <c r="B1099" s="120" t="s">
        <v>2721</v>
      </c>
      <c r="C1099" s="100" t="s">
        <v>1302</v>
      </c>
      <c r="D1099" s="150">
        <v>0</v>
      </c>
      <c r="E1099" s="13">
        <v>0</v>
      </c>
      <c r="F1099" s="43">
        <f t="shared" ref="F1099:F1106" si="40">D1099*E1099</f>
        <v>0</v>
      </c>
      <c r="G1099" s="7"/>
    </row>
    <row r="1100" spans="1:7" s="96" customFormat="1" ht="13.2" x14ac:dyDescent="0.25">
      <c r="A1100" s="119" t="s">
        <v>3072</v>
      </c>
      <c r="B1100" s="120" t="s">
        <v>2897</v>
      </c>
      <c r="C1100" s="100" t="s">
        <v>1302</v>
      </c>
      <c r="D1100" s="150">
        <v>0</v>
      </c>
      <c r="E1100" s="13">
        <v>0</v>
      </c>
      <c r="F1100" s="43">
        <f t="shared" si="40"/>
        <v>0</v>
      </c>
      <c r="G1100" s="7"/>
    </row>
    <row r="1101" spans="1:7" s="96" customFormat="1" ht="13.2" x14ac:dyDescent="0.25">
      <c r="A1101" s="119" t="s">
        <v>3073</v>
      </c>
      <c r="B1101" s="120" t="s">
        <v>2898</v>
      </c>
      <c r="C1101" s="100" t="s">
        <v>1302</v>
      </c>
      <c r="D1101" s="150">
        <v>0</v>
      </c>
      <c r="E1101" s="13">
        <v>0</v>
      </c>
      <c r="F1101" s="43">
        <f t="shared" si="40"/>
        <v>0</v>
      </c>
      <c r="G1101" s="7"/>
    </row>
    <row r="1102" spans="1:7" s="96" customFormat="1" ht="13.2" x14ac:dyDescent="0.25">
      <c r="A1102" s="119" t="s">
        <v>3074</v>
      </c>
      <c r="B1102" s="120" t="s">
        <v>2899</v>
      </c>
      <c r="C1102" s="100" t="s">
        <v>1302</v>
      </c>
      <c r="D1102" s="150">
        <v>0</v>
      </c>
      <c r="E1102" s="13">
        <v>0</v>
      </c>
      <c r="F1102" s="43">
        <f t="shared" si="40"/>
        <v>0</v>
      </c>
      <c r="G1102" s="7"/>
    </row>
    <row r="1103" spans="1:7" s="96" customFormat="1" ht="13.2" x14ac:dyDescent="0.25">
      <c r="A1103" s="119" t="s">
        <v>3075</v>
      </c>
      <c r="B1103" s="120" t="s">
        <v>3103</v>
      </c>
      <c r="C1103" s="100" t="s">
        <v>1302</v>
      </c>
      <c r="D1103" s="150">
        <v>0</v>
      </c>
      <c r="E1103" s="13">
        <v>0</v>
      </c>
      <c r="F1103" s="43">
        <f t="shared" si="40"/>
        <v>0</v>
      </c>
      <c r="G1103" s="7"/>
    </row>
    <row r="1104" spans="1:7" s="96" customFormat="1" ht="13.2" x14ac:dyDescent="0.25">
      <c r="A1104" s="119" t="s">
        <v>3076</v>
      </c>
      <c r="B1104" s="120" t="s">
        <v>3104</v>
      </c>
      <c r="C1104" s="100" t="s">
        <v>1302</v>
      </c>
      <c r="D1104" s="150">
        <v>180</v>
      </c>
      <c r="E1104" s="13">
        <v>0</v>
      </c>
      <c r="F1104" s="43">
        <f t="shared" si="40"/>
        <v>0</v>
      </c>
      <c r="G1104" s="7"/>
    </row>
    <row r="1105" spans="1:7" s="96" customFormat="1" ht="13.2" x14ac:dyDescent="0.25">
      <c r="A1105" s="119" t="s">
        <v>3077</v>
      </c>
      <c r="B1105" s="120" t="s">
        <v>3105</v>
      </c>
      <c r="C1105" s="100" t="s">
        <v>1302</v>
      </c>
      <c r="D1105" s="150">
        <v>0</v>
      </c>
      <c r="E1105" s="13">
        <v>0</v>
      </c>
      <c r="F1105" s="43">
        <f t="shared" si="40"/>
        <v>0</v>
      </c>
      <c r="G1105" s="7"/>
    </row>
    <row r="1106" spans="1:7" s="96" customFormat="1" ht="13.2" x14ac:dyDescent="0.25">
      <c r="A1106" s="119" t="s">
        <v>3078</v>
      </c>
      <c r="B1106" s="120" t="s">
        <v>3106</v>
      </c>
      <c r="C1106" s="100" t="s">
        <v>1302</v>
      </c>
      <c r="D1106" s="150">
        <v>0</v>
      </c>
      <c r="E1106" s="13">
        <v>0</v>
      </c>
      <c r="F1106" s="43">
        <f t="shared" si="40"/>
        <v>0</v>
      </c>
      <c r="G1106" s="7"/>
    </row>
    <row r="1107" spans="1:7" s="96" customFormat="1" ht="13.2" x14ac:dyDescent="0.25">
      <c r="A1107" s="119" t="s">
        <v>1062</v>
      </c>
      <c r="B1107" s="120" t="s">
        <v>2725</v>
      </c>
      <c r="C1107" s="101"/>
      <c r="D1107" s="17"/>
      <c r="E1107" s="13"/>
      <c r="F1107" s="43"/>
      <c r="G1107" s="7"/>
    </row>
    <row r="1108" spans="1:7" s="96" customFormat="1" ht="13.2" x14ac:dyDescent="0.25">
      <c r="A1108" s="119" t="s">
        <v>2968</v>
      </c>
      <c r="B1108" s="121" t="s">
        <v>3068</v>
      </c>
      <c r="C1108" s="100" t="s">
        <v>1081</v>
      </c>
      <c r="D1108" s="150">
        <v>0</v>
      </c>
      <c r="E1108" s="13">
        <v>0</v>
      </c>
      <c r="F1108" s="43">
        <f t="shared" si="39"/>
        <v>0</v>
      </c>
      <c r="G1108" s="7"/>
    </row>
    <row r="1109" spans="1:7" s="96" customFormat="1" ht="13.2" x14ac:dyDescent="0.25">
      <c r="A1109" s="119" t="s">
        <v>2969</v>
      </c>
      <c r="B1109" s="121" t="s">
        <v>3118</v>
      </c>
      <c r="C1109" s="100" t="s">
        <v>1081</v>
      </c>
      <c r="D1109" s="150">
        <v>1</v>
      </c>
      <c r="E1109" s="13">
        <v>0</v>
      </c>
      <c r="F1109" s="43">
        <f t="shared" si="39"/>
        <v>0</v>
      </c>
      <c r="G1109" s="7"/>
    </row>
    <row r="1110" spans="1:7" s="96" customFormat="1" ht="13.2" x14ac:dyDescent="0.25">
      <c r="A1110" s="119" t="s">
        <v>2970</v>
      </c>
      <c r="B1110" s="121" t="s">
        <v>3119</v>
      </c>
      <c r="C1110" s="100" t="s">
        <v>1081</v>
      </c>
      <c r="D1110" s="150">
        <v>0</v>
      </c>
      <c r="E1110" s="13">
        <v>0</v>
      </c>
      <c r="F1110" s="43">
        <f t="shared" si="39"/>
        <v>0</v>
      </c>
      <c r="G1110" s="7"/>
    </row>
    <row r="1111" spans="1:7" s="96" customFormat="1" ht="13.2" x14ac:dyDescent="0.25">
      <c r="A1111" s="119" t="s">
        <v>3080</v>
      </c>
      <c r="B1111" s="121" t="s">
        <v>3120</v>
      </c>
      <c r="C1111" s="100" t="s">
        <v>1081</v>
      </c>
      <c r="D1111" s="150">
        <v>0</v>
      </c>
      <c r="E1111" s="13">
        <v>0</v>
      </c>
      <c r="F1111" s="43">
        <f t="shared" si="39"/>
        <v>0</v>
      </c>
      <c r="G1111" s="7"/>
    </row>
    <row r="1112" spans="1:7" s="96" customFormat="1" ht="13.2" x14ac:dyDescent="0.25">
      <c r="A1112" s="119" t="s">
        <v>3081</v>
      </c>
      <c r="B1112" s="121" t="s">
        <v>3121</v>
      </c>
      <c r="C1112" s="100" t="s">
        <v>1081</v>
      </c>
      <c r="D1112" s="150">
        <v>0</v>
      </c>
      <c r="E1112" s="13">
        <v>0</v>
      </c>
      <c r="F1112" s="43">
        <f t="shared" si="39"/>
        <v>0</v>
      </c>
      <c r="G1112" s="7"/>
    </row>
    <row r="1113" spans="1:7" s="96" customFormat="1" ht="13.2" x14ac:dyDescent="0.25">
      <c r="A1113" s="119" t="s">
        <v>231</v>
      </c>
      <c r="B1113" s="120" t="s">
        <v>2726</v>
      </c>
      <c r="C1113" s="101"/>
      <c r="D1113" s="17"/>
      <c r="E1113" s="13"/>
      <c r="F1113" s="43"/>
      <c r="G1113" s="7"/>
    </row>
    <row r="1114" spans="1:7" s="96" customFormat="1" ht="13.2" x14ac:dyDescent="0.25">
      <c r="A1114" s="119" t="s">
        <v>2965</v>
      </c>
      <c r="B1114" s="121" t="s">
        <v>3068</v>
      </c>
      <c r="C1114" s="100" t="s">
        <v>1081</v>
      </c>
      <c r="D1114" s="150">
        <v>0</v>
      </c>
      <c r="E1114" s="13">
        <v>0</v>
      </c>
      <c r="F1114" s="43">
        <f t="shared" si="39"/>
        <v>0</v>
      </c>
      <c r="G1114" s="7"/>
    </row>
    <row r="1115" spans="1:7" s="96" customFormat="1" ht="13.2" x14ac:dyDescent="0.25">
      <c r="A1115" s="119" t="s">
        <v>2966</v>
      </c>
      <c r="B1115" s="121" t="s">
        <v>3118</v>
      </c>
      <c r="C1115" s="100" t="s">
        <v>1081</v>
      </c>
      <c r="D1115" s="150">
        <v>0</v>
      </c>
      <c r="E1115" s="13">
        <v>0</v>
      </c>
      <c r="F1115" s="43">
        <f t="shared" si="39"/>
        <v>0</v>
      </c>
      <c r="G1115" s="7"/>
    </row>
    <row r="1116" spans="1:7" s="96" customFormat="1" ht="13.2" x14ac:dyDescent="0.25">
      <c r="A1116" s="119" t="s">
        <v>2967</v>
      </c>
      <c r="B1116" s="121" t="s">
        <v>3119</v>
      </c>
      <c r="C1116" s="100" t="s">
        <v>1081</v>
      </c>
      <c r="D1116" s="150">
        <v>0</v>
      </c>
      <c r="E1116" s="13">
        <v>0</v>
      </c>
      <c r="F1116" s="43">
        <f t="shared" si="39"/>
        <v>0</v>
      </c>
      <c r="G1116" s="7"/>
    </row>
    <row r="1117" spans="1:7" s="96" customFormat="1" ht="13.2" x14ac:dyDescent="0.25">
      <c r="A1117" s="119" t="s">
        <v>3082</v>
      </c>
      <c r="B1117" s="121" t="s">
        <v>3120</v>
      </c>
      <c r="C1117" s="100" t="s">
        <v>1081</v>
      </c>
      <c r="D1117" s="150">
        <v>0</v>
      </c>
      <c r="E1117" s="13">
        <v>0</v>
      </c>
      <c r="F1117" s="43">
        <f t="shared" ref="F1117:F1118" si="41">D1117*E1117</f>
        <v>0</v>
      </c>
      <c r="G1117" s="7"/>
    </row>
    <row r="1118" spans="1:7" s="96" customFormat="1" ht="13.2" x14ac:dyDescent="0.25">
      <c r="A1118" s="119" t="s">
        <v>3083</v>
      </c>
      <c r="B1118" s="121" t="s">
        <v>3121</v>
      </c>
      <c r="C1118" s="100" t="s">
        <v>1081</v>
      </c>
      <c r="D1118" s="150">
        <v>0</v>
      </c>
      <c r="E1118" s="13">
        <v>0</v>
      </c>
      <c r="F1118" s="43">
        <f t="shared" si="41"/>
        <v>0</v>
      </c>
      <c r="G1118" s="7"/>
    </row>
    <row r="1119" spans="1:7" s="96" customFormat="1" ht="13.2" x14ac:dyDescent="0.25">
      <c r="A1119" s="119"/>
      <c r="B1119" s="121"/>
      <c r="C1119" s="100"/>
      <c r="D1119" s="155"/>
      <c r="E1119" s="13"/>
      <c r="F1119" s="43"/>
      <c r="G1119" s="7"/>
    </row>
    <row r="1120" spans="1:7" s="96" customFormat="1" ht="13.2" x14ac:dyDescent="0.25">
      <c r="A1120" s="119"/>
      <c r="B1120" s="152" t="s">
        <v>1819</v>
      </c>
      <c r="C1120" s="101"/>
      <c r="D1120" s="17"/>
      <c r="E1120" s="13"/>
      <c r="F1120" s="43">
        <f>SUM(F923:F1119)</f>
        <v>0</v>
      </c>
      <c r="G1120" s="7"/>
    </row>
    <row r="1121" spans="1:7" s="96" customFormat="1" ht="13.2" x14ac:dyDescent="0.25">
      <c r="A1121" s="122"/>
      <c r="B1121" s="123"/>
      <c r="C1121" s="103"/>
      <c r="D1121" s="156"/>
      <c r="E1121" s="16"/>
      <c r="F1121" s="44"/>
      <c r="G1121" s="7"/>
    </row>
    <row r="1122" spans="1:7" ht="13.2" x14ac:dyDescent="0.25">
      <c r="A1122" s="30" t="s">
        <v>1170</v>
      </c>
      <c r="B1122" s="36" t="s">
        <v>1493</v>
      </c>
      <c r="C1122" s="104"/>
      <c r="D1122" s="108"/>
      <c r="E1122" s="158"/>
      <c r="F1122" s="124"/>
      <c r="G1122" s="7"/>
    </row>
    <row r="1123" spans="1:7" ht="13.2" x14ac:dyDescent="0.25">
      <c r="A1123" s="29" t="s">
        <v>1172</v>
      </c>
      <c r="B1123" s="28" t="s">
        <v>1892</v>
      </c>
      <c r="C1123" s="101"/>
      <c r="D1123" s="17"/>
      <c r="E1123" s="13"/>
      <c r="F1123" s="43"/>
      <c r="G1123" s="7"/>
    </row>
    <row r="1124" spans="1:7" ht="13.2" x14ac:dyDescent="0.25">
      <c r="A1124" s="119" t="s">
        <v>1174</v>
      </c>
      <c r="B1124" s="121" t="s">
        <v>1620</v>
      </c>
      <c r="C1124" s="101" t="s">
        <v>13</v>
      </c>
      <c r="D1124" s="150">
        <v>0</v>
      </c>
      <c r="E1124" s="13">
        <v>0</v>
      </c>
      <c r="F1124" s="43">
        <f t="shared" ref="F1124:F1142" si="42">D1124*E1124</f>
        <v>0</v>
      </c>
      <c r="G1124" s="7"/>
    </row>
    <row r="1125" spans="1:7" ht="13.2" x14ac:dyDescent="0.25">
      <c r="A1125" s="119" t="s">
        <v>1176</v>
      </c>
      <c r="B1125" s="121" t="s">
        <v>1519</v>
      </c>
      <c r="C1125" s="101" t="s">
        <v>13</v>
      </c>
      <c r="D1125" s="150">
        <v>0</v>
      </c>
      <c r="E1125" s="13">
        <v>0</v>
      </c>
      <c r="F1125" s="43">
        <f t="shared" si="42"/>
        <v>0</v>
      </c>
      <c r="G1125" s="7"/>
    </row>
    <row r="1126" spans="1:7" ht="13.2" x14ac:dyDescent="0.25">
      <c r="A1126" s="119" t="s">
        <v>1178</v>
      </c>
      <c r="B1126" s="121" t="s">
        <v>1520</v>
      </c>
      <c r="C1126" s="101" t="s">
        <v>13</v>
      </c>
      <c r="D1126" s="150">
        <v>0</v>
      </c>
      <c r="E1126" s="13">
        <v>0</v>
      </c>
      <c r="F1126" s="43">
        <f t="shared" si="42"/>
        <v>0</v>
      </c>
      <c r="G1126" s="7"/>
    </row>
    <row r="1127" spans="1:7" ht="13.2" x14ac:dyDescent="0.25">
      <c r="A1127" s="119" t="s">
        <v>1180</v>
      </c>
      <c r="B1127" s="121" t="s">
        <v>1521</v>
      </c>
      <c r="C1127" s="101" t="s">
        <v>13</v>
      </c>
      <c r="D1127" s="150">
        <v>0</v>
      </c>
      <c r="E1127" s="13">
        <v>0</v>
      </c>
      <c r="F1127" s="43">
        <f t="shared" si="42"/>
        <v>0</v>
      </c>
      <c r="G1127" s="7"/>
    </row>
    <row r="1128" spans="1:7" ht="13.2" x14ac:dyDescent="0.25">
      <c r="A1128" s="119" t="s">
        <v>1182</v>
      </c>
      <c r="B1128" s="121" t="s">
        <v>1522</v>
      </c>
      <c r="C1128" s="101" t="s">
        <v>13</v>
      </c>
      <c r="D1128" s="150">
        <v>0</v>
      </c>
      <c r="E1128" s="13">
        <v>0</v>
      </c>
      <c r="F1128" s="43">
        <f t="shared" si="42"/>
        <v>0</v>
      </c>
      <c r="G1128" s="7"/>
    </row>
    <row r="1129" spans="1:7" ht="13.2" x14ac:dyDescent="0.25">
      <c r="A1129" s="119" t="s">
        <v>1184</v>
      </c>
      <c r="B1129" s="121" t="s">
        <v>1523</v>
      </c>
      <c r="C1129" s="101" t="s">
        <v>13</v>
      </c>
      <c r="D1129" s="150">
        <v>0</v>
      </c>
      <c r="E1129" s="13">
        <v>0</v>
      </c>
      <c r="F1129" s="43">
        <f t="shared" si="42"/>
        <v>0</v>
      </c>
      <c r="G1129" s="7"/>
    </row>
    <row r="1130" spans="1:7" ht="13.2" x14ac:dyDescent="0.25">
      <c r="A1130" s="119" t="s">
        <v>1186</v>
      </c>
      <c r="B1130" s="121" t="s">
        <v>1524</v>
      </c>
      <c r="C1130" s="101" t="s">
        <v>13</v>
      </c>
      <c r="D1130" s="150">
        <v>0</v>
      </c>
      <c r="E1130" s="13">
        <v>0</v>
      </c>
      <c r="F1130" s="43">
        <f t="shared" si="42"/>
        <v>0</v>
      </c>
      <c r="G1130" s="7"/>
    </row>
    <row r="1131" spans="1:7" ht="13.2" x14ac:dyDescent="0.25">
      <c r="A1131" s="119" t="s">
        <v>1188</v>
      </c>
      <c r="B1131" s="121" t="s">
        <v>1525</v>
      </c>
      <c r="C1131" s="101" t="s">
        <v>13</v>
      </c>
      <c r="D1131" s="150">
        <v>0</v>
      </c>
      <c r="E1131" s="13">
        <v>0</v>
      </c>
      <c r="F1131" s="43">
        <f t="shared" si="42"/>
        <v>0</v>
      </c>
      <c r="G1131" s="7"/>
    </row>
    <row r="1132" spans="1:7" ht="13.2" x14ac:dyDescent="0.25">
      <c r="A1132" s="119" t="s">
        <v>1676</v>
      </c>
      <c r="B1132" s="121" t="s">
        <v>1526</v>
      </c>
      <c r="C1132" s="101" t="s">
        <v>13</v>
      </c>
      <c r="D1132" s="150">
        <v>0</v>
      </c>
      <c r="E1132" s="13">
        <v>0</v>
      </c>
      <c r="F1132" s="43">
        <f t="shared" si="42"/>
        <v>0</v>
      </c>
      <c r="G1132" s="7"/>
    </row>
    <row r="1133" spans="1:7" ht="13.2" x14ac:dyDescent="0.25">
      <c r="A1133" s="119" t="s">
        <v>1683</v>
      </c>
      <c r="B1133" s="121" t="s">
        <v>1527</v>
      </c>
      <c r="C1133" s="101" t="s">
        <v>13</v>
      </c>
      <c r="D1133" s="150">
        <v>0</v>
      </c>
      <c r="E1133" s="13">
        <v>0</v>
      </c>
      <c r="F1133" s="43">
        <f t="shared" si="42"/>
        <v>0</v>
      </c>
      <c r="G1133" s="7"/>
    </row>
    <row r="1134" spans="1:7" ht="13.2" x14ac:dyDescent="0.25">
      <c r="A1134" s="119" t="s">
        <v>1684</v>
      </c>
      <c r="B1134" s="121" t="s">
        <v>1528</v>
      </c>
      <c r="C1134" s="101" t="s">
        <v>13</v>
      </c>
      <c r="D1134" s="150">
        <v>0</v>
      </c>
      <c r="E1134" s="13">
        <v>0</v>
      </c>
      <c r="F1134" s="43">
        <f t="shared" si="42"/>
        <v>0</v>
      </c>
      <c r="G1134" s="7"/>
    </row>
    <row r="1135" spans="1:7" ht="13.2" x14ac:dyDescent="0.25">
      <c r="A1135" s="119" t="s">
        <v>1685</v>
      </c>
      <c r="B1135" s="121" t="s">
        <v>1529</v>
      </c>
      <c r="C1135" s="101" t="s">
        <v>13</v>
      </c>
      <c r="D1135" s="150">
        <v>0</v>
      </c>
      <c r="E1135" s="13">
        <v>0</v>
      </c>
      <c r="F1135" s="43">
        <f t="shared" si="42"/>
        <v>0</v>
      </c>
      <c r="G1135" s="7"/>
    </row>
    <row r="1136" spans="1:7" ht="13.2" x14ac:dyDescent="0.25">
      <c r="A1136" s="119" t="s">
        <v>1686</v>
      </c>
      <c r="B1136" s="121" t="s">
        <v>1530</v>
      </c>
      <c r="C1136" s="101" t="s">
        <v>13</v>
      </c>
      <c r="D1136" s="150">
        <v>0</v>
      </c>
      <c r="E1136" s="13">
        <v>0</v>
      </c>
      <c r="F1136" s="43">
        <f t="shared" si="42"/>
        <v>0</v>
      </c>
      <c r="G1136" s="7"/>
    </row>
    <row r="1137" spans="1:7" ht="13.2" x14ac:dyDescent="0.25">
      <c r="A1137" s="119" t="s">
        <v>1687</v>
      </c>
      <c r="B1137" s="121" t="s">
        <v>1531</v>
      </c>
      <c r="C1137" s="101" t="s">
        <v>13</v>
      </c>
      <c r="D1137" s="150">
        <v>0</v>
      </c>
      <c r="E1137" s="13">
        <v>0</v>
      </c>
      <c r="F1137" s="43">
        <f t="shared" si="42"/>
        <v>0</v>
      </c>
      <c r="G1137" s="7"/>
    </row>
    <row r="1138" spans="1:7" ht="13.2" x14ac:dyDescent="0.25">
      <c r="A1138" s="119" t="s">
        <v>1688</v>
      </c>
      <c r="B1138" s="121" t="s">
        <v>1532</v>
      </c>
      <c r="C1138" s="101" t="s">
        <v>13</v>
      </c>
      <c r="D1138" s="150">
        <v>0</v>
      </c>
      <c r="E1138" s="13">
        <v>0</v>
      </c>
      <c r="F1138" s="43">
        <f t="shared" si="42"/>
        <v>0</v>
      </c>
      <c r="G1138" s="7"/>
    </row>
    <row r="1139" spans="1:7" ht="13.2" x14ac:dyDescent="0.25">
      <c r="A1139" s="119" t="s">
        <v>1689</v>
      </c>
      <c r="B1139" s="121" t="s">
        <v>1533</v>
      </c>
      <c r="C1139" s="101" t="s">
        <v>13</v>
      </c>
      <c r="D1139" s="150">
        <v>0</v>
      </c>
      <c r="E1139" s="13">
        <v>0</v>
      </c>
      <c r="F1139" s="43">
        <f t="shared" si="42"/>
        <v>0</v>
      </c>
      <c r="G1139" s="7"/>
    </row>
    <row r="1140" spans="1:7" ht="13.2" x14ac:dyDescent="0.25">
      <c r="A1140" s="119" t="s">
        <v>1820</v>
      </c>
      <c r="B1140" s="121" t="s">
        <v>1534</v>
      </c>
      <c r="C1140" s="101" t="s">
        <v>13</v>
      </c>
      <c r="D1140" s="150">
        <v>0</v>
      </c>
      <c r="E1140" s="13">
        <v>0</v>
      </c>
      <c r="F1140" s="43">
        <f t="shared" si="42"/>
        <v>0</v>
      </c>
      <c r="G1140" s="7"/>
    </row>
    <row r="1141" spans="1:7" ht="13.2" x14ac:dyDescent="0.25">
      <c r="A1141" s="119" t="s">
        <v>1821</v>
      </c>
      <c r="B1141" s="121" t="s">
        <v>1535</v>
      </c>
      <c r="C1141" s="101" t="s">
        <v>13</v>
      </c>
      <c r="D1141" s="150">
        <v>0</v>
      </c>
      <c r="E1141" s="13">
        <v>0</v>
      </c>
      <c r="F1141" s="43">
        <f t="shared" si="42"/>
        <v>0</v>
      </c>
      <c r="G1141" s="7"/>
    </row>
    <row r="1142" spans="1:7" ht="13.2" x14ac:dyDescent="0.25">
      <c r="A1142" s="29" t="s">
        <v>554</v>
      </c>
      <c r="B1142" s="28" t="s">
        <v>1937</v>
      </c>
      <c r="C1142" s="101" t="s">
        <v>13</v>
      </c>
      <c r="D1142" s="150">
        <v>0</v>
      </c>
      <c r="E1142" s="13">
        <v>0</v>
      </c>
      <c r="F1142" s="43">
        <f t="shared" si="42"/>
        <v>0</v>
      </c>
      <c r="G1142" s="7"/>
    </row>
    <row r="1143" spans="1:7" ht="13.2" x14ac:dyDescent="0.25">
      <c r="A1143" s="29" t="s">
        <v>523</v>
      </c>
      <c r="B1143" s="28" t="s">
        <v>2016</v>
      </c>
      <c r="C1143" s="101"/>
      <c r="D1143" s="17"/>
      <c r="E1143" s="13"/>
      <c r="F1143" s="43"/>
      <c r="G1143" s="7"/>
    </row>
    <row r="1144" spans="1:7" ht="13.2" x14ac:dyDescent="0.25">
      <c r="A1144" s="119" t="s">
        <v>525</v>
      </c>
      <c r="B1144" s="121" t="s">
        <v>2265</v>
      </c>
      <c r="C1144" s="101" t="s">
        <v>13</v>
      </c>
      <c r="D1144" s="150">
        <v>0</v>
      </c>
      <c r="E1144" s="13">
        <v>0</v>
      </c>
      <c r="F1144" s="43">
        <f>D1144*E1144</f>
        <v>0</v>
      </c>
      <c r="G1144" s="7"/>
    </row>
    <row r="1145" spans="1:7" ht="13.2" x14ac:dyDescent="0.25">
      <c r="A1145" s="119" t="s">
        <v>526</v>
      </c>
      <c r="B1145" s="121" t="s">
        <v>2266</v>
      </c>
      <c r="C1145" s="101" t="s">
        <v>13</v>
      </c>
      <c r="D1145" s="150">
        <v>0</v>
      </c>
      <c r="E1145" s="13">
        <v>0</v>
      </c>
      <c r="F1145" s="43">
        <f>D1145*E1145</f>
        <v>0</v>
      </c>
      <c r="G1145" s="7"/>
    </row>
    <row r="1146" spans="1:7" ht="13.2" x14ac:dyDescent="0.25">
      <c r="A1146" s="119" t="s">
        <v>527</v>
      </c>
      <c r="B1146" s="121" t="s">
        <v>2267</v>
      </c>
      <c r="C1146" s="101" t="s">
        <v>13</v>
      </c>
      <c r="D1146" s="150">
        <v>0</v>
      </c>
      <c r="E1146" s="13">
        <v>0</v>
      </c>
      <c r="F1146" s="43">
        <f>D1146*E1146</f>
        <v>0</v>
      </c>
      <c r="G1146" s="7"/>
    </row>
    <row r="1147" spans="1:7" ht="13.2" x14ac:dyDescent="0.25">
      <c r="A1147" s="119" t="s">
        <v>1677</v>
      </c>
      <c r="B1147" s="121" t="s">
        <v>2268</v>
      </c>
      <c r="C1147" s="101" t="s">
        <v>13</v>
      </c>
      <c r="D1147" s="150">
        <v>0</v>
      </c>
      <c r="E1147" s="13">
        <v>0</v>
      </c>
      <c r="F1147" s="43">
        <f>D1147*E1147</f>
        <v>0</v>
      </c>
      <c r="G1147" s="7"/>
    </row>
    <row r="1148" spans="1:7" ht="13.2" x14ac:dyDescent="0.25">
      <c r="A1148" s="119" t="s">
        <v>1678</v>
      </c>
      <c r="B1148" s="121" t="s">
        <v>2844</v>
      </c>
      <c r="C1148" s="101"/>
      <c r="D1148" s="17"/>
      <c r="E1148" s="13"/>
      <c r="F1148" s="43"/>
      <c r="G1148" s="7"/>
    </row>
    <row r="1149" spans="1:7" ht="13.2" x14ac:dyDescent="0.25">
      <c r="A1149" s="119" t="s">
        <v>2621</v>
      </c>
      <c r="B1149" s="121" t="s">
        <v>2269</v>
      </c>
      <c r="C1149" s="101" t="s">
        <v>13</v>
      </c>
      <c r="D1149" s="150">
        <v>0</v>
      </c>
      <c r="E1149" s="13">
        <v>0</v>
      </c>
      <c r="F1149" s="43">
        <f>D1149*E1149</f>
        <v>0</v>
      </c>
      <c r="G1149" s="7"/>
    </row>
    <row r="1150" spans="1:7" ht="13.2" x14ac:dyDescent="0.25">
      <c r="A1150" s="119" t="s">
        <v>2622</v>
      </c>
      <c r="B1150" s="121" t="s">
        <v>2270</v>
      </c>
      <c r="C1150" s="101" t="s">
        <v>13</v>
      </c>
      <c r="D1150" s="150">
        <v>0</v>
      </c>
      <c r="E1150" s="13">
        <v>0</v>
      </c>
      <c r="F1150" s="43">
        <f>D1150*E1150</f>
        <v>0</v>
      </c>
      <c r="G1150" s="7"/>
    </row>
    <row r="1151" spans="1:7" ht="13.2" x14ac:dyDescent="0.25">
      <c r="A1151" s="119" t="s">
        <v>2623</v>
      </c>
      <c r="B1151" s="121" t="s">
        <v>2271</v>
      </c>
      <c r="C1151" s="101" t="s">
        <v>13</v>
      </c>
      <c r="D1151" s="150">
        <v>0</v>
      </c>
      <c r="E1151" s="13">
        <v>0</v>
      </c>
      <c r="F1151" s="43">
        <f>D1151*E1151</f>
        <v>0</v>
      </c>
      <c r="G1151" s="7"/>
    </row>
    <row r="1152" spans="1:7" ht="13.2" x14ac:dyDescent="0.25">
      <c r="A1152" s="29" t="s">
        <v>528</v>
      </c>
      <c r="B1152" s="28" t="s">
        <v>2037</v>
      </c>
      <c r="C1152" s="101"/>
      <c r="D1152" s="17"/>
      <c r="E1152" s="13"/>
      <c r="F1152" s="43"/>
      <c r="G1152" s="7"/>
    </row>
    <row r="1153" spans="1:7" ht="13.2" x14ac:dyDescent="0.25">
      <c r="A1153" s="119" t="s">
        <v>530</v>
      </c>
      <c r="B1153" s="121" t="s">
        <v>2038</v>
      </c>
      <c r="C1153" s="101" t="s">
        <v>13</v>
      </c>
      <c r="D1153" s="150">
        <v>0</v>
      </c>
      <c r="E1153" s="13">
        <v>0</v>
      </c>
      <c r="F1153" s="43">
        <f>D1153*E1153</f>
        <v>0</v>
      </c>
      <c r="G1153" s="7"/>
    </row>
    <row r="1154" spans="1:7" ht="13.2" x14ac:dyDescent="0.25">
      <c r="A1154" s="119" t="s">
        <v>531</v>
      </c>
      <c r="B1154" s="121" t="s">
        <v>2272</v>
      </c>
      <c r="C1154" s="101" t="s">
        <v>13</v>
      </c>
      <c r="D1154" s="150">
        <v>0</v>
      </c>
      <c r="E1154" s="13">
        <v>0</v>
      </c>
      <c r="F1154" s="43">
        <f>D1154*E1154</f>
        <v>0</v>
      </c>
      <c r="G1154" s="7"/>
    </row>
    <row r="1155" spans="1:7" ht="13.2" x14ac:dyDescent="0.25">
      <c r="A1155" s="119" t="s">
        <v>532</v>
      </c>
      <c r="B1155" s="121" t="s">
        <v>2039</v>
      </c>
      <c r="C1155" s="101"/>
      <c r="D1155" s="17"/>
      <c r="E1155" s="13"/>
      <c r="F1155" s="43"/>
      <c r="G1155" s="7"/>
    </row>
    <row r="1156" spans="1:7" ht="13.2" x14ac:dyDescent="0.25">
      <c r="A1156" s="119" t="s">
        <v>2624</v>
      </c>
      <c r="B1156" s="121" t="s">
        <v>2269</v>
      </c>
      <c r="C1156" s="101" t="s">
        <v>13</v>
      </c>
      <c r="D1156" s="150">
        <v>0</v>
      </c>
      <c r="E1156" s="13">
        <v>0</v>
      </c>
      <c r="F1156" s="43">
        <f>D1156*E1156</f>
        <v>0</v>
      </c>
      <c r="G1156" s="7"/>
    </row>
    <row r="1157" spans="1:7" ht="13.2" x14ac:dyDescent="0.25">
      <c r="A1157" s="119" t="s">
        <v>2625</v>
      </c>
      <c r="B1157" s="121" t="s">
        <v>2270</v>
      </c>
      <c r="C1157" s="101" t="s">
        <v>13</v>
      </c>
      <c r="D1157" s="150">
        <v>0</v>
      </c>
      <c r="E1157" s="13">
        <v>0</v>
      </c>
      <c r="F1157" s="43">
        <f>D1157*E1157</f>
        <v>0</v>
      </c>
      <c r="G1157" s="7"/>
    </row>
    <row r="1158" spans="1:7" ht="13.2" x14ac:dyDescent="0.25">
      <c r="A1158" s="119" t="s">
        <v>2626</v>
      </c>
      <c r="B1158" s="121" t="s">
        <v>2271</v>
      </c>
      <c r="C1158" s="101" t="s">
        <v>13</v>
      </c>
      <c r="D1158" s="150">
        <v>0</v>
      </c>
      <c r="E1158" s="13">
        <v>0</v>
      </c>
      <c r="F1158" s="43">
        <f>D1158*E1158</f>
        <v>0</v>
      </c>
      <c r="G1158" s="7"/>
    </row>
    <row r="1159" spans="1:7" ht="13.2" x14ac:dyDescent="0.25">
      <c r="A1159" s="29" t="s">
        <v>533</v>
      </c>
      <c r="B1159" s="28" t="s">
        <v>1938</v>
      </c>
      <c r="C1159" s="101"/>
      <c r="D1159" s="17"/>
      <c r="E1159" s="13"/>
      <c r="F1159" s="43"/>
      <c r="G1159" s="7"/>
    </row>
    <row r="1160" spans="1:7" ht="13.2" x14ac:dyDescent="0.25">
      <c r="A1160" s="119" t="s">
        <v>534</v>
      </c>
      <c r="B1160" s="121" t="s">
        <v>1497</v>
      </c>
      <c r="C1160" s="101" t="s">
        <v>13</v>
      </c>
      <c r="D1160" s="150">
        <v>0</v>
      </c>
      <c r="E1160" s="13">
        <v>0</v>
      </c>
      <c r="F1160" s="43">
        <f t="shared" ref="F1160:F1165" si="43">D1160*E1160</f>
        <v>0</v>
      </c>
      <c r="G1160" s="7"/>
    </row>
    <row r="1161" spans="1:7" ht="13.2" x14ac:dyDescent="0.25">
      <c r="A1161" s="119" t="s">
        <v>535</v>
      </c>
      <c r="B1161" s="121" t="s">
        <v>1498</v>
      </c>
      <c r="C1161" s="101" t="s">
        <v>13</v>
      </c>
      <c r="D1161" s="150">
        <v>0</v>
      </c>
      <c r="E1161" s="13">
        <v>0</v>
      </c>
      <c r="F1161" s="43">
        <f t="shared" si="43"/>
        <v>0</v>
      </c>
      <c r="G1161" s="7"/>
    </row>
    <row r="1162" spans="1:7" ht="13.2" x14ac:dyDescent="0.25">
      <c r="A1162" s="29" t="s">
        <v>1621</v>
      </c>
      <c r="B1162" s="28" t="s">
        <v>1932</v>
      </c>
      <c r="C1162" s="101" t="s">
        <v>13</v>
      </c>
      <c r="D1162" s="150">
        <v>0</v>
      </c>
      <c r="E1162" s="13">
        <v>0</v>
      </c>
      <c r="F1162" s="43">
        <f t="shared" si="43"/>
        <v>0</v>
      </c>
      <c r="G1162" s="7"/>
    </row>
    <row r="1163" spans="1:7" ht="13.2" x14ac:dyDescent="0.25">
      <c r="A1163" s="29" t="s">
        <v>1679</v>
      </c>
      <c r="B1163" s="28" t="s">
        <v>1939</v>
      </c>
      <c r="C1163" s="101" t="s">
        <v>13</v>
      </c>
      <c r="D1163" s="150">
        <v>0</v>
      </c>
      <c r="E1163" s="13">
        <v>0</v>
      </c>
      <c r="F1163" s="43">
        <f t="shared" si="43"/>
        <v>0</v>
      </c>
      <c r="G1163" s="7"/>
    </row>
    <row r="1164" spans="1:7" ht="13.2" x14ac:dyDescent="0.25">
      <c r="A1164" s="29" t="s">
        <v>1680</v>
      </c>
      <c r="B1164" s="28" t="s">
        <v>1940</v>
      </c>
      <c r="C1164" s="101" t="s">
        <v>13</v>
      </c>
      <c r="D1164" s="150">
        <v>0</v>
      </c>
      <c r="E1164" s="13">
        <v>0</v>
      </c>
      <c r="F1164" s="43">
        <f t="shared" si="43"/>
        <v>0</v>
      </c>
      <c r="G1164" s="7"/>
    </row>
    <row r="1165" spans="1:7" ht="13.2" x14ac:dyDescent="0.25">
      <c r="A1165" s="29" t="s">
        <v>1681</v>
      </c>
      <c r="B1165" s="28" t="s">
        <v>1941</v>
      </c>
      <c r="C1165" s="101" t="s">
        <v>13</v>
      </c>
      <c r="D1165" s="150">
        <v>0</v>
      </c>
      <c r="E1165" s="13">
        <v>0</v>
      </c>
      <c r="F1165" s="43">
        <f t="shared" si="43"/>
        <v>0</v>
      </c>
      <c r="G1165" s="7"/>
    </row>
    <row r="1166" spans="1:7" ht="13.2" x14ac:dyDescent="0.25">
      <c r="A1166" s="29" t="s">
        <v>1682</v>
      </c>
      <c r="B1166" s="28" t="s">
        <v>1942</v>
      </c>
      <c r="C1166" s="38"/>
      <c r="D1166" s="17"/>
      <c r="E1166" s="13"/>
      <c r="F1166" s="43"/>
      <c r="G1166" s="7"/>
    </row>
    <row r="1167" spans="1:7" ht="13.2" x14ac:dyDescent="0.25">
      <c r="A1167" s="119" t="s">
        <v>2488</v>
      </c>
      <c r="B1167" s="121" t="s">
        <v>1500</v>
      </c>
      <c r="C1167" s="101" t="s">
        <v>13</v>
      </c>
      <c r="D1167" s="150">
        <v>0</v>
      </c>
      <c r="E1167" s="13">
        <v>0</v>
      </c>
      <c r="F1167" s="43">
        <f t="shared" ref="F1167:F1173" si="44">D1167*E1167</f>
        <v>0</v>
      </c>
      <c r="G1167" s="7"/>
    </row>
    <row r="1168" spans="1:7" ht="13.2" x14ac:dyDescent="0.25">
      <c r="A1168" s="119" t="s">
        <v>2489</v>
      </c>
      <c r="B1168" s="121" t="s">
        <v>1501</v>
      </c>
      <c r="C1168" s="101" t="s">
        <v>13</v>
      </c>
      <c r="D1168" s="150">
        <v>0</v>
      </c>
      <c r="E1168" s="13">
        <v>0</v>
      </c>
      <c r="F1168" s="43">
        <f t="shared" si="44"/>
        <v>0</v>
      </c>
      <c r="G1168" s="7"/>
    </row>
    <row r="1169" spans="1:7" ht="13.2" x14ac:dyDescent="0.25">
      <c r="A1169" s="119" t="s">
        <v>2490</v>
      </c>
      <c r="B1169" s="121" t="s">
        <v>1502</v>
      </c>
      <c r="C1169" s="101" t="s">
        <v>13</v>
      </c>
      <c r="D1169" s="150">
        <v>0</v>
      </c>
      <c r="E1169" s="13">
        <v>0</v>
      </c>
      <c r="F1169" s="43">
        <f t="shared" si="44"/>
        <v>0</v>
      </c>
      <c r="G1169" s="7"/>
    </row>
    <row r="1170" spans="1:7" ht="13.2" x14ac:dyDescent="0.25">
      <c r="A1170" s="119" t="s">
        <v>2491</v>
      </c>
      <c r="B1170" s="121" t="s">
        <v>1503</v>
      </c>
      <c r="C1170" s="101" t="s">
        <v>13</v>
      </c>
      <c r="D1170" s="150">
        <v>0</v>
      </c>
      <c r="E1170" s="13">
        <v>0</v>
      </c>
      <c r="F1170" s="43">
        <f t="shared" si="44"/>
        <v>0</v>
      </c>
      <c r="G1170" s="7"/>
    </row>
    <row r="1171" spans="1:7" ht="13.2" x14ac:dyDescent="0.25">
      <c r="A1171" s="119" t="s">
        <v>2492</v>
      </c>
      <c r="B1171" s="121" t="s">
        <v>1504</v>
      </c>
      <c r="C1171" s="101" t="s">
        <v>13</v>
      </c>
      <c r="D1171" s="150">
        <v>0</v>
      </c>
      <c r="E1171" s="13">
        <v>0</v>
      </c>
      <c r="F1171" s="43">
        <f t="shared" si="44"/>
        <v>0</v>
      </c>
      <c r="G1171" s="7"/>
    </row>
    <row r="1172" spans="1:7" ht="13.2" x14ac:dyDescent="0.25">
      <c r="A1172" s="119" t="s">
        <v>2493</v>
      </c>
      <c r="B1172" s="121" t="s">
        <v>1505</v>
      </c>
      <c r="C1172" s="101" t="s">
        <v>13</v>
      </c>
      <c r="D1172" s="150">
        <v>0</v>
      </c>
      <c r="E1172" s="13">
        <v>0</v>
      </c>
      <c r="F1172" s="43">
        <f t="shared" si="44"/>
        <v>0</v>
      </c>
      <c r="G1172" s="7"/>
    </row>
    <row r="1173" spans="1:7" ht="13.2" x14ac:dyDescent="0.25">
      <c r="A1173" s="119" t="s">
        <v>2494</v>
      </c>
      <c r="B1173" s="121" t="s">
        <v>1506</v>
      </c>
      <c r="C1173" s="101" t="s">
        <v>13</v>
      </c>
      <c r="D1173" s="150">
        <v>0</v>
      </c>
      <c r="E1173" s="13">
        <v>0</v>
      </c>
      <c r="F1173" s="43">
        <f t="shared" si="44"/>
        <v>0</v>
      </c>
      <c r="G1173" s="7"/>
    </row>
    <row r="1174" spans="1:7" ht="13.2" x14ac:dyDescent="0.25">
      <c r="A1174" s="119" t="s">
        <v>2495</v>
      </c>
      <c r="B1174" s="121" t="s">
        <v>2150</v>
      </c>
      <c r="C1174" s="101"/>
      <c r="D1174" s="17"/>
      <c r="E1174" s="13"/>
      <c r="F1174" s="43"/>
      <c r="G1174" s="7"/>
    </row>
    <row r="1175" spans="1:7" ht="13.2" x14ac:dyDescent="0.25">
      <c r="A1175" s="119" t="s">
        <v>2782</v>
      </c>
      <c r="B1175" s="121" t="s">
        <v>2151</v>
      </c>
      <c r="C1175" s="101" t="s">
        <v>13</v>
      </c>
      <c r="D1175" s="150">
        <v>0</v>
      </c>
      <c r="E1175" s="13">
        <v>0</v>
      </c>
      <c r="F1175" s="43">
        <f t="shared" ref="F1175:F1196" si="45">D1175*E1175</f>
        <v>0</v>
      </c>
      <c r="G1175" s="7"/>
    </row>
    <row r="1176" spans="1:7" ht="13.2" x14ac:dyDescent="0.25">
      <c r="A1176" s="119" t="s">
        <v>2783</v>
      </c>
      <c r="B1176" s="121" t="s">
        <v>2152</v>
      </c>
      <c r="C1176" s="101" t="s">
        <v>13</v>
      </c>
      <c r="D1176" s="150">
        <v>0</v>
      </c>
      <c r="E1176" s="13">
        <v>0</v>
      </c>
      <c r="F1176" s="43">
        <f t="shared" si="45"/>
        <v>0</v>
      </c>
      <c r="G1176" s="7"/>
    </row>
    <row r="1177" spans="1:7" ht="13.2" x14ac:dyDescent="0.25">
      <c r="A1177" s="119" t="s">
        <v>2784</v>
      </c>
      <c r="B1177" s="121" t="s">
        <v>2153</v>
      </c>
      <c r="C1177" s="101" t="s">
        <v>13</v>
      </c>
      <c r="D1177" s="150">
        <v>0</v>
      </c>
      <c r="E1177" s="13">
        <v>0</v>
      </c>
      <c r="F1177" s="43">
        <f t="shared" si="45"/>
        <v>0</v>
      </c>
      <c r="G1177" s="7"/>
    </row>
    <row r="1178" spans="1:7" ht="13.2" x14ac:dyDescent="0.25">
      <c r="A1178" s="119" t="s">
        <v>2785</v>
      </c>
      <c r="B1178" s="121" t="s">
        <v>2154</v>
      </c>
      <c r="C1178" s="101" t="s">
        <v>13</v>
      </c>
      <c r="D1178" s="150">
        <v>0</v>
      </c>
      <c r="E1178" s="13">
        <v>0</v>
      </c>
      <c r="F1178" s="43">
        <f t="shared" si="45"/>
        <v>0</v>
      </c>
      <c r="G1178" s="7"/>
    </row>
    <row r="1179" spans="1:7" ht="13.2" x14ac:dyDescent="0.25">
      <c r="A1179" s="119" t="s">
        <v>2786</v>
      </c>
      <c r="B1179" s="121" t="s">
        <v>2155</v>
      </c>
      <c r="C1179" s="101" t="s">
        <v>13</v>
      </c>
      <c r="D1179" s="150">
        <v>0</v>
      </c>
      <c r="E1179" s="13">
        <v>0</v>
      </c>
      <c r="F1179" s="43">
        <f t="shared" si="45"/>
        <v>0</v>
      </c>
      <c r="G1179" s="7"/>
    </row>
    <row r="1180" spans="1:7" ht="13.2" x14ac:dyDescent="0.25">
      <c r="A1180" s="119" t="s">
        <v>2787</v>
      </c>
      <c r="B1180" s="121" t="s">
        <v>2156</v>
      </c>
      <c r="C1180" s="101" t="s">
        <v>13</v>
      </c>
      <c r="D1180" s="150">
        <v>0</v>
      </c>
      <c r="E1180" s="13">
        <v>0</v>
      </c>
      <c r="F1180" s="43">
        <f t="shared" si="45"/>
        <v>0</v>
      </c>
      <c r="G1180" s="7"/>
    </row>
    <row r="1181" spans="1:7" ht="13.2" x14ac:dyDescent="0.25">
      <c r="A1181" s="119" t="s">
        <v>2788</v>
      </c>
      <c r="B1181" s="121" t="s">
        <v>2157</v>
      </c>
      <c r="C1181" s="101" t="s">
        <v>13</v>
      </c>
      <c r="D1181" s="150">
        <v>0</v>
      </c>
      <c r="E1181" s="13">
        <v>0</v>
      </c>
      <c r="F1181" s="43">
        <f t="shared" si="45"/>
        <v>0</v>
      </c>
      <c r="G1181" s="7"/>
    </row>
    <row r="1182" spans="1:7" ht="13.2" x14ac:dyDescent="0.25">
      <c r="A1182" s="119" t="s">
        <v>2789</v>
      </c>
      <c r="B1182" s="121" t="s">
        <v>2158</v>
      </c>
      <c r="C1182" s="101" t="s">
        <v>13</v>
      </c>
      <c r="D1182" s="150">
        <v>0</v>
      </c>
      <c r="E1182" s="13">
        <v>0</v>
      </c>
      <c r="F1182" s="43">
        <f t="shared" si="45"/>
        <v>0</v>
      </c>
      <c r="G1182" s="7"/>
    </row>
    <row r="1183" spans="1:7" ht="13.2" x14ac:dyDescent="0.25">
      <c r="A1183" s="119" t="s">
        <v>2790</v>
      </c>
      <c r="B1183" s="121" t="s">
        <v>2159</v>
      </c>
      <c r="C1183" s="101" t="s">
        <v>13</v>
      </c>
      <c r="D1183" s="150">
        <v>0</v>
      </c>
      <c r="E1183" s="13">
        <v>0</v>
      </c>
      <c r="F1183" s="43">
        <f t="shared" si="45"/>
        <v>0</v>
      </c>
      <c r="G1183" s="7"/>
    </row>
    <row r="1184" spans="1:7" ht="13.2" x14ac:dyDescent="0.25">
      <c r="A1184" s="119" t="s">
        <v>2791</v>
      </c>
      <c r="B1184" s="121" t="s">
        <v>2160</v>
      </c>
      <c r="C1184" s="101" t="s">
        <v>13</v>
      </c>
      <c r="D1184" s="150">
        <v>0</v>
      </c>
      <c r="E1184" s="13">
        <v>0</v>
      </c>
      <c r="F1184" s="43">
        <f t="shared" si="45"/>
        <v>0</v>
      </c>
      <c r="G1184" s="7"/>
    </row>
    <row r="1185" spans="1:7" ht="13.2" x14ac:dyDescent="0.25">
      <c r="A1185" s="119" t="s">
        <v>2792</v>
      </c>
      <c r="B1185" s="121" t="s">
        <v>2161</v>
      </c>
      <c r="C1185" s="101" t="s">
        <v>13</v>
      </c>
      <c r="D1185" s="150">
        <v>0</v>
      </c>
      <c r="E1185" s="13">
        <v>0</v>
      </c>
      <c r="F1185" s="43">
        <f t="shared" si="45"/>
        <v>0</v>
      </c>
      <c r="G1185" s="7"/>
    </row>
    <row r="1186" spans="1:7" ht="13.2" x14ac:dyDescent="0.25">
      <c r="A1186" s="119" t="s">
        <v>2793</v>
      </c>
      <c r="B1186" s="121" t="s">
        <v>2162</v>
      </c>
      <c r="C1186" s="101" t="s">
        <v>13</v>
      </c>
      <c r="D1186" s="150">
        <v>0</v>
      </c>
      <c r="E1186" s="13">
        <v>0</v>
      </c>
      <c r="F1186" s="43">
        <f t="shared" si="45"/>
        <v>0</v>
      </c>
      <c r="G1186" s="7"/>
    </row>
    <row r="1187" spans="1:7" ht="13.2" x14ac:dyDescent="0.25">
      <c r="A1187" s="119" t="s">
        <v>2794</v>
      </c>
      <c r="B1187" s="121" t="s">
        <v>2163</v>
      </c>
      <c r="C1187" s="101" t="s">
        <v>13</v>
      </c>
      <c r="D1187" s="150">
        <v>0</v>
      </c>
      <c r="E1187" s="13">
        <v>0</v>
      </c>
      <c r="F1187" s="43">
        <f t="shared" si="45"/>
        <v>0</v>
      </c>
      <c r="G1187" s="7"/>
    </row>
    <row r="1188" spans="1:7" ht="13.2" x14ac:dyDescent="0.25">
      <c r="A1188" s="119" t="s">
        <v>2795</v>
      </c>
      <c r="B1188" s="121" t="s">
        <v>2164</v>
      </c>
      <c r="C1188" s="101" t="s">
        <v>13</v>
      </c>
      <c r="D1188" s="150">
        <v>0</v>
      </c>
      <c r="E1188" s="13">
        <v>0</v>
      </c>
      <c r="F1188" s="43">
        <f t="shared" si="45"/>
        <v>0</v>
      </c>
      <c r="G1188" s="7"/>
    </row>
    <row r="1189" spans="1:7" ht="13.2" x14ac:dyDescent="0.25">
      <c r="A1189" s="119" t="s">
        <v>2796</v>
      </c>
      <c r="B1189" s="121" t="s">
        <v>2165</v>
      </c>
      <c r="C1189" s="101" t="s">
        <v>13</v>
      </c>
      <c r="D1189" s="150">
        <v>0</v>
      </c>
      <c r="E1189" s="13">
        <v>0</v>
      </c>
      <c r="F1189" s="43">
        <f t="shared" si="45"/>
        <v>0</v>
      </c>
      <c r="G1189" s="7"/>
    </row>
    <row r="1190" spans="1:7" ht="13.2" x14ac:dyDescent="0.25">
      <c r="A1190" s="119" t="s">
        <v>2797</v>
      </c>
      <c r="B1190" s="121" t="s">
        <v>2320</v>
      </c>
      <c r="C1190" s="101" t="s">
        <v>13</v>
      </c>
      <c r="D1190" s="150">
        <v>0</v>
      </c>
      <c r="E1190" s="13">
        <v>0</v>
      </c>
      <c r="F1190" s="43">
        <f t="shared" si="45"/>
        <v>0</v>
      </c>
      <c r="G1190" s="7"/>
    </row>
    <row r="1191" spans="1:7" ht="13.2" x14ac:dyDescent="0.25">
      <c r="A1191" s="119" t="s">
        <v>2798</v>
      </c>
      <c r="B1191" s="121" t="s">
        <v>2321</v>
      </c>
      <c r="C1191" s="101" t="s">
        <v>13</v>
      </c>
      <c r="D1191" s="150">
        <v>0</v>
      </c>
      <c r="E1191" s="13">
        <v>0</v>
      </c>
      <c r="F1191" s="43">
        <f t="shared" si="45"/>
        <v>0</v>
      </c>
      <c r="G1191" s="7"/>
    </row>
    <row r="1192" spans="1:7" ht="13.2" x14ac:dyDescent="0.25">
      <c r="A1192" s="119" t="s">
        <v>2799</v>
      </c>
      <c r="B1192" s="121" t="s">
        <v>2322</v>
      </c>
      <c r="C1192" s="101" t="s">
        <v>13</v>
      </c>
      <c r="D1192" s="150">
        <v>0</v>
      </c>
      <c r="E1192" s="13">
        <v>0</v>
      </c>
      <c r="F1192" s="43">
        <f t="shared" si="45"/>
        <v>0</v>
      </c>
      <c r="G1192" s="7"/>
    </row>
    <row r="1193" spans="1:7" ht="13.2" x14ac:dyDescent="0.25">
      <c r="A1193" s="119" t="s">
        <v>2800</v>
      </c>
      <c r="B1193" s="121" t="s">
        <v>2323</v>
      </c>
      <c r="C1193" s="101" t="s">
        <v>13</v>
      </c>
      <c r="D1193" s="150">
        <v>0</v>
      </c>
      <c r="E1193" s="13">
        <v>0</v>
      </c>
      <c r="F1193" s="43">
        <f t="shared" si="45"/>
        <v>0</v>
      </c>
      <c r="G1193" s="7"/>
    </row>
    <row r="1194" spans="1:7" ht="13.2" x14ac:dyDescent="0.25">
      <c r="A1194" s="119" t="s">
        <v>2801</v>
      </c>
      <c r="B1194" s="121" t="s">
        <v>2324</v>
      </c>
      <c r="C1194" s="101" t="s">
        <v>13</v>
      </c>
      <c r="D1194" s="150">
        <v>0</v>
      </c>
      <c r="E1194" s="13">
        <v>0</v>
      </c>
      <c r="F1194" s="43">
        <f t="shared" si="45"/>
        <v>0</v>
      </c>
      <c r="G1194" s="7"/>
    </row>
    <row r="1195" spans="1:7" ht="13.2" x14ac:dyDescent="0.25">
      <c r="A1195" s="119" t="s">
        <v>2496</v>
      </c>
      <c r="B1195" s="121" t="s">
        <v>2166</v>
      </c>
      <c r="C1195" s="101" t="s">
        <v>13</v>
      </c>
      <c r="D1195" s="150">
        <v>0</v>
      </c>
      <c r="E1195" s="13">
        <v>0</v>
      </c>
      <c r="F1195" s="43">
        <f t="shared" si="45"/>
        <v>0</v>
      </c>
      <c r="G1195" s="7"/>
    </row>
    <row r="1196" spans="1:7" ht="13.2" x14ac:dyDescent="0.25">
      <c r="A1196" s="119" t="s">
        <v>2497</v>
      </c>
      <c r="B1196" s="121" t="s">
        <v>2273</v>
      </c>
      <c r="C1196" s="101" t="s">
        <v>13</v>
      </c>
      <c r="D1196" s="150">
        <v>0</v>
      </c>
      <c r="E1196" s="13">
        <v>0</v>
      </c>
      <c r="F1196" s="43">
        <f t="shared" si="45"/>
        <v>0</v>
      </c>
      <c r="G1196" s="7"/>
    </row>
    <row r="1197" spans="1:7" ht="13.2" x14ac:dyDescent="0.25">
      <c r="A1197" s="119" t="s">
        <v>2498</v>
      </c>
      <c r="B1197" s="121" t="s">
        <v>1507</v>
      </c>
      <c r="C1197" s="101" t="s">
        <v>13</v>
      </c>
      <c r="D1197" s="150">
        <v>0</v>
      </c>
      <c r="E1197" s="13">
        <v>0</v>
      </c>
      <c r="F1197" s="43">
        <f>D1197*E1197</f>
        <v>0</v>
      </c>
      <c r="G1197" s="7"/>
    </row>
    <row r="1198" spans="1:7" ht="13.2" x14ac:dyDescent="0.25">
      <c r="A1198" s="119" t="s">
        <v>2499</v>
      </c>
      <c r="B1198" s="121" t="s">
        <v>1508</v>
      </c>
      <c r="C1198" s="101" t="s">
        <v>13</v>
      </c>
      <c r="D1198" s="150">
        <v>0</v>
      </c>
      <c r="E1198" s="13">
        <v>0</v>
      </c>
      <c r="F1198" s="43">
        <f>D1198*E1198</f>
        <v>0</v>
      </c>
      <c r="G1198" s="7"/>
    </row>
    <row r="1199" spans="1:7" ht="13.2" x14ac:dyDescent="0.25">
      <c r="A1199" s="119" t="s">
        <v>2500</v>
      </c>
      <c r="B1199" s="121" t="s">
        <v>2167</v>
      </c>
      <c r="C1199" s="101" t="s">
        <v>13</v>
      </c>
      <c r="D1199" s="150">
        <v>0</v>
      </c>
      <c r="E1199" s="13">
        <v>0</v>
      </c>
      <c r="F1199" s="43">
        <f>D1199*E1199</f>
        <v>0</v>
      </c>
      <c r="G1199" s="7"/>
    </row>
    <row r="1200" spans="1:7" ht="13.2" x14ac:dyDescent="0.25">
      <c r="A1200" s="119" t="s">
        <v>2501</v>
      </c>
      <c r="B1200" s="121" t="s">
        <v>1509</v>
      </c>
      <c r="C1200" s="101" t="s">
        <v>13</v>
      </c>
      <c r="D1200" s="150">
        <v>0</v>
      </c>
      <c r="E1200" s="13">
        <v>0</v>
      </c>
      <c r="F1200" s="43">
        <f>D1200*E1200</f>
        <v>0</v>
      </c>
      <c r="G1200" s="7"/>
    </row>
    <row r="1201" spans="1:7" ht="13.2" x14ac:dyDescent="0.25">
      <c r="A1201" s="29" t="s">
        <v>1768</v>
      </c>
      <c r="B1201" s="28" t="s">
        <v>1943</v>
      </c>
      <c r="C1201" s="101"/>
      <c r="D1201" s="17"/>
      <c r="E1201" s="13"/>
      <c r="F1201" s="43"/>
      <c r="G1201" s="7"/>
    </row>
    <row r="1202" spans="1:7" ht="13.2" x14ac:dyDescent="0.25">
      <c r="A1202" s="119" t="s">
        <v>1769</v>
      </c>
      <c r="B1202" s="121" t="s">
        <v>1510</v>
      </c>
      <c r="C1202" s="101" t="s">
        <v>13</v>
      </c>
      <c r="D1202" s="150">
        <v>0</v>
      </c>
      <c r="E1202" s="13">
        <v>0</v>
      </c>
      <c r="F1202" s="43">
        <f t="shared" ref="F1202:F1207" si="46">D1202*E1202</f>
        <v>0</v>
      </c>
      <c r="G1202" s="7"/>
    </row>
    <row r="1203" spans="1:7" ht="13.2" x14ac:dyDescent="0.25">
      <c r="A1203" s="119" t="s">
        <v>1770</v>
      </c>
      <c r="B1203" s="121" t="s">
        <v>1716</v>
      </c>
      <c r="C1203" s="101" t="s">
        <v>13</v>
      </c>
      <c r="D1203" s="150">
        <v>0</v>
      </c>
      <c r="E1203" s="13">
        <v>0</v>
      </c>
      <c r="F1203" s="43">
        <f t="shared" si="46"/>
        <v>0</v>
      </c>
      <c r="G1203" s="7"/>
    </row>
    <row r="1204" spans="1:7" ht="13.2" x14ac:dyDescent="0.25">
      <c r="A1204" s="119" t="s">
        <v>1771</v>
      </c>
      <c r="B1204" s="121" t="s">
        <v>1511</v>
      </c>
      <c r="C1204" s="101" t="s">
        <v>13</v>
      </c>
      <c r="D1204" s="150">
        <v>0</v>
      </c>
      <c r="E1204" s="13">
        <v>0</v>
      </c>
      <c r="F1204" s="43">
        <f t="shared" si="46"/>
        <v>0</v>
      </c>
      <c r="G1204" s="7"/>
    </row>
    <row r="1205" spans="1:7" ht="13.2" x14ac:dyDescent="0.25">
      <c r="A1205" s="119" t="s">
        <v>1772</v>
      </c>
      <c r="B1205" s="121" t="s">
        <v>3005</v>
      </c>
      <c r="C1205" s="101" t="s">
        <v>13</v>
      </c>
      <c r="D1205" s="150">
        <v>0</v>
      </c>
      <c r="E1205" s="13">
        <v>0</v>
      </c>
      <c r="F1205" s="43">
        <f>D1205*E1205</f>
        <v>0</v>
      </c>
      <c r="G1205" s="7"/>
    </row>
    <row r="1206" spans="1:7" ht="13.2" x14ac:dyDescent="0.25">
      <c r="A1206" s="29" t="s">
        <v>1773</v>
      </c>
      <c r="B1206" s="28" t="s">
        <v>1944</v>
      </c>
      <c r="C1206" s="101" t="s">
        <v>13</v>
      </c>
      <c r="D1206" s="150">
        <v>0</v>
      </c>
      <c r="E1206" s="13">
        <v>0</v>
      </c>
      <c r="F1206" s="43">
        <f t="shared" si="46"/>
        <v>0</v>
      </c>
      <c r="G1206" s="7"/>
    </row>
    <row r="1207" spans="1:7" ht="13.2" x14ac:dyDescent="0.25">
      <c r="A1207" s="29" t="s">
        <v>1717</v>
      </c>
      <c r="B1207" s="28" t="s">
        <v>1946</v>
      </c>
      <c r="C1207" s="101" t="s">
        <v>13</v>
      </c>
      <c r="D1207" s="150">
        <v>0</v>
      </c>
      <c r="E1207" s="13">
        <v>0</v>
      </c>
      <c r="F1207" s="43">
        <f t="shared" si="46"/>
        <v>0</v>
      </c>
      <c r="G1207" s="7"/>
    </row>
    <row r="1208" spans="1:7" ht="13.2" x14ac:dyDescent="0.25">
      <c r="A1208" s="29" t="s">
        <v>1718</v>
      </c>
      <c r="B1208" s="28" t="s">
        <v>2567</v>
      </c>
      <c r="C1208" s="101"/>
      <c r="D1208" s="17"/>
      <c r="E1208" s="13"/>
      <c r="F1208" s="43"/>
      <c r="G1208" s="7"/>
    </row>
    <row r="1209" spans="1:7" ht="13.2" x14ac:dyDescent="0.25">
      <c r="A1209" s="119" t="s">
        <v>2502</v>
      </c>
      <c r="B1209" s="121" t="s">
        <v>2235</v>
      </c>
      <c r="C1209" s="101" t="s">
        <v>13</v>
      </c>
      <c r="D1209" s="150">
        <v>0</v>
      </c>
      <c r="E1209" s="13">
        <v>0</v>
      </c>
      <c r="F1209" s="43">
        <f t="shared" ref="F1209:F1231" si="47">D1209*E1209</f>
        <v>0</v>
      </c>
      <c r="G1209" s="7"/>
    </row>
    <row r="1210" spans="1:7" ht="13.2" x14ac:dyDescent="0.25">
      <c r="A1210" s="119" t="s">
        <v>2503</v>
      </c>
      <c r="B1210" s="121" t="s">
        <v>2169</v>
      </c>
      <c r="C1210" s="101" t="s">
        <v>13</v>
      </c>
      <c r="D1210" s="150">
        <v>0</v>
      </c>
      <c r="E1210" s="13">
        <v>0</v>
      </c>
      <c r="F1210" s="43">
        <f t="shared" si="47"/>
        <v>0</v>
      </c>
      <c r="G1210" s="7"/>
    </row>
    <row r="1211" spans="1:7" ht="13.2" x14ac:dyDescent="0.25">
      <c r="A1211" s="119" t="s">
        <v>2504</v>
      </c>
      <c r="B1211" s="121" t="s">
        <v>2170</v>
      </c>
      <c r="C1211" s="101" t="s">
        <v>13</v>
      </c>
      <c r="D1211" s="150">
        <v>0</v>
      </c>
      <c r="E1211" s="13">
        <v>0</v>
      </c>
      <c r="F1211" s="43">
        <f t="shared" si="47"/>
        <v>0</v>
      </c>
      <c r="G1211" s="7"/>
    </row>
    <row r="1212" spans="1:7" ht="13.2" x14ac:dyDescent="0.25">
      <c r="A1212" s="119" t="s">
        <v>2505</v>
      </c>
      <c r="B1212" s="121" t="s">
        <v>2277</v>
      </c>
      <c r="C1212" s="101" t="s">
        <v>13</v>
      </c>
      <c r="D1212" s="150">
        <v>0</v>
      </c>
      <c r="E1212" s="13">
        <v>0</v>
      </c>
      <c r="F1212" s="43">
        <f t="shared" si="47"/>
        <v>0</v>
      </c>
      <c r="G1212" s="7"/>
    </row>
    <row r="1213" spans="1:7" ht="13.2" x14ac:dyDescent="0.25">
      <c r="A1213" s="119" t="s">
        <v>2506</v>
      </c>
      <c r="B1213" s="121" t="s">
        <v>2172</v>
      </c>
      <c r="C1213" s="101" t="s">
        <v>13</v>
      </c>
      <c r="D1213" s="150">
        <v>0</v>
      </c>
      <c r="E1213" s="13">
        <v>0</v>
      </c>
      <c r="F1213" s="43">
        <f t="shared" si="47"/>
        <v>0</v>
      </c>
      <c r="G1213" s="7"/>
    </row>
    <row r="1214" spans="1:7" ht="13.2" x14ac:dyDescent="0.25">
      <c r="A1214" s="119" t="s">
        <v>3035</v>
      </c>
      <c r="B1214" s="121" t="s">
        <v>2168</v>
      </c>
      <c r="C1214" s="101" t="s">
        <v>13</v>
      </c>
      <c r="D1214" s="150">
        <v>0</v>
      </c>
      <c r="E1214" s="13">
        <v>0</v>
      </c>
      <c r="F1214" s="43">
        <f t="shared" si="47"/>
        <v>0</v>
      </c>
      <c r="G1214" s="7"/>
    </row>
    <row r="1215" spans="1:7" ht="13.2" x14ac:dyDescent="0.25">
      <c r="A1215" s="119" t="s">
        <v>3036</v>
      </c>
      <c r="B1215" s="121" t="s">
        <v>2171</v>
      </c>
      <c r="C1215" s="101" t="s">
        <v>13</v>
      </c>
      <c r="D1215" s="150">
        <v>0</v>
      </c>
      <c r="E1215" s="13">
        <v>0</v>
      </c>
      <c r="F1215" s="43">
        <f t="shared" si="47"/>
        <v>0</v>
      </c>
      <c r="G1215" s="7"/>
    </row>
    <row r="1216" spans="1:7" ht="13.2" x14ac:dyDescent="0.25">
      <c r="A1216" s="119" t="s">
        <v>3037</v>
      </c>
      <c r="B1216" s="121" t="s">
        <v>2276</v>
      </c>
      <c r="C1216" s="101" t="s">
        <v>13</v>
      </c>
      <c r="D1216" s="150">
        <v>0</v>
      </c>
      <c r="E1216" s="13">
        <v>0</v>
      </c>
      <c r="F1216" s="43">
        <f t="shared" si="47"/>
        <v>0</v>
      </c>
      <c r="G1216" s="7"/>
    </row>
    <row r="1217" spans="1:7" ht="13.2" x14ac:dyDescent="0.25">
      <c r="A1217" s="119" t="s">
        <v>3038</v>
      </c>
      <c r="B1217" s="121" t="s">
        <v>2181</v>
      </c>
      <c r="C1217" s="101" t="s">
        <v>13</v>
      </c>
      <c r="D1217" s="150">
        <v>0</v>
      </c>
      <c r="E1217" s="13">
        <v>0</v>
      </c>
      <c r="F1217" s="43">
        <f t="shared" si="47"/>
        <v>0</v>
      </c>
      <c r="G1217" s="7"/>
    </row>
    <row r="1218" spans="1:7" ht="13.2" x14ac:dyDescent="0.25">
      <c r="A1218" s="119" t="s">
        <v>3039</v>
      </c>
      <c r="B1218" s="121" t="s">
        <v>2182</v>
      </c>
      <c r="C1218" s="101" t="s">
        <v>13</v>
      </c>
      <c r="D1218" s="150">
        <v>0</v>
      </c>
      <c r="E1218" s="13">
        <v>0</v>
      </c>
      <c r="F1218" s="43">
        <f t="shared" si="47"/>
        <v>0</v>
      </c>
      <c r="G1218" s="7"/>
    </row>
    <row r="1219" spans="1:7" ht="13.2" x14ac:dyDescent="0.25">
      <c r="A1219" s="119" t="s">
        <v>3040</v>
      </c>
      <c r="B1219" s="121" t="s">
        <v>2275</v>
      </c>
      <c r="C1219" s="101" t="s">
        <v>13</v>
      </c>
      <c r="D1219" s="150">
        <v>0</v>
      </c>
      <c r="E1219" s="13">
        <v>0</v>
      </c>
      <c r="F1219" s="43">
        <f t="shared" si="47"/>
        <v>0</v>
      </c>
      <c r="G1219" s="7"/>
    </row>
    <row r="1220" spans="1:7" ht="13.2" x14ac:dyDescent="0.25">
      <c r="A1220" s="119" t="s">
        <v>3041</v>
      </c>
      <c r="B1220" s="121" t="s">
        <v>2175</v>
      </c>
      <c r="C1220" s="101" t="s">
        <v>13</v>
      </c>
      <c r="D1220" s="150">
        <v>0</v>
      </c>
      <c r="E1220" s="13">
        <v>0</v>
      </c>
      <c r="F1220" s="43">
        <f t="shared" si="47"/>
        <v>0</v>
      </c>
      <c r="G1220" s="7"/>
    </row>
    <row r="1221" spans="1:7" ht="13.2" x14ac:dyDescent="0.25">
      <c r="A1221" s="119" t="s">
        <v>3042</v>
      </c>
      <c r="B1221" s="121" t="s">
        <v>2173</v>
      </c>
      <c r="C1221" s="101" t="s">
        <v>13</v>
      </c>
      <c r="D1221" s="150">
        <v>0</v>
      </c>
      <c r="E1221" s="13">
        <v>0</v>
      </c>
      <c r="F1221" s="43">
        <f t="shared" si="47"/>
        <v>0</v>
      </c>
      <c r="G1221" s="7"/>
    </row>
    <row r="1222" spans="1:7" ht="13.2" x14ac:dyDescent="0.25">
      <c r="A1222" s="119" t="s">
        <v>3043</v>
      </c>
      <c r="B1222" s="121" t="s">
        <v>2174</v>
      </c>
      <c r="C1222" s="101" t="s">
        <v>13</v>
      </c>
      <c r="D1222" s="150">
        <v>0</v>
      </c>
      <c r="E1222" s="13">
        <v>0</v>
      </c>
      <c r="F1222" s="43">
        <f t="shared" si="47"/>
        <v>0</v>
      </c>
      <c r="G1222" s="7"/>
    </row>
    <row r="1223" spans="1:7" ht="13.2" x14ac:dyDescent="0.25">
      <c r="A1223" s="119" t="s">
        <v>3044</v>
      </c>
      <c r="B1223" s="121" t="s">
        <v>2274</v>
      </c>
      <c r="C1223" s="101" t="s">
        <v>13</v>
      </c>
      <c r="D1223" s="150">
        <v>0</v>
      </c>
      <c r="E1223" s="13">
        <v>0</v>
      </c>
      <c r="F1223" s="43">
        <f t="shared" si="47"/>
        <v>0</v>
      </c>
      <c r="G1223" s="7"/>
    </row>
    <row r="1224" spans="1:7" ht="13.2" x14ac:dyDescent="0.25">
      <c r="A1224" s="119" t="s">
        <v>3045</v>
      </c>
      <c r="B1224" s="121" t="s">
        <v>2294</v>
      </c>
      <c r="C1224" s="101" t="s">
        <v>13</v>
      </c>
      <c r="D1224" s="150">
        <v>0</v>
      </c>
      <c r="E1224" s="13">
        <v>0</v>
      </c>
      <c r="F1224" s="43">
        <f t="shared" si="47"/>
        <v>0</v>
      </c>
      <c r="G1224" s="7"/>
    </row>
    <row r="1225" spans="1:7" ht="13.2" x14ac:dyDescent="0.25">
      <c r="A1225" s="119" t="s">
        <v>3046</v>
      </c>
      <c r="B1225" s="121" t="s">
        <v>2295</v>
      </c>
      <c r="C1225" s="101" t="s">
        <v>13</v>
      </c>
      <c r="D1225" s="150">
        <v>0</v>
      </c>
      <c r="E1225" s="13">
        <v>0</v>
      </c>
      <c r="F1225" s="43">
        <f t="shared" si="47"/>
        <v>0</v>
      </c>
      <c r="G1225" s="7"/>
    </row>
    <row r="1226" spans="1:7" ht="13.2" x14ac:dyDescent="0.25">
      <c r="A1226" s="119" t="s">
        <v>3047</v>
      </c>
      <c r="B1226" s="121" t="s">
        <v>2296</v>
      </c>
      <c r="C1226" s="101" t="s">
        <v>13</v>
      </c>
      <c r="D1226" s="150">
        <v>0</v>
      </c>
      <c r="E1226" s="13">
        <v>0</v>
      </c>
      <c r="F1226" s="43">
        <f t="shared" si="47"/>
        <v>0</v>
      </c>
      <c r="G1226" s="7"/>
    </row>
    <row r="1227" spans="1:7" ht="13.2" x14ac:dyDescent="0.25">
      <c r="A1227" s="119" t="s">
        <v>3048</v>
      </c>
      <c r="B1227" s="121" t="s">
        <v>2297</v>
      </c>
      <c r="C1227" s="101" t="s">
        <v>13</v>
      </c>
      <c r="D1227" s="150">
        <v>0</v>
      </c>
      <c r="E1227" s="13">
        <v>0</v>
      </c>
      <c r="F1227" s="43">
        <f t="shared" si="47"/>
        <v>0</v>
      </c>
      <c r="G1227" s="7"/>
    </row>
    <row r="1228" spans="1:7" ht="13.2" x14ac:dyDescent="0.25">
      <c r="A1228" s="119" t="s">
        <v>3049</v>
      </c>
      <c r="B1228" s="121" t="s">
        <v>2298</v>
      </c>
      <c r="C1228" s="101" t="s">
        <v>13</v>
      </c>
      <c r="D1228" s="150">
        <v>0</v>
      </c>
      <c r="E1228" s="13">
        <v>0</v>
      </c>
      <c r="F1228" s="43">
        <f t="shared" si="47"/>
        <v>0</v>
      </c>
      <c r="G1228" s="7"/>
    </row>
    <row r="1229" spans="1:7" ht="13.2" x14ac:dyDescent="0.25">
      <c r="A1229" s="119" t="s">
        <v>3050</v>
      </c>
      <c r="B1229" s="121" t="s">
        <v>2299</v>
      </c>
      <c r="C1229" s="101" t="s">
        <v>13</v>
      </c>
      <c r="D1229" s="150">
        <v>0</v>
      </c>
      <c r="E1229" s="13">
        <v>0</v>
      </c>
      <c r="F1229" s="43">
        <f t="shared" si="47"/>
        <v>0</v>
      </c>
      <c r="G1229" s="7"/>
    </row>
    <row r="1230" spans="1:7" ht="13.2" x14ac:dyDescent="0.25">
      <c r="A1230" s="119" t="s">
        <v>3051</v>
      </c>
      <c r="B1230" s="121" t="s">
        <v>2300</v>
      </c>
      <c r="C1230" s="101" t="s">
        <v>13</v>
      </c>
      <c r="D1230" s="150">
        <v>0</v>
      </c>
      <c r="E1230" s="13">
        <v>0</v>
      </c>
      <c r="F1230" s="43">
        <f t="shared" si="47"/>
        <v>0</v>
      </c>
      <c r="G1230" s="7"/>
    </row>
    <row r="1231" spans="1:7" ht="13.2" x14ac:dyDescent="0.25">
      <c r="A1231" s="119" t="s">
        <v>3052</v>
      </c>
      <c r="B1231" s="121" t="s">
        <v>2301</v>
      </c>
      <c r="C1231" s="101" t="s">
        <v>13</v>
      </c>
      <c r="D1231" s="150">
        <v>0</v>
      </c>
      <c r="E1231" s="13">
        <v>0</v>
      </c>
      <c r="F1231" s="43">
        <f t="shared" si="47"/>
        <v>0</v>
      </c>
      <c r="G1231" s="7"/>
    </row>
    <row r="1232" spans="1:7" ht="13.2" x14ac:dyDescent="0.25">
      <c r="A1232" s="29" t="s">
        <v>1822</v>
      </c>
      <c r="B1232" s="28" t="s">
        <v>3006</v>
      </c>
      <c r="C1232" s="101"/>
      <c r="D1232" s="17"/>
      <c r="E1232" s="13"/>
      <c r="F1232" s="43"/>
      <c r="G1232" s="7"/>
    </row>
    <row r="1233" spans="1:7" ht="13.2" x14ac:dyDescent="0.25">
      <c r="A1233" s="119" t="s">
        <v>2507</v>
      </c>
      <c r="B1233" s="121" t="s">
        <v>2176</v>
      </c>
      <c r="C1233" s="101" t="s">
        <v>13</v>
      </c>
      <c r="D1233" s="150">
        <v>0</v>
      </c>
      <c r="E1233" s="13">
        <v>0</v>
      </c>
      <c r="F1233" s="43">
        <f>D1233*E1233</f>
        <v>0</v>
      </c>
      <c r="G1233" s="7"/>
    </row>
    <row r="1234" spans="1:7" ht="13.2" x14ac:dyDescent="0.25">
      <c r="A1234" s="119" t="s">
        <v>2508</v>
      </c>
      <c r="B1234" s="121" t="s">
        <v>2177</v>
      </c>
      <c r="C1234" s="101" t="s">
        <v>13</v>
      </c>
      <c r="D1234" s="150">
        <v>0</v>
      </c>
      <c r="E1234" s="13">
        <v>0</v>
      </c>
      <c r="F1234" s="43">
        <f>D1234*E1234</f>
        <v>0</v>
      </c>
      <c r="G1234" s="7"/>
    </row>
    <row r="1235" spans="1:7" ht="13.2" x14ac:dyDescent="0.25">
      <c r="A1235" s="119" t="s">
        <v>2509</v>
      </c>
      <c r="B1235" s="121" t="s">
        <v>2178</v>
      </c>
      <c r="C1235" s="101" t="s">
        <v>13</v>
      </c>
      <c r="D1235" s="150">
        <v>0</v>
      </c>
      <c r="E1235" s="13">
        <v>0</v>
      </c>
      <c r="F1235" s="43">
        <f>D1235*E1235</f>
        <v>0</v>
      </c>
      <c r="G1235" s="7"/>
    </row>
    <row r="1236" spans="1:7" ht="13.2" x14ac:dyDescent="0.25">
      <c r="A1236" s="119" t="s">
        <v>2510</v>
      </c>
      <c r="B1236" s="121" t="s">
        <v>2302</v>
      </c>
      <c r="C1236" s="101" t="s">
        <v>13</v>
      </c>
      <c r="D1236" s="150">
        <v>0</v>
      </c>
      <c r="E1236" s="13">
        <v>0</v>
      </c>
      <c r="F1236" s="43">
        <f>D1236*E1236</f>
        <v>0</v>
      </c>
      <c r="G1236" s="7"/>
    </row>
    <row r="1237" spans="1:7" ht="13.2" x14ac:dyDescent="0.25">
      <c r="A1237" s="119" t="s">
        <v>2511</v>
      </c>
      <c r="B1237" s="121" t="s">
        <v>2303</v>
      </c>
      <c r="C1237" s="101" t="s">
        <v>13</v>
      </c>
      <c r="D1237" s="150">
        <v>0</v>
      </c>
      <c r="E1237" s="13">
        <v>0</v>
      </c>
      <c r="F1237" s="43">
        <f>D1237*E1237</f>
        <v>0</v>
      </c>
      <c r="G1237" s="7"/>
    </row>
    <row r="1238" spans="1:7" ht="13.2" x14ac:dyDescent="0.25">
      <c r="A1238" s="29" t="s">
        <v>1823</v>
      </c>
      <c r="B1238" s="28" t="s">
        <v>2568</v>
      </c>
      <c r="C1238" s="101"/>
      <c r="D1238" s="17"/>
      <c r="E1238" s="13"/>
      <c r="F1238" s="43"/>
      <c r="G1238" s="7"/>
    </row>
    <row r="1239" spans="1:7" ht="13.2" x14ac:dyDescent="0.25">
      <c r="A1239" s="119" t="s">
        <v>2512</v>
      </c>
      <c r="B1239" s="121" t="s">
        <v>2179</v>
      </c>
      <c r="C1239" s="101" t="s">
        <v>13</v>
      </c>
      <c r="D1239" s="150">
        <v>0</v>
      </c>
      <c r="E1239" s="13">
        <v>0</v>
      </c>
      <c r="F1239" s="43">
        <f t="shared" ref="F1239:F1250" si="48">D1239*E1239</f>
        <v>0</v>
      </c>
      <c r="G1239" s="7"/>
    </row>
    <row r="1240" spans="1:7" ht="13.2" x14ac:dyDescent="0.25">
      <c r="A1240" s="119" t="s">
        <v>2513</v>
      </c>
      <c r="B1240" s="121" t="s">
        <v>2180</v>
      </c>
      <c r="C1240" s="101" t="s">
        <v>13</v>
      </c>
      <c r="D1240" s="150">
        <v>0</v>
      </c>
      <c r="E1240" s="13">
        <v>0</v>
      </c>
      <c r="F1240" s="43">
        <f t="shared" si="48"/>
        <v>0</v>
      </c>
      <c r="G1240" s="7"/>
    </row>
    <row r="1241" spans="1:7" ht="13.2" x14ac:dyDescent="0.25">
      <c r="A1241" s="119" t="s">
        <v>2514</v>
      </c>
      <c r="B1241" s="121" t="s">
        <v>2183</v>
      </c>
      <c r="C1241" s="101" t="s">
        <v>13</v>
      </c>
      <c r="D1241" s="150">
        <v>0</v>
      </c>
      <c r="E1241" s="13">
        <v>0</v>
      </c>
      <c r="F1241" s="43">
        <f t="shared" si="48"/>
        <v>0</v>
      </c>
      <c r="G1241" s="7"/>
    </row>
    <row r="1242" spans="1:7" ht="13.2" x14ac:dyDescent="0.25">
      <c r="A1242" s="119" t="s">
        <v>2515</v>
      </c>
      <c r="B1242" s="121" t="s">
        <v>2184</v>
      </c>
      <c r="C1242" s="101" t="s">
        <v>13</v>
      </c>
      <c r="D1242" s="150">
        <v>0</v>
      </c>
      <c r="E1242" s="13">
        <v>0</v>
      </c>
      <c r="F1242" s="43">
        <f t="shared" si="48"/>
        <v>0</v>
      </c>
      <c r="G1242" s="7"/>
    </row>
    <row r="1243" spans="1:7" ht="13.2" x14ac:dyDescent="0.25">
      <c r="A1243" s="119" t="s">
        <v>2516</v>
      </c>
      <c r="B1243" s="121" t="s">
        <v>2304</v>
      </c>
      <c r="C1243" s="101" t="s">
        <v>13</v>
      </c>
      <c r="D1243" s="150">
        <v>0</v>
      </c>
      <c r="E1243" s="13">
        <v>0</v>
      </c>
      <c r="F1243" s="43">
        <f t="shared" si="48"/>
        <v>0</v>
      </c>
      <c r="G1243" s="7"/>
    </row>
    <row r="1244" spans="1:7" ht="13.2" x14ac:dyDescent="0.25">
      <c r="A1244" s="119" t="s">
        <v>2517</v>
      </c>
      <c r="B1244" s="121" t="s">
        <v>2305</v>
      </c>
      <c r="C1244" s="101" t="s">
        <v>13</v>
      </c>
      <c r="D1244" s="150">
        <v>0</v>
      </c>
      <c r="E1244" s="13">
        <v>0</v>
      </c>
      <c r="F1244" s="43">
        <f t="shared" si="48"/>
        <v>0</v>
      </c>
      <c r="G1244" s="7"/>
    </row>
    <row r="1245" spans="1:7" ht="13.2" x14ac:dyDescent="0.25">
      <c r="A1245" s="119" t="s">
        <v>2518</v>
      </c>
      <c r="B1245" s="121" t="s">
        <v>2282</v>
      </c>
      <c r="C1245" s="101" t="s">
        <v>13</v>
      </c>
      <c r="D1245" s="150">
        <v>0</v>
      </c>
      <c r="E1245" s="13">
        <v>0</v>
      </c>
      <c r="F1245" s="43">
        <f t="shared" si="48"/>
        <v>0</v>
      </c>
      <c r="G1245" s="7"/>
    </row>
    <row r="1246" spans="1:7" ht="13.2" x14ac:dyDescent="0.25">
      <c r="A1246" s="119" t="s">
        <v>2519</v>
      </c>
      <c r="B1246" s="121" t="s">
        <v>2281</v>
      </c>
      <c r="C1246" s="101" t="s">
        <v>13</v>
      </c>
      <c r="D1246" s="150">
        <v>0</v>
      </c>
      <c r="E1246" s="13">
        <v>0</v>
      </c>
      <c r="F1246" s="43">
        <f t="shared" si="48"/>
        <v>0</v>
      </c>
      <c r="G1246" s="7"/>
    </row>
    <row r="1247" spans="1:7" ht="13.2" x14ac:dyDescent="0.25">
      <c r="A1247" s="119" t="s">
        <v>2520</v>
      </c>
      <c r="B1247" s="121" t="s">
        <v>2283</v>
      </c>
      <c r="C1247" s="101" t="s">
        <v>13</v>
      </c>
      <c r="D1247" s="150">
        <v>0</v>
      </c>
      <c r="E1247" s="13">
        <v>0</v>
      </c>
      <c r="F1247" s="43">
        <f t="shared" si="48"/>
        <v>0</v>
      </c>
      <c r="G1247" s="7"/>
    </row>
    <row r="1248" spans="1:7" ht="13.2" x14ac:dyDescent="0.25">
      <c r="A1248" s="119" t="s">
        <v>2521</v>
      </c>
      <c r="B1248" s="121" t="s">
        <v>2284</v>
      </c>
      <c r="C1248" s="101" t="s">
        <v>13</v>
      </c>
      <c r="D1248" s="150">
        <v>0</v>
      </c>
      <c r="E1248" s="13">
        <v>0</v>
      </c>
      <c r="F1248" s="43">
        <f t="shared" si="48"/>
        <v>0</v>
      </c>
      <c r="G1248" s="7"/>
    </row>
    <row r="1249" spans="1:7" ht="13.2" x14ac:dyDescent="0.25">
      <c r="A1249" s="119" t="s">
        <v>2522</v>
      </c>
      <c r="B1249" s="121" t="s">
        <v>2306</v>
      </c>
      <c r="C1249" s="101" t="s">
        <v>13</v>
      </c>
      <c r="D1249" s="150">
        <v>0</v>
      </c>
      <c r="E1249" s="13">
        <v>0</v>
      </c>
      <c r="F1249" s="43">
        <f t="shared" si="48"/>
        <v>0</v>
      </c>
      <c r="G1249" s="7"/>
    </row>
    <row r="1250" spans="1:7" ht="13.2" x14ac:dyDescent="0.25">
      <c r="A1250" s="119" t="s">
        <v>2523</v>
      </c>
      <c r="B1250" s="121" t="s">
        <v>2307</v>
      </c>
      <c r="C1250" s="101" t="s">
        <v>13</v>
      </c>
      <c r="D1250" s="150">
        <v>0</v>
      </c>
      <c r="E1250" s="13">
        <v>0</v>
      </c>
      <c r="F1250" s="43">
        <f t="shared" si="48"/>
        <v>0</v>
      </c>
      <c r="G1250" s="7"/>
    </row>
    <row r="1251" spans="1:7" ht="13.2" x14ac:dyDescent="0.25">
      <c r="A1251" s="29" t="s">
        <v>1824</v>
      </c>
      <c r="B1251" s="28" t="s">
        <v>2569</v>
      </c>
      <c r="C1251" s="101"/>
      <c r="D1251" s="17"/>
      <c r="E1251" s="13"/>
      <c r="F1251" s="43"/>
      <c r="G1251" s="7"/>
    </row>
    <row r="1252" spans="1:7" ht="13.2" x14ac:dyDescent="0.25">
      <c r="A1252" s="119" t="s">
        <v>2524</v>
      </c>
      <c r="B1252" s="121" t="s">
        <v>2187</v>
      </c>
      <c r="C1252" s="101" t="s">
        <v>13</v>
      </c>
      <c r="D1252" s="150">
        <v>0</v>
      </c>
      <c r="E1252" s="13">
        <v>0</v>
      </c>
      <c r="F1252" s="43">
        <f t="shared" ref="F1252:F1257" si="49">D1252*E1252</f>
        <v>0</v>
      </c>
      <c r="G1252" s="7"/>
    </row>
    <row r="1253" spans="1:7" ht="13.2" x14ac:dyDescent="0.25">
      <c r="A1253" s="119" t="s">
        <v>2525</v>
      </c>
      <c r="B1253" s="121" t="s">
        <v>2308</v>
      </c>
      <c r="C1253" s="101" t="s">
        <v>13</v>
      </c>
      <c r="D1253" s="150">
        <v>0</v>
      </c>
      <c r="E1253" s="13">
        <v>0</v>
      </c>
      <c r="F1253" s="43">
        <f t="shared" si="49"/>
        <v>0</v>
      </c>
      <c r="G1253" s="7"/>
    </row>
    <row r="1254" spans="1:7" ht="13.2" x14ac:dyDescent="0.25">
      <c r="A1254" s="119" t="s">
        <v>2526</v>
      </c>
      <c r="B1254" s="121" t="s">
        <v>2309</v>
      </c>
      <c r="C1254" s="101" t="s">
        <v>13</v>
      </c>
      <c r="D1254" s="150">
        <v>0</v>
      </c>
      <c r="E1254" s="13">
        <v>0</v>
      </c>
      <c r="F1254" s="43">
        <f t="shared" si="49"/>
        <v>0</v>
      </c>
      <c r="G1254" s="7"/>
    </row>
    <row r="1255" spans="1:7" ht="13.2" x14ac:dyDescent="0.25">
      <c r="A1255" s="119" t="s">
        <v>2527</v>
      </c>
      <c r="B1255" s="121" t="s">
        <v>2310</v>
      </c>
      <c r="C1255" s="101" t="s">
        <v>13</v>
      </c>
      <c r="D1255" s="150">
        <v>0</v>
      </c>
      <c r="E1255" s="13">
        <v>0</v>
      </c>
      <c r="F1255" s="43">
        <f t="shared" si="49"/>
        <v>0</v>
      </c>
      <c r="G1255" s="7"/>
    </row>
    <row r="1256" spans="1:7" ht="13.2" x14ac:dyDescent="0.25">
      <c r="A1256" s="119" t="s">
        <v>2528</v>
      </c>
      <c r="B1256" s="121" t="s">
        <v>2311</v>
      </c>
      <c r="C1256" s="101" t="s">
        <v>13</v>
      </c>
      <c r="D1256" s="150">
        <v>0</v>
      </c>
      <c r="E1256" s="13">
        <v>0</v>
      </c>
      <c r="F1256" s="43">
        <f t="shared" si="49"/>
        <v>0</v>
      </c>
      <c r="G1256" s="7"/>
    </row>
    <row r="1257" spans="1:7" ht="13.2" x14ac:dyDescent="0.25">
      <c r="A1257" s="119" t="s">
        <v>2529</v>
      </c>
      <c r="B1257" s="121" t="s">
        <v>2312</v>
      </c>
      <c r="C1257" s="101" t="s">
        <v>13</v>
      </c>
      <c r="D1257" s="150">
        <v>0</v>
      </c>
      <c r="E1257" s="13">
        <v>0</v>
      </c>
      <c r="F1257" s="43">
        <f t="shared" si="49"/>
        <v>0</v>
      </c>
      <c r="G1257" s="7"/>
    </row>
    <row r="1258" spans="1:7" ht="13.2" x14ac:dyDescent="0.25">
      <c r="A1258" s="29" t="s">
        <v>1945</v>
      </c>
      <c r="B1258" s="28" t="s">
        <v>2570</v>
      </c>
      <c r="C1258" s="101"/>
      <c r="D1258" s="17"/>
      <c r="E1258" s="13"/>
      <c r="F1258" s="43"/>
      <c r="G1258" s="7"/>
    </row>
    <row r="1259" spans="1:7" ht="13.2" x14ac:dyDescent="0.25">
      <c r="A1259" s="119" t="s">
        <v>2627</v>
      </c>
      <c r="B1259" s="121" t="s">
        <v>2571</v>
      </c>
      <c r="C1259" s="101" t="s">
        <v>13</v>
      </c>
      <c r="D1259" s="150">
        <v>0</v>
      </c>
      <c r="E1259" s="13">
        <v>0</v>
      </c>
      <c r="F1259" s="43">
        <f t="shared" ref="F1259:F1267" si="50">D1259*E1259</f>
        <v>0</v>
      </c>
      <c r="G1259" s="7"/>
    </row>
    <row r="1260" spans="1:7" ht="13.2" x14ac:dyDescent="0.25">
      <c r="A1260" s="119" t="s">
        <v>2628</v>
      </c>
      <c r="B1260" s="121" t="s">
        <v>2572</v>
      </c>
      <c r="C1260" s="101" t="s">
        <v>13</v>
      </c>
      <c r="D1260" s="150">
        <v>0</v>
      </c>
      <c r="E1260" s="13">
        <v>0</v>
      </c>
      <c r="F1260" s="43">
        <f t="shared" si="50"/>
        <v>0</v>
      </c>
      <c r="G1260" s="7"/>
    </row>
    <row r="1261" spans="1:7" ht="13.2" x14ac:dyDescent="0.25">
      <c r="A1261" s="29" t="s">
        <v>1825</v>
      </c>
      <c r="B1261" s="33" t="s">
        <v>2188</v>
      </c>
      <c r="C1261" s="101" t="s">
        <v>13</v>
      </c>
      <c r="D1261" s="150">
        <v>0</v>
      </c>
      <c r="E1261" s="13">
        <v>0</v>
      </c>
      <c r="F1261" s="43">
        <f t="shared" si="50"/>
        <v>0</v>
      </c>
      <c r="G1261" s="7"/>
    </row>
    <row r="1262" spans="1:7" ht="13.2" x14ac:dyDescent="0.25">
      <c r="A1262" s="29" t="s">
        <v>1826</v>
      </c>
      <c r="B1262" s="33" t="s">
        <v>2185</v>
      </c>
      <c r="C1262" s="101" t="s">
        <v>13</v>
      </c>
      <c r="D1262" s="150">
        <v>0</v>
      </c>
      <c r="E1262" s="13">
        <v>0</v>
      </c>
      <c r="F1262" s="43">
        <f t="shared" si="50"/>
        <v>0</v>
      </c>
      <c r="G1262" s="7"/>
    </row>
    <row r="1263" spans="1:7" s="12" customFormat="1" ht="13.2" x14ac:dyDescent="0.25">
      <c r="A1263" s="29" t="s">
        <v>1827</v>
      </c>
      <c r="B1263" s="33" t="s">
        <v>1980</v>
      </c>
      <c r="C1263" s="101" t="s">
        <v>13</v>
      </c>
      <c r="D1263" s="150">
        <v>0</v>
      </c>
      <c r="E1263" s="13">
        <v>0</v>
      </c>
      <c r="F1263" s="43">
        <f t="shared" si="50"/>
        <v>0</v>
      </c>
      <c r="G1263" s="7"/>
    </row>
    <row r="1264" spans="1:7" ht="13.2" x14ac:dyDescent="0.25">
      <c r="A1264" s="29" t="s">
        <v>1828</v>
      </c>
      <c r="B1264" s="33" t="s">
        <v>2189</v>
      </c>
      <c r="C1264" s="101" t="s">
        <v>13</v>
      </c>
      <c r="D1264" s="150">
        <v>0</v>
      </c>
      <c r="E1264" s="13">
        <v>0</v>
      </c>
      <c r="F1264" s="43">
        <f t="shared" si="50"/>
        <v>0</v>
      </c>
      <c r="G1264" s="7"/>
    </row>
    <row r="1265" spans="1:7" ht="13.2" x14ac:dyDescent="0.25">
      <c r="A1265" s="29" t="s">
        <v>1829</v>
      </c>
      <c r="B1265" s="33" t="s">
        <v>2186</v>
      </c>
      <c r="C1265" s="101" t="s">
        <v>13</v>
      </c>
      <c r="D1265" s="150">
        <v>0</v>
      </c>
      <c r="E1265" s="13">
        <v>0</v>
      </c>
      <c r="F1265" s="43">
        <f t="shared" si="50"/>
        <v>0</v>
      </c>
      <c r="G1265" s="7"/>
    </row>
    <row r="1266" spans="1:7" ht="13.2" x14ac:dyDescent="0.25">
      <c r="A1266" s="29" t="s">
        <v>1830</v>
      </c>
      <c r="B1266" s="33" t="s">
        <v>2190</v>
      </c>
      <c r="C1266" s="101" t="s">
        <v>13</v>
      </c>
      <c r="D1266" s="150">
        <v>0</v>
      </c>
      <c r="E1266" s="13">
        <v>0</v>
      </c>
      <c r="F1266" s="43">
        <f t="shared" si="50"/>
        <v>0</v>
      </c>
      <c r="G1266" s="7"/>
    </row>
    <row r="1267" spans="1:7" ht="13.2" x14ac:dyDescent="0.25">
      <c r="A1267" s="29" t="s">
        <v>1831</v>
      </c>
      <c r="B1267" s="33" t="s">
        <v>2971</v>
      </c>
      <c r="C1267" s="101" t="s">
        <v>13</v>
      </c>
      <c r="D1267" s="150">
        <v>0</v>
      </c>
      <c r="E1267" s="13">
        <v>0</v>
      </c>
      <c r="F1267" s="43">
        <f t="shared" si="50"/>
        <v>0</v>
      </c>
      <c r="G1267" s="7"/>
    </row>
    <row r="1268" spans="1:7" ht="13.2" x14ac:dyDescent="0.25">
      <c r="A1268" s="29" t="s">
        <v>1832</v>
      </c>
      <c r="B1268" s="33" t="s">
        <v>2573</v>
      </c>
      <c r="C1268" s="101"/>
      <c r="D1268" s="17"/>
      <c r="E1268" s="13"/>
      <c r="F1268" s="43"/>
      <c r="G1268" s="7"/>
    </row>
    <row r="1269" spans="1:7" ht="13.2" x14ac:dyDescent="0.25">
      <c r="A1269" s="119" t="s">
        <v>2972</v>
      </c>
      <c r="B1269" s="121" t="s">
        <v>2192</v>
      </c>
      <c r="C1269" s="101" t="s">
        <v>13</v>
      </c>
      <c r="D1269" s="150">
        <v>0</v>
      </c>
      <c r="E1269" s="13">
        <v>0</v>
      </c>
      <c r="F1269" s="43">
        <f t="shared" ref="F1269:F1274" si="51">D1269*E1269</f>
        <v>0</v>
      </c>
      <c r="G1269" s="7"/>
    </row>
    <row r="1270" spans="1:7" ht="13.2" x14ac:dyDescent="0.25">
      <c r="A1270" s="119" t="s">
        <v>2973</v>
      </c>
      <c r="B1270" s="121" t="s">
        <v>2194</v>
      </c>
      <c r="C1270" s="101" t="s">
        <v>13</v>
      </c>
      <c r="D1270" s="150">
        <v>0</v>
      </c>
      <c r="E1270" s="13">
        <v>0</v>
      </c>
      <c r="F1270" s="43">
        <f t="shared" si="51"/>
        <v>0</v>
      </c>
      <c r="G1270" s="7"/>
    </row>
    <row r="1271" spans="1:7" ht="13.2" x14ac:dyDescent="0.25">
      <c r="A1271" s="119" t="s">
        <v>2974</v>
      </c>
      <c r="B1271" s="121" t="s">
        <v>2193</v>
      </c>
      <c r="C1271" s="101" t="s">
        <v>13</v>
      </c>
      <c r="D1271" s="150">
        <v>0</v>
      </c>
      <c r="E1271" s="13">
        <v>0</v>
      </c>
      <c r="F1271" s="43">
        <f t="shared" si="51"/>
        <v>0</v>
      </c>
      <c r="G1271" s="7"/>
    </row>
    <row r="1272" spans="1:7" ht="13.2" x14ac:dyDescent="0.25">
      <c r="A1272" s="119" t="s">
        <v>2975</v>
      </c>
      <c r="B1272" s="121" t="s">
        <v>2317</v>
      </c>
      <c r="C1272" s="101" t="s">
        <v>13</v>
      </c>
      <c r="D1272" s="150">
        <v>0</v>
      </c>
      <c r="E1272" s="13">
        <v>0</v>
      </c>
      <c r="F1272" s="43">
        <f t="shared" si="51"/>
        <v>0</v>
      </c>
      <c r="G1272" s="7"/>
    </row>
    <row r="1273" spans="1:7" ht="13.2" x14ac:dyDescent="0.25">
      <c r="A1273" s="29" t="s">
        <v>1833</v>
      </c>
      <c r="B1273" s="28" t="s">
        <v>2325</v>
      </c>
      <c r="C1273" s="101" t="s">
        <v>13</v>
      </c>
      <c r="D1273" s="150">
        <v>0</v>
      </c>
      <c r="E1273" s="13">
        <v>0</v>
      </c>
      <c r="F1273" s="43">
        <f t="shared" si="51"/>
        <v>0</v>
      </c>
      <c r="G1273" s="7"/>
    </row>
    <row r="1274" spans="1:7" ht="13.2" x14ac:dyDescent="0.25">
      <c r="A1274" s="29" t="s">
        <v>1834</v>
      </c>
      <c r="B1274" s="33" t="s">
        <v>2191</v>
      </c>
      <c r="C1274" s="101" t="s">
        <v>13</v>
      </c>
      <c r="D1274" s="150">
        <v>0</v>
      </c>
      <c r="E1274" s="13">
        <v>0</v>
      </c>
      <c r="F1274" s="43">
        <f t="shared" si="51"/>
        <v>0</v>
      </c>
      <c r="G1274" s="7"/>
    </row>
    <row r="1275" spans="1:7" ht="13.2" x14ac:dyDescent="0.25">
      <c r="A1275" s="29" t="s">
        <v>1835</v>
      </c>
      <c r="B1275" s="33" t="s">
        <v>1953</v>
      </c>
      <c r="C1275" s="101"/>
      <c r="D1275" s="17"/>
      <c r="E1275" s="13"/>
      <c r="F1275" s="43"/>
      <c r="G1275" s="7"/>
    </row>
    <row r="1276" spans="1:7" ht="13.2" x14ac:dyDescent="0.25">
      <c r="A1276" s="119" t="s">
        <v>2976</v>
      </c>
      <c r="B1276" s="120" t="s">
        <v>1512</v>
      </c>
      <c r="C1276" s="101"/>
      <c r="D1276" s="17"/>
      <c r="E1276" s="13"/>
      <c r="F1276" s="43"/>
      <c r="G1276" s="7"/>
    </row>
    <row r="1277" spans="1:7" ht="13.2" x14ac:dyDescent="0.25">
      <c r="A1277" s="119" t="s">
        <v>2977</v>
      </c>
      <c r="B1277" s="120" t="s">
        <v>2278</v>
      </c>
      <c r="C1277" s="101" t="s">
        <v>13</v>
      </c>
      <c r="D1277" s="150">
        <v>0</v>
      </c>
      <c r="E1277" s="13">
        <v>0</v>
      </c>
      <c r="F1277" s="43">
        <f t="shared" ref="F1277:F1284" si="52">D1277*E1277</f>
        <v>0</v>
      </c>
      <c r="G1277" s="7"/>
    </row>
    <row r="1278" spans="1:7" ht="13.2" x14ac:dyDescent="0.25">
      <c r="A1278" s="119" t="s">
        <v>2978</v>
      </c>
      <c r="B1278" s="120" t="s">
        <v>2279</v>
      </c>
      <c r="C1278" s="101" t="s">
        <v>13</v>
      </c>
      <c r="D1278" s="150">
        <v>0</v>
      </c>
      <c r="E1278" s="13">
        <v>0</v>
      </c>
      <c r="F1278" s="43">
        <f t="shared" si="52"/>
        <v>0</v>
      </c>
      <c r="G1278" s="7"/>
    </row>
    <row r="1279" spans="1:7" ht="13.2" x14ac:dyDescent="0.25">
      <c r="A1279" s="119" t="s">
        <v>2979</v>
      </c>
      <c r="B1279" s="120" t="s">
        <v>2574</v>
      </c>
      <c r="C1279" s="101" t="s">
        <v>13</v>
      </c>
      <c r="D1279" s="150">
        <v>0</v>
      </c>
      <c r="E1279" s="13">
        <v>0</v>
      </c>
      <c r="F1279" s="43">
        <f t="shared" si="52"/>
        <v>0</v>
      </c>
      <c r="G1279" s="7"/>
    </row>
    <row r="1280" spans="1:7" ht="13.2" x14ac:dyDescent="0.25">
      <c r="A1280" s="119" t="s">
        <v>2980</v>
      </c>
      <c r="B1280" s="120" t="s">
        <v>1513</v>
      </c>
      <c r="C1280" s="101" t="s">
        <v>13</v>
      </c>
      <c r="D1280" s="150">
        <v>0</v>
      </c>
      <c r="E1280" s="13">
        <v>0</v>
      </c>
      <c r="F1280" s="43">
        <f t="shared" si="52"/>
        <v>0</v>
      </c>
      <c r="G1280" s="7"/>
    </row>
    <row r="1281" spans="1:7" ht="13.2" x14ac:dyDescent="0.25">
      <c r="A1281" s="119" t="s">
        <v>2981</v>
      </c>
      <c r="B1281" s="120" t="s">
        <v>1514</v>
      </c>
      <c r="C1281" s="101" t="s">
        <v>13</v>
      </c>
      <c r="D1281" s="150">
        <v>0</v>
      </c>
      <c r="E1281" s="13">
        <v>0</v>
      </c>
      <c r="F1281" s="43">
        <f t="shared" si="52"/>
        <v>0</v>
      </c>
      <c r="G1281" s="7"/>
    </row>
    <row r="1282" spans="1:7" ht="13.2" x14ac:dyDescent="0.25">
      <c r="A1282" s="119" t="s">
        <v>2982</v>
      </c>
      <c r="B1282" s="120" t="s">
        <v>1515</v>
      </c>
      <c r="C1282" s="101" t="s">
        <v>13</v>
      </c>
      <c r="D1282" s="150">
        <v>0</v>
      </c>
      <c r="E1282" s="13">
        <v>0</v>
      </c>
      <c r="F1282" s="43">
        <f t="shared" si="52"/>
        <v>0</v>
      </c>
      <c r="G1282" s="7"/>
    </row>
    <row r="1283" spans="1:7" ht="13.2" x14ac:dyDescent="0.25">
      <c r="A1283" s="119" t="s">
        <v>2983</v>
      </c>
      <c r="B1283" s="120" t="s">
        <v>1516</v>
      </c>
      <c r="C1283" s="101" t="s">
        <v>13</v>
      </c>
      <c r="D1283" s="150">
        <v>0</v>
      </c>
      <c r="E1283" s="13">
        <v>0</v>
      </c>
      <c r="F1283" s="43">
        <f t="shared" si="52"/>
        <v>0</v>
      </c>
      <c r="G1283" s="7"/>
    </row>
    <row r="1284" spans="1:7" ht="13.2" x14ac:dyDescent="0.25">
      <c r="A1284" s="119" t="s">
        <v>2984</v>
      </c>
      <c r="B1284" s="120" t="s">
        <v>2280</v>
      </c>
      <c r="C1284" s="101" t="s">
        <v>13</v>
      </c>
      <c r="D1284" s="150">
        <v>0</v>
      </c>
      <c r="E1284" s="13">
        <v>0</v>
      </c>
      <c r="F1284" s="43">
        <f t="shared" si="52"/>
        <v>0</v>
      </c>
      <c r="G1284" s="7"/>
    </row>
    <row r="1285" spans="1:7" ht="13.2" x14ac:dyDescent="0.25">
      <c r="A1285" s="119" t="s">
        <v>2985</v>
      </c>
      <c r="B1285" s="120" t="s">
        <v>1518</v>
      </c>
      <c r="C1285" s="101"/>
      <c r="D1285" s="17"/>
      <c r="E1285" s="13"/>
      <c r="F1285" s="43"/>
      <c r="G1285" s="7"/>
    </row>
    <row r="1286" spans="1:7" ht="13.2" x14ac:dyDescent="0.25">
      <c r="A1286" s="119" t="s">
        <v>2986</v>
      </c>
      <c r="B1286" s="120" t="s">
        <v>2318</v>
      </c>
      <c r="C1286" s="101" t="s">
        <v>13</v>
      </c>
      <c r="D1286" s="150">
        <v>0</v>
      </c>
      <c r="E1286" s="13">
        <v>0</v>
      </c>
      <c r="F1286" s="43">
        <f>D1286*E1286</f>
        <v>0</v>
      </c>
      <c r="G1286" s="7"/>
    </row>
    <row r="1287" spans="1:7" ht="13.2" x14ac:dyDescent="0.25">
      <c r="A1287" s="119" t="s">
        <v>2987</v>
      </c>
      <c r="B1287" s="120" t="s">
        <v>2319</v>
      </c>
      <c r="C1287" s="101" t="s">
        <v>13</v>
      </c>
      <c r="D1287" s="150">
        <v>0</v>
      </c>
      <c r="E1287" s="13">
        <v>0</v>
      </c>
      <c r="F1287" s="43">
        <f>D1287*E1287</f>
        <v>0</v>
      </c>
      <c r="G1287" s="7"/>
    </row>
    <row r="1288" spans="1:7" ht="13.2" x14ac:dyDescent="0.25">
      <c r="A1288" s="119" t="s">
        <v>2988</v>
      </c>
      <c r="B1288" s="120" t="s">
        <v>2050</v>
      </c>
      <c r="C1288" s="101"/>
      <c r="D1288" s="17"/>
      <c r="E1288" s="13"/>
      <c r="F1288" s="43"/>
      <c r="G1288" s="7"/>
    </row>
    <row r="1289" spans="1:7" ht="13.2" x14ac:dyDescent="0.25">
      <c r="A1289" s="119" t="s">
        <v>2989</v>
      </c>
      <c r="B1289" s="120" t="s">
        <v>2318</v>
      </c>
      <c r="C1289" s="101" t="s">
        <v>13</v>
      </c>
      <c r="D1289" s="150">
        <v>0</v>
      </c>
      <c r="E1289" s="13">
        <v>0</v>
      </c>
      <c r="F1289" s="43">
        <f>D1289*E1289</f>
        <v>0</v>
      </c>
      <c r="G1289" s="7"/>
    </row>
    <row r="1290" spans="1:7" ht="13.2" x14ac:dyDescent="0.25">
      <c r="A1290" s="119" t="s">
        <v>2990</v>
      </c>
      <c r="B1290" s="120" t="s">
        <v>2319</v>
      </c>
      <c r="C1290" s="101" t="s">
        <v>13</v>
      </c>
      <c r="D1290" s="150">
        <v>0</v>
      </c>
      <c r="E1290" s="13">
        <v>0</v>
      </c>
      <c r="F1290" s="43">
        <f>D1290*E1290</f>
        <v>0</v>
      </c>
      <c r="G1290" s="7"/>
    </row>
    <row r="1291" spans="1:7" ht="13.2" x14ac:dyDescent="0.25">
      <c r="A1291" s="119" t="s">
        <v>2991</v>
      </c>
      <c r="B1291" s="120" t="s">
        <v>1517</v>
      </c>
      <c r="C1291" s="101" t="s">
        <v>13</v>
      </c>
      <c r="D1291" s="150">
        <v>0</v>
      </c>
      <c r="E1291" s="13">
        <v>0</v>
      </c>
      <c r="F1291" s="43">
        <f>D1291*E1291</f>
        <v>0</v>
      </c>
      <c r="G1291" s="7"/>
    </row>
    <row r="1292" spans="1:7" ht="13.2" x14ac:dyDescent="0.25">
      <c r="A1292" s="29" t="s">
        <v>1836</v>
      </c>
      <c r="B1292" s="33" t="s">
        <v>1594</v>
      </c>
      <c r="C1292" s="101"/>
      <c r="D1292" s="17"/>
      <c r="E1292" s="13"/>
      <c r="F1292" s="43"/>
      <c r="G1292" s="7"/>
    </row>
    <row r="1293" spans="1:7" ht="13.2" x14ac:dyDescent="0.25">
      <c r="A1293" s="119" t="s">
        <v>2530</v>
      </c>
      <c r="B1293" s="120" t="s">
        <v>1536</v>
      </c>
      <c r="C1293" s="101" t="s">
        <v>1302</v>
      </c>
      <c r="D1293" s="150">
        <v>0</v>
      </c>
      <c r="E1293" s="13">
        <v>0</v>
      </c>
      <c r="F1293" s="43">
        <f>D1293*E1293</f>
        <v>0</v>
      </c>
      <c r="G1293" s="7"/>
    </row>
    <row r="1294" spans="1:7" ht="13.2" x14ac:dyDescent="0.25">
      <c r="A1294" s="119" t="s">
        <v>2531</v>
      </c>
      <c r="B1294" s="120" t="s">
        <v>1537</v>
      </c>
      <c r="C1294" s="101" t="s">
        <v>1302</v>
      </c>
      <c r="D1294" s="150">
        <v>0</v>
      </c>
      <c r="E1294" s="13">
        <v>0</v>
      </c>
      <c r="F1294" s="43">
        <f>D1294*E1294</f>
        <v>0</v>
      </c>
      <c r="G1294" s="7"/>
    </row>
    <row r="1295" spans="1:7" ht="13.2" x14ac:dyDescent="0.25">
      <c r="A1295" s="119" t="s">
        <v>2532</v>
      </c>
      <c r="B1295" s="120" t="s">
        <v>1538</v>
      </c>
      <c r="C1295" s="101" t="s">
        <v>1302</v>
      </c>
      <c r="D1295" s="150">
        <v>0</v>
      </c>
      <c r="E1295" s="13">
        <v>0</v>
      </c>
      <c r="F1295" s="43">
        <f>D1295*E1295</f>
        <v>0</v>
      </c>
      <c r="G1295" s="7"/>
    </row>
    <row r="1296" spans="1:7" ht="13.2" x14ac:dyDescent="0.25">
      <c r="A1296" s="119" t="s">
        <v>2533</v>
      </c>
      <c r="B1296" s="120" t="s">
        <v>1539</v>
      </c>
      <c r="C1296" s="101" t="s">
        <v>13</v>
      </c>
      <c r="D1296" s="150">
        <v>0</v>
      </c>
      <c r="E1296" s="13">
        <v>0</v>
      </c>
      <c r="F1296" s="43">
        <f>D1296*E1296</f>
        <v>0</v>
      </c>
      <c r="G1296" s="7"/>
    </row>
    <row r="1297" spans="1:7" ht="13.2" x14ac:dyDescent="0.25">
      <c r="A1297" s="119" t="s">
        <v>2534</v>
      </c>
      <c r="B1297" s="120" t="s">
        <v>1540</v>
      </c>
      <c r="C1297" s="101" t="s">
        <v>13</v>
      </c>
      <c r="D1297" s="150">
        <v>2</v>
      </c>
      <c r="E1297" s="13">
        <v>0</v>
      </c>
      <c r="F1297" s="43">
        <f t="shared" ref="F1297:F1360" si="53">D1297*E1297</f>
        <v>0</v>
      </c>
      <c r="G1297" s="7"/>
    </row>
    <row r="1298" spans="1:7" ht="13.2" x14ac:dyDescent="0.25">
      <c r="A1298" s="119" t="s">
        <v>2535</v>
      </c>
      <c r="B1298" s="120" t="s">
        <v>1541</v>
      </c>
      <c r="C1298" s="101" t="s">
        <v>13</v>
      </c>
      <c r="D1298" s="150">
        <v>0</v>
      </c>
      <c r="E1298" s="13">
        <v>0</v>
      </c>
      <c r="F1298" s="43">
        <f t="shared" si="53"/>
        <v>0</v>
      </c>
      <c r="G1298" s="7"/>
    </row>
    <row r="1299" spans="1:7" ht="13.2" x14ac:dyDescent="0.25">
      <c r="A1299" s="119" t="s">
        <v>2536</v>
      </c>
      <c r="B1299" s="120" t="s">
        <v>1542</v>
      </c>
      <c r="C1299" s="101" t="s">
        <v>13</v>
      </c>
      <c r="D1299" s="150">
        <v>0</v>
      </c>
      <c r="E1299" s="13">
        <v>0</v>
      </c>
      <c r="F1299" s="43">
        <f t="shared" si="53"/>
        <v>0</v>
      </c>
      <c r="G1299" s="7"/>
    </row>
    <row r="1300" spans="1:7" ht="13.2" x14ac:dyDescent="0.25">
      <c r="A1300" s="119" t="s">
        <v>2537</v>
      </c>
      <c r="B1300" s="120" t="s">
        <v>1543</v>
      </c>
      <c r="C1300" s="101" t="s">
        <v>1302</v>
      </c>
      <c r="D1300" s="150">
        <v>0</v>
      </c>
      <c r="E1300" s="13">
        <v>0</v>
      </c>
      <c r="F1300" s="43">
        <f t="shared" si="53"/>
        <v>0</v>
      </c>
      <c r="G1300" s="7"/>
    </row>
    <row r="1301" spans="1:7" ht="13.2" x14ac:dyDescent="0.25">
      <c r="A1301" s="119" t="s">
        <v>2538</v>
      </c>
      <c r="B1301" s="120" t="s">
        <v>1544</v>
      </c>
      <c r="C1301" s="101" t="s">
        <v>1302</v>
      </c>
      <c r="D1301" s="150">
        <v>0</v>
      </c>
      <c r="E1301" s="13">
        <v>0</v>
      </c>
      <c r="F1301" s="43">
        <f t="shared" si="53"/>
        <v>0</v>
      </c>
      <c r="G1301" s="7"/>
    </row>
    <row r="1302" spans="1:7" ht="13.2" x14ac:dyDescent="0.25">
      <c r="A1302" s="29" t="s">
        <v>1837</v>
      </c>
      <c r="B1302" s="33" t="s">
        <v>2255</v>
      </c>
      <c r="C1302" s="101"/>
      <c r="D1302" s="17"/>
      <c r="E1302" s="13"/>
      <c r="F1302" s="43"/>
      <c r="G1302" s="7"/>
    </row>
    <row r="1303" spans="1:7" s="12" customFormat="1" ht="13.2" x14ac:dyDescent="0.25">
      <c r="A1303" s="119" t="s">
        <v>2629</v>
      </c>
      <c r="B1303" s="120" t="s">
        <v>2256</v>
      </c>
      <c r="C1303" s="101" t="s">
        <v>13</v>
      </c>
      <c r="D1303" s="150">
        <v>0</v>
      </c>
      <c r="E1303" s="13">
        <v>0</v>
      </c>
      <c r="F1303" s="43">
        <f t="shared" si="53"/>
        <v>0</v>
      </c>
      <c r="G1303" s="7"/>
    </row>
    <row r="1304" spans="1:7" ht="13.2" x14ac:dyDescent="0.25">
      <c r="A1304" s="119" t="s">
        <v>2630</v>
      </c>
      <c r="B1304" s="120" t="s">
        <v>2257</v>
      </c>
      <c r="C1304" s="101" t="s">
        <v>13</v>
      </c>
      <c r="D1304" s="150">
        <v>0</v>
      </c>
      <c r="E1304" s="13">
        <v>0</v>
      </c>
      <c r="F1304" s="43">
        <f t="shared" si="53"/>
        <v>0</v>
      </c>
      <c r="G1304" s="7"/>
    </row>
    <row r="1305" spans="1:7" ht="13.2" x14ac:dyDescent="0.25">
      <c r="A1305" s="119" t="s">
        <v>2631</v>
      </c>
      <c r="B1305" s="120" t="s">
        <v>2258</v>
      </c>
      <c r="C1305" s="101" t="s">
        <v>13</v>
      </c>
      <c r="D1305" s="150">
        <v>0</v>
      </c>
      <c r="E1305" s="13">
        <v>0</v>
      </c>
      <c r="F1305" s="43">
        <f t="shared" si="53"/>
        <v>0</v>
      </c>
      <c r="G1305" s="7"/>
    </row>
    <row r="1306" spans="1:7" ht="13.2" x14ac:dyDescent="0.25">
      <c r="A1306" s="119" t="s">
        <v>2632</v>
      </c>
      <c r="B1306" s="120" t="s">
        <v>2259</v>
      </c>
      <c r="C1306" s="101" t="s">
        <v>13</v>
      </c>
      <c r="D1306" s="150">
        <v>0</v>
      </c>
      <c r="E1306" s="13">
        <v>0</v>
      </c>
      <c r="F1306" s="43">
        <f t="shared" si="53"/>
        <v>0</v>
      </c>
      <c r="G1306" s="7"/>
    </row>
    <row r="1307" spans="1:7" ht="13.2" x14ac:dyDescent="0.25">
      <c r="A1307" s="119" t="s">
        <v>2633</v>
      </c>
      <c r="B1307" s="120" t="s">
        <v>2260</v>
      </c>
      <c r="C1307" s="101" t="s">
        <v>13</v>
      </c>
      <c r="D1307" s="150">
        <v>0</v>
      </c>
      <c r="E1307" s="13">
        <v>0</v>
      </c>
      <c r="F1307" s="43">
        <f t="shared" si="53"/>
        <v>0</v>
      </c>
      <c r="G1307" s="7"/>
    </row>
    <row r="1308" spans="1:7" ht="13.2" x14ac:dyDescent="0.25">
      <c r="A1308" s="119" t="s">
        <v>2634</v>
      </c>
      <c r="B1308" s="120" t="s">
        <v>2261</v>
      </c>
      <c r="C1308" s="101" t="s">
        <v>13</v>
      </c>
      <c r="D1308" s="150">
        <v>0</v>
      </c>
      <c r="E1308" s="13">
        <v>0</v>
      </c>
      <c r="F1308" s="43">
        <f t="shared" si="53"/>
        <v>0</v>
      </c>
      <c r="G1308" s="7"/>
    </row>
    <row r="1309" spans="1:7" ht="13.2" x14ac:dyDescent="0.25">
      <c r="A1309" s="119" t="s">
        <v>2635</v>
      </c>
      <c r="B1309" s="120" t="s">
        <v>2262</v>
      </c>
      <c r="C1309" s="101" t="s">
        <v>13</v>
      </c>
      <c r="D1309" s="150">
        <v>0</v>
      </c>
      <c r="E1309" s="13">
        <v>0</v>
      </c>
      <c r="F1309" s="43">
        <f t="shared" si="53"/>
        <v>0</v>
      </c>
      <c r="G1309" s="7"/>
    </row>
    <row r="1310" spans="1:7" ht="13.2" x14ac:dyDescent="0.25">
      <c r="A1310" s="119" t="s">
        <v>2636</v>
      </c>
      <c r="B1310" s="120" t="s">
        <v>2263</v>
      </c>
      <c r="C1310" s="101" t="s">
        <v>13</v>
      </c>
      <c r="D1310" s="150">
        <v>0</v>
      </c>
      <c r="E1310" s="13">
        <v>0</v>
      </c>
      <c r="F1310" s="43">
        <f t="shared" si="53"/>
        <v>0</v>
      </c>
      <c r="G1310" s="7"/>
    </row>
    <row r="1311" spans="1:7" ht="13.2" x14ac:dyDescent="0.25">
      <c r="A1311" s="119" t="s">
        <v>2637</v>
      </c>
      <c r="B1311" s="120" t="s">
        <v>2264</v>
      </c>
      <c r="C1311" s="101" t="s">
        <v>13</v>
      </c>
      <c r="D1311" s="150">
        <v>0</v>
      </c>
      <c r="E1311" s="13">
        <v>0</v>
      </c>
      <c r="F1311" s="43">
        <f t="shared" si="53"/>
        <v>0</v>
      </c>
      <c r="G1311" s="7"/>
    </row>
    <row r="1312" spans="1:7" ht="13.2" x14ac:dyDescent="0.25">
      <c r="A1312" s="119"/>
      <c r="B1312" s="120"/>
      <c r="C1312" s="101"/>
      <c r="E1312" s="13"/>
      <c r="F1312" s="43"/>
      <c r="G1312" s="7"/>
    </row>
    <row r="1313" spans="1:7" ht="13.2" x14ac:dyDescent="0.25">
      <c r="A1313" s="119"/>
      <c r="B1313" s="152" t="s">
        <v>1784</v>
      </c>
      <c r="C1313" s="101"/>
      <c r="E1313" s="13"/>
      <c r="F1313" s="43">
        <f>SUM(F1124:F1312)</f>
        <v>0</v>
      </c>
      <c r="G1313" s="7"/>
    </row>
    <row r="1314" spans="1:7" ht="13.2" x14ac:dyDescent="0.25">
      <c r="A1314" s="122"/>
      <c r="B1314" s="123"/>
      <c r="C1314" s="103"/>
      <c r="D1314" s="23"/>
      <c r="E1314" s="16"/>
      <c r="F1314" s="44"/>
      <c r="G1314" s="7"/>
    </row>
    <row r="1315" spans="1:7" ht="13.2" x14ac:dyDescent="0.25">
      <c r="A1315" s="30" t="s">
        <v>536</v>
      </c>
      <c r="B1315" s="36" t="s">
        <v>1171</v>
      </c>
      <c r="C1315" s="104"/>
      <c r="D1315" s="108"/>
      <c r="E1315" s="158"/>
      <c r="F1315" s="124"/>
      <c r="G1315" s="7"/>
    </row>
    <row r="1316" spans="1:7" ht="13.2" x14ac:dyDescent="0.25">
      <c r="A1316" s="27" t="s">
        <v>538</v>
      </c>
      <c r="B1316" s="28" t="s">
        <v>1173</v>
      </c>
      <c r="C1316" s="101"/>
      <c r="E1316" s="13"/>
      <c r="F1316" s="43"/>
      <c r="G1316" s="7"/>
    </row>
    <row r="1317" spans="1:7" ht="13.2" x14ac:dyDescent="0.25">
      <c r="A1317" s="119" t="s">
        <v>540</v>
      </c>
      <c r="B1317" s="121" t="s">
        <v>1175</v>
      </c>
      <c r="C1317" s="101" t="s">
        <v>117</v>
      </c>
      <c r="D1317" s="150">
        <v>0</v>
      </c>
      <c r="E1317" s="13">
        <v>0</v>
      </c>
      <c r="F1317" s="43">
        <f t="shared" si="53"/>
        <v>0</v>
      </c>
      <c r="G1317" s="7"/>
    </row>
    <row r="1318" spans="1:7" ht="13.2" x14ac:dyDescent="0.25">
      <c r="A1318" s="119" t="s">
        <v>542</v>
      </c>
      <c r="B1318" s="121" t="s">
        <v>1177</v>
      </c>
      <c r="C1318" s="101" t="s">
        <v>117</v>
      </c>
      <c r="D1318" s="150">
        <v>0</v>
      </c>
      <c r="E1318" s="13">
        <v>0</v>
      </c>
      <c r="F1318" s="43">
        <f t="shared" si="53"/>
        <v>0</v>
      </c>
      <c r="G1318" s="7"/>
    </row>
    <row r="1319" spans="1:7" ht="11.25" customHeight="1" x14ac:dyDescent="0.25">
      <c r="A1319" s="119" t="s">
        <v>544</v>
      </c>
      <c r="B1319" s="121" t="s">
        <v>1179</v>
      </c>
      <c r="C1319" s="101" t="s">
        <v>117</v>
      </c>
      <c r="D1319" s="150">
        <v>0</v>
      </c>
      <c r="E1319" s="13">
        <v>0</v>
      </c>
      <c r="F1319" s="43">
        <f t="shared" si="53"/>
        <v>0</v>
      </c>
      <c r="G1319" s="7"/>
    </row>
    <row r="1320" spans="1:7" ht="13.2" x14ac:dyDescent="0.25">
      <c r="A1320" s="119" t="s">
        <v>546</v>
      </c>
      <c r="B1320" s="121" t="s">
        <v>1181</v>
      </c>
      <c r="C1320" s="101" t="s">
        <v>117</v>
      </c>
      <c r="D1320" s="150">
        <v>0</v>
      </c>
      <c r="E1320" s="13">
        <v>0</v>
      </c>
      <c r="F1320" s="43">
        <f t="shared" si="53"/>
        <v>0</v>
      </c>
      <c r="G1320" s="7"/>
    </row>
    <row r="1321" spans="1:7" ht="13.2" x14ac:dyDescent="0.25">
      <c r="A1321" s="119" t="s">
        <v>548</v>
      </c>
      <c r="B1321" s="120" t="s">
        <v>1785</v>
      </c>
      <c r="C1321" s="101" t="s">
        <v>117</v>
      </c>
      <c r="D1321" s="150">
        <v>0</v>
      </c>
      <c r="E1321" s="13">
        <v>0</v>
      </c>
      <c r="F1321" s="43">
        <f t="shared" si="53"/>
        <v>0</v>
      </c>
      <c r="G1321" s="7"/>
    </row>
    <row r="1322" spans="1:7" ht="13.2" x14ac:dyDescent="0.25">
      <c r="A1322" s="119" t="s">
        <v>550</v>
      </c>
      <c r="B1322" s="120" t="s">
        <v>1786</v>
      </c>
      <c r="C1322" s="101" t="s">
        <v>117</v>
      </c>
      <c r="D1322" s="150">
        <v>0</v>
      </c>
      <c r="E1322" s="13">
        <v>0</v>
      </c>
      <c r="F1322" s="43">
        <f t="shared" si="53"/>
        <v>0</v>
      </c>
      <c r="G1322" s="7"/>
    </row>
    <row r="1323" spans="1:7" ht="13.2" x14ac:dyDescent="0.25">
      <c r="A1323" s="119" t="s">
        <v>552</v>
      </c>
      <c r="B1323" s="120" t="s">
        <v>1787</v>
      </c>
      <c r="C1323" s="101" t="s">
        <v>117</v>
      </c>
      <c r="D1323" s="150">
        <v>0</v>
      </c>
      <c r="E1323" s="13">
        <v>0</v>
      </c>
      <c r="F1323" s="43">
        <f t="shared" si="53"/>
        <v>0</v>
      </c>
      <c r="G1323" s="7"/>
    </row>
    <row r="1324" spans="1:7" ht="13.2" x14ac:dyDescent="0.25">
      <c r="A1324" s="119" t="s">
        <v>160</v>
      </c>
      <c r="B1324" s="121" t="s">
        <v>1183</v>
      </c>
      <c r="C1324" s="101" t="s">
        <v>117</v>
      </c>
      <c r="D1324" s="150">
        <v>0</v>
      </c>
      <c r="E1324" s="13">
        <v>0</v>
      </c>
      <c r="F1324" s="43">
        <f t="shared" si="53"/>
        <v>0</v>
      </c>
      <c r="G1324" s="7"/>
    </row>
    <row r="1325" spans="1:7" ht="13.2" x14ac:dyDescent="0.25">
      <c r="A1325" s="119" t="s">
        <v>162</v>
      </c>
      <c r="B1325" s="121" t="s">
        <v>1185</v>
      </c>
      <c r="C1325" s="101" t="s">
        <v>117</v>
      </c>
      <c r="D1325" s="150">
        <v>0</v>
      </c>
      <c r="E1325" s="13">
        <v>0</v>
      </c>
      <c r="F1325" s="43">
        <f t="shared" si="53"/>
        <v>0</v>
      </c>
      <c r="G1325" s="7"/>
    </row>
    <row r="1326" spans="1:7" ht="13.2" x14ac:dyDescent="0.25">
      <c r="A1326" s="119" t="s">
        <v>94</v>
      </c>
      <c r="B1326" s="121" t="s">
        <v>1187</v>
      </c>
      <c r="C1326" s="101" t="s">
        <v>117</v>
      </c>
      <c r="D1326" s="150">
        <v>0</v>
      </c>
      <c r="E1326" s="13">
        <v>0</v>
      </c>
      <c r="F1326" s="43">
        <f t="shared" si="53"/>
        <v>0</v>
      </c>
      <c r="G1326" s="7"/>
    </row>
    <row r="1327" spans="1:7" ht="13.2" x14ac:dyDescent="0.25">
      <c r="A1327" s="119" t="s">
        <v>96</v>
      </c>
      <c r="B1327" s="121" t="s">
        <v>553</v>
      </c>
      <c r="C1327" s="101" t="s">
        <v>117</v>
      </c>
      <c r="D1327" s="150">
        <v>0</v>
      </c>
      <c r="E1327" s="13">
        <v>0</v>
      </c>
      <c r="F1327" s="43">
        <f t="shared" si="53"/>
        <v>0</v>
      </c>
      <c r="G1327" s="7"/>
    </row>
    <row r="1328" spans="1:7" ht="13.2" x14ac:dyDescent="0.25">
      <c r="A1328" s="27" t="s">
        <v>284</v>
      </c>
      <c r="B1328" s="28" t="s">
        <v>555</v>
      </c>
      <c r="C1328" s="101" t="s">
        <v>1080</v>
      </c>
      <c r="D1328" s="17"/>
      <c r="E1328" s="13"/>
      <c r="F1328" s="43"/>
      <c r="G1328" s="7"/>
    </row>
    <row r="1329" spans="1:7" ht="13.2" x14ac:dyDescent="0.25">
      <c r="A1329" s="119" t="s">
        <v>286</v>
      </c>
      <c r="B1329" s="121" t="s">
        <v>1175</v>
      </c>
      <c r="C1329" s="101" t="s">
        <v>117</v>
      </c>
      <c r="D1329" s="150">
        <v>0</v>
      </c>
      <c r="E1329" s="13">
        <v>0</v>
      </c>
      <c r="F1329" s="43">
        <f t="shared" si="53"/>
        <v>0</v>
      </c>
      <c r="G1329" s="7"/>
    </row>
    <row r="1330" spans="1:7" ht="13.2" x14ac:dyDescent="0.25">
      <c r="A1330" s="119" t="s">
        <v>288</v>
      </c>
      <c r="B1330" s="121" t="s">
        <v>1177</v>
      </c>
      <c r="C1330" s="101" t="s">
        <v>117</v>
      </c>
      <c r="D1330" s="150">
        <v>0</v>
      </c>
      <c r="E1330" s="13">
        <v>0</v>
      </c>
      <c r="F1330" s="43">
        <f t="shared" si="53"/>
        <v>0</v>
      </c>
      <c r="G1330" s="7"/>
    </row>
    <row r="1331" spans="1:7" ht="13.2" x14ac:dyDescent="0.25">
      <c r="A1331" s="119" t="s">
        <v>290</v>
      </c>
      <c r="B1331" s="121" t="s">
        <v>1179</v>
      </c>
      <c r="C1331" s="101" t="s">
        <v>117</v>
      </c>
      <c r="D1331" s="150">
        <v>0</v>
      </c>
      <c r="E1331" s="13">
        <v>0</v>
      </c>
      <c r="F1331" s="43">
        <f t="shared" si="53"/>
        <v>0</v>
      </c>
      <c r="G1331" s="7"/>
    </row>
    <row r="1332" spans="1:7" ht="13.2" x14ac:dyDescent="0.25">
      <c r="A1332" s="119" t="s">
        <v>292</v>
      </c>
      <c r="B1332" s="121" t="s">
        <v>1181</v>
      </c>
      <c r="C1332" s="101" t="s">
        <v>117</v>
      </c>
      <c r="D1332" s="150">
        <v>0</v>
      </c>
      <c r="E1332" s="13">
        <v>0</v>
      </c>
      <c r="F1332" s="43">
        <f t="shared" si="53"/>
        <v>0</v>
      </c>
      <c r="G1332" s="7"/>
    </row>
    <row r="1333" spans="1:7" ht="13.2" x14ac:dyDescent="0.25">
      <c r="A1333" s="119" t="s">
        <v>294</v>
      </c>
      <c r="B1333" s="120" t="s">
        <v>1785</v>
      </c>
      <c r="C1333" s="101" t="s">
        <v>117</v>
      </c>
      <c r="D1333" s="150">
        <v>0</v>
      </c>
      <c r="E1333" s="13">
        <v>0</v>
      </c>
      <c r="F1333" s="43">
        <f t="shared" si="53"/>
        <v>0</v>
      </c>
      <c r="G1333" s="7"/>
    </row>
    <row r="1334" spans="1:7" ht="13.2" x14ac:dyDescent="0.25">
      <c r="A1334" s="119" t="s">
        <v>1954</v>
      </c>
      <c r="B1334" s="120" t="s">
        <v>1786</v>
      </c>
      <c r="C1334" s="101" t="s">
        <v>117</v>
      </c>
      <c r="D1334" s="150">
        <v>0</v>
      </c>
      <c r="E1334" s="13">
        <v>0</v>
      </c>
      <c r="F1334" s="43">
        <f t="shared" si="53"/>
        <v>0</v>
      </c>
      <c r="G1334" s="7"/>
    </row>
    <row r="1335" spans="1:7" ht="13.2" x14ac:dyDescent="0.25">
      <c r="A1335" s="119" t="s">
        <v>1955</v>
      </c>
      <c r="B1335" s="120" t="s">
        <v>1787</v>
      </c>
      <c r="C1335" s="101" t="s">
        <v>117</v>
      </c>
      <c r="D1335" s="150">
        <v>0</v>
      </c>
      <c r="E1335" s="13">
        <v>0</v>
      </c>
      <c r="F1335" s="43">
        <f t="shared" si="53"/>
        <v>0</v>
      </c>
      <c r="G1335" s="7"/>
    </row>
    <row r="1336" spans="1:7" ht="13.2" x14ac:dyDescent="0.25">
      <c r="A1336" s="27" t="s">
        <v>1622</v>
      </c>
      <c r="B1336" s="28" t="s">
        <v>524</v>
      </c>
      <c r="C1336" s="101" t="s">
        <v>1080</v>
      </c>
      <c r="D1336" s="17"/>
      <c r="E1336" s="13"/>
      <c r="F1336" s="43"/>
      <c r="G1336" s="7"/>
    </row>
    <row r="1337" spans="1:7" ht="13.2" x14ac:dyDescent="0.25">
      <c r="A1337" s="119" t="s">
        <v>1838</v>
      </c>
      <c r="B1337" s="121" t="s">
        <v>1175</v>
      </c>
      <c r="C1337" s="101" t="s">
        <v>117</v>
      </c>
      <c r="D1337" s="150">
        <v>0</v>
      </c>
      <c r="E1337" s="13">
        <v>0</v>
      </c>
      <c r="F1337" s="43">
        <f t="shared" si="53"/>
        <v>0</v>
      </c>
      <c r="G1337" s="7"/>
    </row>
    <row r="1338" spans="1:7" ht="13.2" x14ac:dyDescent="0.25">
      <c r="A1338" s="119" t="s">
        <v>1839</v>
      </c>
      <c r="B1338" s="121" t="s">
        <v>1177</v>
      </c>
      <c r="C1338" s="101" t="s">
        <v>117</v>
      </c>
      <c r="D1338" s="150">
        <v>0</v>
      </c>
      <c r="E1338" s="13">
        <v>0</v>
      </c>
      <c r="F1338" s="43">
        <f t="shared" si="53"/>
        <v>0</v>
      </c>
      <c r="G1338" s="7"/>
    </row>
    <row r="1339" spans="1:7" ht="13.2" x14ac:dyDescent="0.25">
      <c r="A1339" s="119" t="s">
        <v>1956</v>
      </c>
      <c r="B1339" s="121" t="s">
        <v>1179</v>
      </c>
      <c r="C1339" s="101" t="s">
        <v>117</v>
      </c>
      <c r="D1339" s="150">
        <v>0</v>
      </c>
      <c r="E1339" s="13">
        <v>0</v>
      </c>
      <c r="F1339" s="43">
        <f t="shared" si="53"/>
        <v>0</v>
      </c>
      <c r="G1339" s="7"/>
    </row>
    <row r="1340" spans="1:7" ht="13.2" x14ac:dyDescent="0.25">
      <c r="A1340" s="119" t="s">
        <v>1957</v>
      </c>
      <c r="B1340" s="121" t="s">
        <v>1181</v>
      </c>
      <c r="C1340" s="101" t="s">
        <v>117</v>
      </c>
      <c r="D1340" s="150">
        <v>0</v>
      </c>
      <c r="E1340" s="13">
        <v>0</v>
      </c>
      <c r="F1340" s="43">
        <f>D1340*E1340</f>
        <v>0</v>
      </c>
      <c r="G1340" s="7"/>
    </row>
    <row r="1341" spans="1:7" ht="13.2" x14ac:dyDescent="0.25">
      <c r="A1341" s="119" t="s">
        <v>1958</v>
      </c>
      <c r="B1341" s="120" t="s">
        <v>1785</v>
      </c>
      <c r="C1341" s="101" t="s">
        <v>117</v>
      </c>
      <c r="D1341" s="150">
        <v>0</v>
      </c>
      <c r="E1341" s="13">
        <v>0</v>
      </c>
      <c r="F1341" s="43">
        <f t="shared" si="53"/>
        <v>0</v>
      </c>
      <c r="G1341" s="7"/>
    </row>
    <row r="1342" spans="1:7" ht="13.2" x14ac:dyDescent="0.25">
      <c r="A1342" s="119" t="s">
        <v>1959</v>
      </c>
      <c r="B1342" s="120" t="s">
        <v>1786</v>
      </c>
      <c r="C1342" s="101" t="s">
        <v>117</v>
      </c>
      <c r="D1342" s="150">
        <v>0</v>
      </c>
      <c r="E1342" s="13">
        <v>0</v>
      </c>
      <c r="F1342" s="43">
        <f t="shared" si="53"/>
        <v>0</v>
      </c>
      <c r="G1342" s="7"/>
    </row>
    <row r="1343" spans="1:7" ht="13.2" x14ac:dyDescent="0.25">
      <c r="A1343" s="119" t="s">
        <v>1960</v>
      </c>
      <c r="B1343" s="120" t="s">
        <v>1787</v>
      </c>
      <c r="C1343" s="101" t="s">
        <v>117</v>
      </c>
      <c r="D1343" s="150">
        <v>0</v>
      </c>
      <c r="E1343" s="13">
        <v>0</v>
      </c>
      <c r="F1343" s="43">
        <f t="shared" si="53"/>
        <v>0</v>
      </c>
      <c r="G1343" s="7"/>
    </row>
    <row r="1344" spans="1:7" ht="13.2" x14ac:dyDescent="0.25">
      <c r="A1344" s="27" t="s">
        <v>1623</v>
      </c>
      <c r="B1344" s="28" t="s">
        <v>529</v>
      </c>
      <c r="C1344" s="101" t="s">
        <v>1080</v>
      </c>
      <c r="D1344" s="17"/>
      <c r="E1344" s="13"/>
      <c r="F1344" s="43"/>
      <c r="G1344" s="7"/>
    </row>
    <row r="1345" spans="1:7" ht="13.2" x14ac:dyDescent="0.25">
      <c r="A1345" s="119" t="s">
        <v>1624</v>
      </c>
      <c r="B1345" s="121" t="s">
        <v>1175</v>
      </c>
      <c r="C1345" s="101" t="s">
        <v>117</v>
      </c>
      <c r="D1345" s="150">
        <v>0</v>
      </c>
      <c r="E1345" s="13">
        <v>0</v>
      </c>
      <c r="F1345" s="43">
        <f t="shared" si="53"/>
        <v>0</v>
      </c>
      <c r="G1345" s="7"/>
    </row>
    <row r="1346" spans="1:7" ht="13.2" x14ac:dyDescent="0.25">
      <c r="A1346" s="119" t="s">
        <v>1625</v>
      </c>
      <c r="B1346" s="121" t="s">
        <v>1177</v>
      </c>
      <c r="C1346" s="101" t="s">
        <v>117</v>
      </c>
      <c r="D1346" s="150">
        <v>0</v>
      </c>
      <c r="E1346" s="13">
        <v>0</v>
      </c>
      <c r="F1346" s="43">
        <f t="shared" si="53"/>
        <v>0</v>
      </c>
      <c r="G1346" s="7"/>
    </row>
    <row r="1347" spans="1:7" ht="13.2" x14ac:dyDescent="0.25">
      <c r="A1347" s="119" t="s">
        <v>1961</v>
      </c>
      <c r="B1347" s="121" t="s">
        <v>1179</v>
      </c>
      <c r="C1347" s="101" t="s">
        <v>117</v>
      </c>
      <c r="D1347" s="150">
        <v>0</v>
      </c>
      <c r="E1347" s="13">
        <v>0</v>
      </c>
      <c r="F1347" s="43">
        <f t="shared" si="53"/>
        <v>0</v>
      </c>
      <c r="G1347" s="7"/>
    </row>
    <row r="1348" spans="1:7" ht="13.2" x14ac:dyDescent="0.25">
      <c r="A1348" s="119" t="s">
        <v>1962</v>
      </c>
      <c r="B1348" s="121" t="s">
        <v>1181</v>
      </c>
      <c r="C1348" s="101" t="s">
        <v>117</v>
      </c>
      <c r="D1348" s="150">
        <v>0</v>
      </c>
      <c r="E1348" s="13">
        <v>0</v>
      </c>
      <c r="F1348" s="43">
        <f t="shared" si="53"/>
        <v>0</v>
      </c>
      <c r="G1348" s="7"/>
    </row>
    <row r="1349" spans="1:7" ht="13.2" x14ac:dyDescent="0.25">
      <c r="A1349" s="119" t="s">
        <v>1963</v>
      </c>
      <c r="B1349" s="120" t="s">
        <v>1785</v>
      </c>
      <c r="C1349" s="101" t="s">
        <v>117</v>
      </c>
      <c r="D1349" s="150">
        <v>0</v>
      </c>
      <c r="E1349" s="13">
        <v>0</v>
      </c>
      <c r="F1349" s="43">
        <f t="shared" si="53"/>
        <v>0</v>
      </c>
      <c r="G1349" s="7"/>
    </row>
    <row r="1350" spans="1:7" ht="13.2" x14ac:dyDescent="0.25">
      <c r="A1350" s="119" t="s">
        <v>1964</v>
      </c>
      <c r="B1350" s="120" t="s">
        <v>1786</v>
      </c>
      <c r="C1350" s="101" t="s">
        <v>117</v>
      </c>
      <c r="D1350" s="150">
        <v>0</v>
      </c>
      <c r="E1350" s="13">
        <v>0</v>
      </c>
      <c r="F1350" s="43">
        <f t="shared" si="53"/>
        <v>0</v>
      </c>
      <c r="G1350" s="7"/>
    </row>
    <row r="1351" spans="1:7" ht="13.2" x14ac:dyDescent="0.25">
      <c r="A1351" s="119" t="s">
        <v>1965</v>
      </c>
      <c r="B1351" s="120" t="s">
        <v>1787</v>
      </c>
      <c r="C1351" s="101" t="s">
        <v>117</v>
      </c>
      <c r="D1351" s="150">
        <v>0</v>
      </c>
      <c r="E1351" s="13">
        <v>0</v>
      </c>
      <c r="F1351" s="43">
        <f t="shared" si="53"/>
        <v>0</v>
      </c>
      <c r="G1351" s="7"/>
    </row>
    <row r="1352" spans="1:7" ht="13.2" x14ac:dyDescent="0.25">
      <c r="A1352" s="119"/>
      <c r="B1352" s="121"/>
      <c r="C1352" s="101"/>
      <c r="D1352" s="17"/>
      <c r="E1352" s="13"/>
      <c r="F1352" s="43"/>
      <c r="G1352" s="7"/>
    </row>
    <row r="1353" spans="1:7" ht="13.2" x14ac:dyDescent="0.25">
      <c r="A1353" s="119"/>
      <c r="B1353" s="152" t="s">
        <v>1721</v>
      </c>
      <c r="C1353" s="101"/>
      <c r="D1353" s="17"/>
      <c r="E1353" s="13"/>
      <c r="F1353" s="43">
        <f>SUM(F1317:F1352)</f>
        <v>0</v>
      </c>
      <c r="G1353" s="7"/>
    </row>
    <row r="1354" spans="1:7" ht="13.2" x14ac:dyDescent="0.25">
      <c r="A1354" s="122"/>
      <c r="B1354" s="131"/>
      <c r="C1354" s="103"/>
      <c r="D1354" s="18"/>
      <c r="E1354" s="16"/>
      <c r="F1354" s="44"/>
      <c r="G1354" s="7"/>
    </row>
    <row r="1355" spans="1:7" ht="13.2" x14ac:dyDescent="0.25">
      <c r="A1355" s="30" t="s">
        <v>1032</v>
      </c>
      <c r="B1355" s="36" t="s">
        <v>537</v>
      </c>
      <c r="C1355" s="104"/>
      <c r="D1355" s="108"/>
      <c r="E1355" s="158" t="s">
        <v>1080</v>
      </c>
      <c r="F1355" s="124" t="s">
        <v>1080</v>
      </c>
      <c r="G1355" s="7"/>
    </row>
    <row r="1356" spans="1:7" ht="13.2" x14ac:dyDescent="0.25">
      <c r="A1356" s="27" t="s">
        <v>1033</v>
      </c>
      <c r="B1356" s="28" t="s">
        <v>539</v>
      </c>
      <c r="C1356" s="101"/>
      <c r="D1356" s="17"/>
      <c r="E1356" s="13"/>
      <c r="F1356" s="43"/>
      <c r="G1356" s="7"/>
    </row>
    <row r="1357" spans="1:7" ht="13.2" x14ac:dyDescent="0.25">
      <c r="A1357" s="119" t="s">
        <v>1626</v>
      </c>
      <c r="B1357" s="121" t="s">
        <v>541</v>
      </c>
      <c r="C1357" s="101" t="s">
        <v>117</v>
      </c>
      <c r="D1357" s="150">
        <v>0</v>
      </c>
      <c r="E1357" s="13">
        <v>0</v>
      </c>
      <c r="F1357" s="43">
        <f t="shared" si="53"/>
        <v>0</v>
      </c>
      <c r="G1357" s="7"/>
    </row>
    <row r="1358" spans="1:7" ht="13.2" x14ac:dyDescent="0.25">
      <c r="A1358" s="119" t="s">
        <v>1627</v>
      </c>
      <c r="B1358" s="121" t="s">
        <v>543</v>
      </c>
      <c r="C1358" s="101" t="s">
        <v>117</v>
      </c>
      <c r="D1358" s="150">
        <v>0</v>
      </c>
      <c r="E1358" s="13">
        <v>0</v>
      </c>
      <c r="F1358" s="43">
        <f t="shared" si="53"/>
        <v>0</v>
      </c>
      <c r="G1358" s="7"/>
    </row>
    <row r="1359" spans="1:7" ht="13.2" x14ac:dyDescent="0.25">
      <c r="A1359" s="119" t="s">
        <v>1628</v>
      </c>
      <c r="B1359" s="121" t="s">
        <v>545</v>
      </c>
      <c r="C1359" s="101" t="s">
        <v>117</v>
      </c>
      <c r="D1359" s="150">
        <v>0</v>
      </c>
      <c r="E1359" s="13">
        <v>0</v>
      </c>
      <c r="F1359" s="43">
        <f t="shared" si="53"/>
        <v>0</v>
      </c>
      <c r="G1359" s="7"/>
    </row>
    <row r="1360" spans="1:7" ht="13.2" x14ac:dyDescent="0.25">
      <c r="A1360" s="119" t="s">
        <v>1629</v>
      </c>
      <c r="B1360" s="121" t="s">
        <v>547</v>
      </c>
      <c r="C1360" s="101" t="s">
        <v>117</v>
      </c>
      <c r="D1360" s="150">
        <v>0</v>
      </c>
      <c r="E1360" s="13">
        <v>0</v>
      </c>
      <c r="F1360" s="43">
        <f t="shared" si="53"/>
        <v>0</v>
      </c>
      <c r="G1360" s="7"/>
    </row>
    <row r="1361" spans="1:7" ht="13.2" x14ac:dyDescent="0.25">
      <c r="A1361" s="119" t="s">
        <v>1630</v>
      </c>
      <c r="B1361" s="121" t="s">
        <v>549</v>
      </c>
      <c r="C1361" s="101" t="s">
        <v>117</v>
      </c>
      <c r="D1361" s="150">
        <v>0</v>
      </c>
      <c r="E1361" s="13">
        <v>0</v>
      </c>
      <c r="F1361" s="43">
        <f t="shared" ref="F1361:F1380" si="54">D1361*E1361</f>
        <v>0</v>
      </c>
      <c r="G1361" s="7"/>
    </row>
    <row r="1362" spans="1:7" ht="13.2" x14ac:dyDescent="0.25">
      <c r="A1362" s="119" t="s">
        <v>1947</v>
      </c>
      <c r="B1362" s="120" t="s">
        <v>1545</v>
      </c>
      <c r="C1362" s="101" t="s">
        <v>117</v>
      </c>
      <c r="D1362" s="150">
        <v>0</v>
      </c>
      <c r="E1362" s="13">
        <v>0</v>
      </c>
      <c r="F1362" s="43">
        <f t="shared" si="54"/>
        <v>0</v>
      </c>
      <c r="G1362" s="7"/>
    </row>
    <row r="1363" spans="1:7" ht="13.2" x14ac:dyDescent="0.25">
      <c r="A1363" s="119" t="s">
        <v>1948</v>
      </c>
      <c r="B1363" s="120" t="s">
        <v>1546</v>
      </c>
      <c r="C1363" s="101" t="s">
        <v>1547</v>
      </c>
      <c r="D1363" s="150">
        <v>0</v>
      </c>
      <c r="E1363" s="13">
        <v>0</v>
      </c>
      <c r="F1363" s="43">
        <f t="shared" si="54"/>
        <v>0</v>
      </c>
      <c r="G1363" s="7"/>
    </row>
    <row r="1364" spans="1:7" ht="13.2" x14ac:dyDescent="0.25">
      <c r="A1364" s="119" t="s">
        <v>1949</v>
      </c>
      <c r="B1364" s="120" t="s">
        <v>2041</v>
      </c>
      <c r="C1364" s="101" t="s">
        <v>117</v>
      </c>
      <c r="D1364" s="150">
        <v>0</v>
      </c>
      <c r="E1364" s="13">
        <v>0</v>
      </c>
      <c r="F1364" s="43">
        <f t="shared" si="54"/>
        <v>0</v>
      </c>
      <c r="G1364" s="7"/>
    </row>
    <row r="1365" spans="1:7" ht="13.2" x14ac:dyDescent="0.25">
      <c r="A1365" s="119" t="s">
        <v>1950</v>
      </c>
      <c r="B1365" s="120" t="s">
        <v>2040</v>
      </c>
      <c r="C1365" s="101" t="s">
        <v>117</v>
      </c>
      <c r="D1365" s="150">
        <v>0</v>
      </c>
      <c r="E1365" s="13">
        <v>0</v>
      </c>
      <c r="F1365" s="43">
        <f t="shared" si="54"/>
        <v>0</v>
      </c>
      <c r="G1365" s="7"/>
    </row>
    <row r="1366" spans="1:7" ht="13.2" x14ac:dyDescent="0.25">
      <c r="A1366" s="119" t="s">
        <v>1951</v>
      </c>
      <c r="B1366" s="121" t="s">
        <v>551</v>
      </c>
      <c r="C1366" s="101" t="s">
        <v>117</v>
      </c>
      <c r="D1366" s="150">
        <v>0</v>
      </c>
      <c r="E1366" s="13">
        <v>0</v>
      </c>
      <c r="F1366" s="43">
        <f t="shared" si="54"/>
        <v>0</v>
      </c>
      <c r="G1366" s="7"/>
    </row>
    <row r="1367" spans="1:7" ht="13.2" x14ac:dyDescent="0.25">
      <c r="A1367" s="119" t="s">
        <v>1952</v>
      </c>
      <c r="B1367" s="121" t="s">
        <v>159</v>
      </c>
      <c r="C1367" s="101" t="s">
        <v>117</v>
      </c>
      <c r="D1367" s="150">
        <v>0</v>
      </c>
      <c r="E1367" s="13">
        <v>0</v>
      </c>
      <c r="F1367" s="43">
        <f t="shared" si="54"/>
        <v>0</v>
      </c>
      <c r="G1367" s="7"/>
    </row>
    <row r="1368" spans="1:7" ht="13.2" x14ac:dyDescent="0.25">
      <c r="A1368" s="119" t="s">
        <v>1966</v>
      </c>
      <c r="B1368" s="121" t="s">
        <v>161</v>
      </c>
      <c r="C1368" s="101" t="s">
        <v>117</v>
      </c>
      <c r="D1368" s="150">
        <v>0</v>
      </c>
      <c r="E1368" s="13">
        <v>0</v>
      </c>
      <c r="F1368" s="43">
        <f t="shared" si="54"/>
        <v>0</v>
      </c>
      <c r="G1368" s="7"/>
    </row>
    <row r="1369" spans="1:7" ht="13.2" x14ac:dyDescent="0.25">
      <c r="A1369" s="119" t="s">
        <v>1967</v>
      </c>
      <c r="B1369" s="121" t="s">
        <v>93</v>
      </c>
      <c r="C1369" s="101" t="s">
        <v>117</v>
      </c>
      <c r="D1369" s="150">
        <v>0</v>
      </c>
      <c r="E1369" s="13">
        <v>0</v>
      </c>
      <c r="F1369" s="43">
        <f t="shared" si="54"/>
        <v>0</v>
      </c>
      <c r="G1369" s="7"/>
    </row>
    <row r="1370" spans="1:7" ht="13.2" x14ac:dyDescent="0.25">
      <c r="A1370" s="119" t="s">
        <v>1968</v>
      </c>
      <c r="B1370" s="121" t="s">
        <v>95</v>
      </c>
      <c r="C1370" s="101" t="s">
        <v>117</v>
      </c>
      <c r="D1370" s="150">
        <v>0</v>
      </c>
      <c r="E1370" s="13">
        <v>0</v>
      </c>
      <c r="F1370" s="43">
        <f t="shared" si="54"/>
        <v>0</v>
      </c>
      <c r="G1370" s="7"/>
    </row>
    <row r="1371" spans="1:7" ht="13.2" x14ac:dyDescent="0.25">
      <c r="A1371" s="119" t="s">
        <v>1969</v>
      </c>
      <c r="B1371" s="121" t="s">
        <v>97</v>
      </c>
      <c r="C1371" s="101" t="s">
        <v>117</v>
      </c>
      <c r="D1371" s="150">
        <v>0</v>
      </c>
      <c r="E1371" s="13">
        <v>0</v>
      </c>
      <c r="F1371" s="43">
        <f t="shared" si="54"/>
        <v>0</v>
      </c>
      <c r="G1371" s="7"/>
    </row>
    <row r="1372" spans="1:7" ht="13.2" x14ac:dyDescent="0.25">
      <c r="A1372" s="119" t="s">
        <v>1970</v>
      </c>
      <c r="B1372" s="121" t="s">
        <v>281</v>
      </c>
      <c r="C1372" s="101" t="s">
        <v>117</v>
      </c>
      <c r="D1372" s="150">
        <v>0</v>
      </c>
      <c r="E1372" s="13">
        <v>0</v>
      </c>
      <c r="F1372" s="43">
        <f t="shared" si="54"/>
        <v>0</v>
      </c>
      <c r="G1372" s="7"/>
    </row>
    <row r="1373" spans="1:7" ht="13.2" x14ac:dyDescent="0.25">
      <c r="A1373" s="119" t="s">
        <v>1971</v>
      </c>
      <c r="B1373" s="121" t="s">
        <v>282</v>
      </c>
      <c r="C1373" s="101" t="s">
        <v>117</v>
      </c>
      <c r="D1373" s="150">
        <v>0</v>
      </c>
      <c r="E1373" s="13">
        <v>0</v>
      </c>
      <c r="F1373" s="43">
        <f t="shared" si="54"/>
        <v>0</v>
      </c>
      <c r="G1373" s="7"/>
    </row>
    <row r="1374" spans="1:7" ht="13.2" x14ac:dyDescent="0.25">
      <c r="A1374" s="119" t="s">
        <v>1972</v>
      </c>
      <c r="B1374" s="121" t="s">
        <v>283</v>
      </c>
      <c r="C1374" s="101" t="s">
        <v>13</v>
      </c>
      <c r="D1374" s="150">
        <v>0</v>
      </c>
      <c r="E1374" s="13">
        <v>0</v>
      </c>
      <c r="F1374" s="43">
        <f t="shared" si="54"/>
        <v>0</v>
      </c>
      <c r="G1374" s="7"/>
    </row>
    <row r="1375" spans="1:7" ht="13.2" x14ac:dyDescent="0.25">
      <c r="A1375" s="27" t="s">
        <v>1491</v>
      </c>
      <c r="B1375" s="28" t="s">
        <v>285</v>
      </c>
      <c r="C1375" s="101" t="s">
        <v>1080</v>
      </c>
      <c r="D1375" s="17"/>
      <c r="E1375" s="13"/>
      <c r="F1375" s="43"/>
      <c r="G1375" s="7"/>
    </row>
    <row r="1376" spans="1:7" ht="13.2" x14ac:dyDescent="0.25">
      <c r="A1376" s="119" t="s">
        <v>1631</v>
      </c>
      <c r="B1376" s="121" t="s">
        <v>287</v>
      </c>
      <c r="C1376" s="101" t="s">
        <v>117</v>
      </c>
      <c r="D1376" s="150">
        <v>0</v>
      </c>
      <c r="E1376" s="13">
        <v>0</v>
      </c>
      <c r="F1376" s="43">
        <f t="shared" si="54"/>
        <v>0</v>
      </c>
      <c r="G1376" s="7"/>
    </row>
    <row r="1377" spans="1:7" ht="13.2" x14ac:dyDescent="0.25">
      <c r="A1377" s="119" t="s">
        <v>1632</v>
      </c>
      <c r="B1377" s="121" t="s">
        <v>289</v>
      </c>
      <c r="C1377" s="101" t="s">
        <v>117</v>
      </c>
      <c r="D1377" s="150">
        <v>0</v>
      </c>
      <c r="E1377" s="13">
        <v>0</v>
      </c>
      <c r="F1377" s="43">
        <f t="shared" si="54"/>
        <v>0</v>
      </c>
      <c r="G1377" s="7"/>
    </row>
    <row r="1378" spans="1:7" ht="13.2" x14ac:dyDescent="0.25">
      <c r="A1378" s="119" t="s">
        <v>1633</v>
      </c>
      <c r="B1378" s="121" t="s">
        <v>291</v>
      </c>
      <c r="C1378" s="101" t="s">
        <v>117</v>
      </c>
      <c r="D1378" s="150">
        <v>0</v>
      </c>
      <c r="E1378" s="13">
        <v>0</v>
      </c>
      <c r="F1378" s="43">
        <f t="shared" si="54"/>
        <v>0</v>
      </c>
      <c r="G1378" s="7"/>
    </row>
    <row r="1379" spans="1:7" ht="13.2" x14ac:dyDescent="0.25">
      <c r="A1379" s="119" t="s">
        <v>1719</v>
      </c>
      <c r="B1379" s="121" t="s">
        <v>293</v>
      </c>
      <c r="C1379" s="101" t="s">
        <v>117</v>
      </c>
      <c r="D1379" s="150">
        <v>0</v>
      </c>
      <c r="E1379" s="13">
        <v>0</v>
      </c>
      <c r="F1379" s="43">
        <f t="shared" si="54"/>
        <v>0</v>
      </c>
      <c r="G1379" s="7"/>
    </row>
    <row r="1380" spans="1:7" ht="13.2" x14ac:dyDescent="0.25">
      <c r="A1380" s="119" t="s">
        <v>1720</v>
      </c>
      <c r="B1380" s="121" t="s">
        <v>295</v>
      </c>
      <c r="C1380" s="101" t="s">
        <v>117</v>
      </c>
      <c r="D1380" s="150">
        <v>0</v>
      </c>
      <c r="E1380" s="13">
        <v>0</v>
      </c>
      <c r="F1380" s="43">
        <f t="shared" si="54"/>
        <v>0</v>
      </c>
      <c r="G1380" s="7"/>
    </row>
    <row r="1381" spans="1:7" ht="13.2" x14ac:dyDescent="0.25">
      <c r="A1381" s="132"/>
      <c r="B1381" s="121"/>
      <c r="C1381" s="101"/>
      <c r="E1381" s="161"/>
      <c r="F1381" s="45"/>
    </row>
    <row r="1382" spans="1:7" ht="13.2" x14ac:dyDescent="0.25">
      <c r="A1382" s="119"/>
      <c r="B1382" s="152" t="s">
        <v>3289</v>
      </c>
      <c r="C1382" s="101"/>
      <c r="E1382" s="161"/>
      <c r="F1382" s="43">
        <f>SUM(F1356:F1381)</f>
        <v>0</v>
      </c>
    </row>
    <row r="1383" spans="1:7" ht="13.2" x14ac:dyDescent="0.25">
      <c r="A1383" s="133"/>
      <c r="B1383" s="154"/>
      <c r="C1383" s="103"/>
      <c r="D1383" s="23"/>
      <c r="E1383" s="162"/>
      <c r="F1383" s="46"/>
    </row>
    <row r="1384" spans="1:7" ht="13.2" x14ac:dyDescent="0.25">
      <c r="A1384" s="30">
        <v>17</v>
      </c>
      <c r="B1384" s="36" t="s">
        <v>3290</v>
      </c>
      <c r="C1384" s="104"/>
      <c r="D1384" s="108"/>
      <c r="E1384" s="158"/>
      <c r="F1384" s="108"/>
    </row>
    <row r="1385" spans="1:7" ht="13.2" x14ac:dyDescent="0.25">
      <c r="A1385" s="134" t="s">
        <v>3292</v>
      </c>
      <c r="B1385" s="35" t="s">
        <v>3293</v>
      </c>
      <c r="C1385" s="107" t="s">
        <v>3300</v>
      </c>
      <c r="D1385" s="150">
        <v>0</v>
      </c>
      <c r="E1385" s="163">
        <v>0</v>
      </c>
      <c r="F1385" s="43">
        <f>D1385+D1385*E1385</f>
        <v>0</v>
      </c>
    </row>
    <row r="1386" spans="1:7" ht="13.2" x14ac:dyDescent="0.25">
      <c r="A1386" s="134" t="s">
        <v>3294</v>
      </c>
      <c r="B1386" s="35" t="s">
        <v>3295</v>
      </c>
      <c r="C1386" s="107" t="s">
        <v>3300</v>
      </c>
      <c r="D1386" s="150">
        <v>0</v>
      </c>
      <c r="E1386" s="163">
        <v>0</v>
      </c>
      <c r="F1386" s="43">
        <f t="shared" ref="F1386:F1388" si="55">D1386+D1386*E1386</f>
        <v>0</v>
      </c>
    </row>
    <row r="1387" spans="1:7" ht="13.2" x14ac:dyDescent="0.25">
      <c r="A1387" s="134" t="s">
        <v>3296</v>
      </c>
      <c r="B1387" s="35" t="s">
        <v>3297</v>
      </c>
      <c r="C1387" s="107" t="s">
        <v>3300</v>
      </c>
      <c r="D1387" s="150">
        <v>0</v>
      </c>
      <c r="E1387" s="163">
        <v>0</v>
      </c>
      <c r="F1387" s="43">
        <f t="shared" si="55"/>
        <v>0</v>
      </c>
    </row>
    <row r="1388" spans="1:7" ht="13.2" x14ac:dyDescent="0.25">
      <c r="A1388" s="134" t="s">
        <v>3298</v>
      </c>
      <c r="B1388" s="35" t="s">
        <v>3299</v>
      </c>
      <c r="C1388" s="107" t="s">
        <v>3300</v>
      </c>
      <c r="D1388" s="150">
        <v>0</v>
      </c>
      <c r="E1388" s="163">
        <v>0</v>
      </c>
      <c r="F1388" s="43">
        <f t="shared" si="55"/>
        <v>0</v>
      </c>
    </row>
    <row r="1389" spans="1:7" ht="13.2" x14ac:dyDescent="0.25">
      <c r="A1389" s="151"/>
      <c r="B1389" s="151"/>
      <c r="C1389" s="151"/>
      <c r="D1389" s="151"/>
      <c r="E1389" s="164"/>
      <c r="F1389" s="45"/>
    </row>
    <row r="1390" spans="1:7" ht="13.2" x14ac:dyDescent="0.25">
      <c r="A1390" s="135"/>
      <c r="B1390" s="152" t="s">
        <v>3291</v>
      </c>
      <c r="C1390" s="101"/>
      <c r="E1390" s="161"/>
      <c r="F1390" s="43">
        <f>SUM(F1385:F1388)</f>
        <v>0</v>
      </c>
    </row>
    <row r="1391" spans="1:7" ht="13.2" x14ac:dyDescent="0.25">
      <c r="A1391" s="118"/>
      <c r="B1391" s="153"/>
      <c r="C1391" s="101"/>
      <c r="E1391" s="161"/>
      <c r="F1391" s="46"/>
    </row>
    <row r="1392" spans="1:7" ht="29.25" customHeight="1" thickBot="1" x14ac:dyDescent="0.3">
      <c r="A1392" s="53"/>
      <c r="B1392" s="54"/>
      <c r="C1392" s="109"/>
      <c r="D1392" s="55"/>
      <c r="E1392" s="55"/>
      <c r="F1392" s="48"/>
    </row>
    <row r="1393" spans="1:6" ht="13.8" thickBot="1" x14ac:dyDescent="0.3">
      <c r="A1393" s="56"/>
      <c r="B1393" s="57" t="s">
        <v>0</v>
      </c>
      <c r="C1393" s="110" t="s">
        <v>1080</v>
      </c>
      <c r="D1393" s="58"/>
      <c r="E1393" s="59"/>
      <c r="F1393" s="49"/>
    </row>
    <row r="1394" spans="1:6" ht="13.2" x14ac:dyDescent="0.25">
      <c r="A1394" s="60"/>
      <c r="B1394" s="61"/>
      <c r="C1394" s="111"/>
      <c r="D1394" s="62"/>
      <c r="E1394" s="63"/>
      <c r="F1394" s="50"/>
    </row>
    <row r="1395" spans="1:6" ht="13.2" x14ac:dyDescent="0.25">
      <c r="A1395" s="64">
        <v>1</v>
      </c>
      <c r="B1395" s="65" t="s">
        <v>270</v>
      </c>
      <c r="C1395" s="112"/>
      <c r="D1395" s="66"/>
      <c r="E1395" s="67"/>
      <c r="F1395" s="51">
        <f>F96</f>
        <v>0</v>
      </c>
    </row>
    <row r="1396" spans="1:6" ht="13.2" x14ac:dyDescent="0.25">
      <c r="A1396" s="64">
        <v>2</v>
      </c>
      <c r="B1396" s="65" t="s">
        <v>1334</v>
      </c>
      <c r="C1396" s="112"/>
      <c r="D1396" s="66"/>
      <c r="E1396" s="67"/>
      <c r="F1396" s="51">
        <f>F210</f>
        <v>0</v>
      </c>
    </row>
    <row r="1397" spans="1:6" ht="13.2" x14ac:dyDescent="0.25">
      <c r="A1397" s="64">
        <v>3</v>
      </c>
      <c r="B1397" s="65" t="s">
        <v>118</v>
      </c>
      <c r="C1397" s="112"/>
      <c r="D1397" s="66"/>
      <c r="E1397" s="67"/>
      <c r="F1397" s="51">
        <f>F301</f>
        <v>0</v>
      </c>
    </row>
    <row r="1398" spans="1:6" ht="13.2" x14ac:dyDescent="0.25">
      <c r="A1398" s="64">
        <v>4</v>
      </c>
      <c r="B1398" s="65" t="s">
        <v>1452</v>
      </c>
      <c r="C1398" s="112"/>
      <c r="D1398" s="66"/>
      <c r="E1398" s="67"/>
      <c r="F1398" s="51">
        <f>F337</f>
        <v>0</v>
      </c>
    </row>
    <row r="1399" spans="1:6" ht="13.2" x14ac:dyDescent="0.25">
      <c r="A1399" s="64">
        <v>5</v>
      </c>
      <c r="B1399" s="65" t="s">
        <v>1735</v>
      </c>
      <c r="C1399" s="112"/>
      <c r="D1399" s="66"/>
      <c r="E1399" s="67"/>
      <c r="F1399" s="51">
        <f>F363</f>
        <v>0</v>
      </c>
    </row>
    <row r="1400" spans="1:6" ht="13.2" x14ac:dyDescent="0.25">
      <c r="A1400" s="64">
        <v>6</v>
      </c>
      <c r="B1400" s="65" t="s">
        <v>1742</v>
      </c>
      <c r="C1400" s="112"/>
      <c r="D1400" s="66"/>
      <c r="E1400" s="67"/>
      <c r="F1400" s="51">
        <f>F441</f>
        <v>0</v>
      </c>
    </row>
    <row r="1401" spans="1:6" ht="13.2" x14ac:dyDescent="0.25">
      <c r="A1401" s="64">
        <v>7</v>
      </c>
      <c r="B1401" s="65" t="s">
        <v>1746</v>
      </c>
      <c r="C1401" s="112"/>
      <c r="D1401" s="66"/>
      <c r="E1401" s="67"/>
      <c r="F1401" s="51">
        <f>F483</f>
        <v>0</v>
      </c>
    </row>
    <row r="1402" spans="1:6" ht="13.2" x14ac:dyDescent="0.25">
      <c r="A1402" s="64">
        <v>8</v>
      </c>
      <c r="B1402" s="65" t="s">
        <v>1748</v>
      </c>
      <c r="C1402" s="112"/>
      <c r="D1402" s="66"/>
      <c r="E1402" s="67"/>
      <c r="F1402" s="51">
        <f>F633</f>
        <v>0</v>
      </c>
    </row>
    <row r="1403" spans="1:6" ht="13.2" x14ac:dyDescent="0.25">
      <c r="A1403" s="64">
        <v>9</v>
      </c>
      <c r="B1403" s="65" t="s">
        <v>1619</v>
      </c>
      <c r="C1403" s="112"/>
      <c r="D1403" s="66"/>
      <c r="E1403" s="67"/>
      <c r="F1403" s="51">
        <f>F774</f>
        <v>0</v>
      </c>
    </row>
    <row r="1404" spans="1:6" ht="13.2" x14ac:dyDescent="0.25">
      <c r="A1404" s="64">
        <v>10</v>
      </c>
      <c r="B1404" s="65" t="s">
        <v>1604</v>
      </c>
      <c r="C1404" s="112"/>
      <c r="D1404" s="66"/>
      <c r="E1404" s="67"/>
      <c r="F1404" s="51">
        <f>F792</f>
        <v>0</v>
      </c>
    </row>
    <row r="1405" spans="1:6" ht="12.6" customHeight="1" x14ac:dyDescent="0.25">
      <c r="A1405" s="64">
        <v>11</v>
      </c>
      <c r="B1405" s="65" t="s">
        <v>1780</v>
      </c>
      <c r="C1405" s="112"/>
      <c r="D1405" s="66"/>
      <c r="E1405" s="67"/>
      <c r="F1405" s="51">
        <f>F891</f>
        <v>0</v>
      </c>
    </row>
    <row r="1406" spans="1:6" ht="13.2" x14ac:dyDescent="0.25">
      <c r="A1406" s="64">
        <v>12</v>
      </c>
      <c r="B1406" s="65" t="s">
        <v>2620</v>
      </c>
      <c r="C1406" s="112"/>
      <c r="D1406" s="66"/>
      <c r="E1406" s="67"/>
      <c r="F1406" s="51">
        <f>F919</f>
        <v>0</v>
      </c>
    </row>
    <row r="1407" spans="1:6" ht="13.2" x14ac:dyDescent="0.25">
      <c r="A1407" s="64">
        <v>13</v>
      </c>
      <c r="B1407" s="65" t="s">
        <v>1610</v>
      </c>
      <c r="C1407" s="112"/>
      <c r="D1407" s="66"/>
      <c r="E1407" s="67"/>
      <c r="F1407" s="51">
        <f>F1120</f>
        <v>0</v>
      </c>
    </row>
    <row r="1408" spans="1:6" ht="13.2" x14ac:dyDescent="0.25">
      <c r="A1408" s="64">
        <v>14</v>
      </c>
      <c r="B1408" s="65" t="s">
        <v>1493</v>
      </c>
      <c r="C1408" s="112"/>
      <c r="D1408" s="66"/>
      <c r="E1408" s="67"/>
      <c r="F1408" s="51">
        <f>F1313</f>
        <v>0</v>
      </c>
    </row>
    <row r="1409" spans="1:6" ht="13.2" x14ac:dyDescent="0.25">
      <c r="A1409" s="64">
        <v>15</v>
      </c>
      <c r="B1409" s="65" t="s">
        <v>1171</v>
      </c>
      <c r="C1409" s="112"/>
      <c r="D1409" s="66"/>
      <c r="E1409" s="67"/>
      <c r="F1409" s="51">
        <f>F1353</f>
        <v>0</v>
      </c>
    </row>
    <row r="1410" spans="1:6" ht="13.2" x14ac:dyDescent="0.25">
      <c r="A1410" s="64">
        <v>16</v>
      </c>
      <c r="B1410" s="65" t="s">
        <v>537</v>
      </c>
      <c r="C1410" s="112"/>
      <c r="D1410" s="66"/>
      <c r="E1410" s="67"/>
      <c r="F1410" s="51">
        <f>F1382</f>
        <v>0</v>
      </c>
    </row>
    <row r="1411" spans="1:6" ht="13.8" hidden="1" thickBot="1" x14ac:dyDescent="0.3">
      <c r="A1411" s="69">
        <v>17</v>
      </c>
      <c r="B1411" s="70" t="s">
        <v>2778</v>
      </c>
      <c r="C1411" s="113"/>
      <c r="D1411" s="66"/>
      <c r="E1411" s="67"/>
      <c r="F1411" s="51">
        <f>F1390</f>
        <v>0</v>
      </c>
    </row>
    <row r="1412" spans="1:6" ht="13.8" hidden="1" thickBot="1" x14ac:dyDescent="0.3">
      <c r="A1412" s="71"/>
      <c r="B1412" s="72"/>
      <c r="C1412" s="114"/>
      <c r="D1412" s="73"/>
      <c r="E1412" s="74"/>
      <c r="F1412" s="52"/>
    </row>
    <row r="1413" spans="1:6" ht="13.8" thickBot="1" x14ac:dyDescent="0.3">
      <c r="A1413" s="68">
        <v>17</v>
      </c>
      <c r="B1413" s="147" t="s">
        <v>3290</v>
      </c>
      <c r="C1413" s="141"/>
      <c r="D1413" s="142"/>
      <c r="E1413" s="143"/>
      <c r="F1413" s="144">
        <f>F1390</f>
        <v>0</v>
      </c>
    </row>
    <row r="1414" spans="1:6" ht="13.2" x14ac:dyDescent="0.25">
      <c r="A1414" s="145"/>
      <c r="B1414" s="146" t="s">
        <v>1</v>
      </c>
      <c r="C1414" s="115"/>
      <c r="D1414" s="75"/>
      <c r="E1414" s="76"/>
      <c r="F1414" s="149">
        <f>SUM(F1395:F1413)</f>
        <v>0</v>
      </c>
    </row>
    <row r="1415" spans="1:6" ht="13.2" x14ac:dyDescent="0.25">
      <c r="A1415" s="77"/>
      <c r="B1415" s="78" t="s">
        <v>147</v>
      </c>
      <c r="C1415" s="116"/>
      <c r="D1415" s="66"/>
      <c r="E1415" s="67"/>
      <c r="F1415" s="51">
        <f>F1414*0.2</f>
        <v>0</v>
      </c>
    </row>
    <row r="1416" spans="1:6" ht="29.25" customHeight="1" thickBot="1" x14ac:dyDescent="0.3">
      <c r="A1416" s="79"/>
      <c r="B1416" s="80" t="s">
        <v>2</v>
      </c>
      <c r="C1416" s="117"/>
      <c r="D1416" s="81"/>
      <c r="E1416" s="82"/>
      <c r="F1416" s="148">
        <f>F1414+F1415</f>
        <v>0</v>
      </c>
    </row>
  </sheetData>
  <sheetProtection algorithmName="SHA-512" hashValue="kOvgvHb3Arv7XgjSoY+mQLnSDXsPiEiNZQ2al+tq4wzLldM8F7cX5jCR/ZULp7pzpmhSh5NXMM2krCFXVNCGHw==" saltValue="azCaCVQ5Z8Kxp3la/Y29LA==" spinCount="100000" sheet="1" selectLockedCells="1"/>
  <autoFilter ref="A9:G1380" xr:uid="{91668289-0518-4DF7-829C-5FAACA8B0384}"/>
  <mergeCells count="4">
    <mergeCell ref="B1:F1"/>
    <mergeCell ref="C2:F2"/>
    <mergeCell ref="C3:F3"/>
    <mergeCell ref="B4:F4"/>
  </mergeCells>
  <conditionalFormatting sqref="D4:D6">
    <cfRule type="cellIs" dxfId="35" priority="178" stopIfTrue="1" operator="notEqual">
      <formula>0</formula>
    </cfRule>
  </conditionalFormatting>
  <conditionalFormatting sqref="D8 E8:E9">
    <cfRule type="cellIs" dxfId="34" priority="157" stopIfTrue="1" operator="notEqual">
      <formula>0</formula>
    </cfRule>
  </conditionalFormatting>
  <conditionalFormatting sqref="D9:D37 D39:D42 D44:D47 D49:D50 D52:D54 D56:D97 D99:D211 D213:D302 D743:D746 D748:D754">
    <cfRule type="cellIs" dxfId="33" priority="145" stopIfTrue="1" operator="notEqual">
      <formula>0</formula>
    </cfRule>
  </conditionalFormatting>
  <conditionalFormatting sqref="D304:D338">
    <cfRule type="cellIs" dxfId="32" priority="106" stopIfTrue="1" operator="notEqual">
      <formula>0</formula>
    </cfRule>
  </conditionalFormatting>
  <conditionalFormatting sqref="D340:D364">
    <cfRule type="cellIs" dxfId="31" priority="101" stopIfTrue="1" operator="notEqual">
      <formula>0</formula>
    </cfRule>
  </conditionalFormatting>
  <conditionalFormatting sqref="D366:D439">
    <cfRule type="cellIs" dxfId="30" priority="100" stopIfTrue="1" operator="notEqual">
      <formula>0</formula>
    </cfRule>
  </conditionalFormatting>
  <conditionalFormatting sqref="D445:D484">
    <cfRule type="cellIs" dxfId="29" priority="92" stopIfTrue="1" operator="notEqual">
      <formula>0</formula>
    </cfRule>
  </conditionalFormatting>
  <conditionalFormatting sqref="D486:D539">
    <cfRule type="cellIs" dxfId="28" priority="90" stopIfTrue="1" operator="notEqual">
      <formula>0</formula>
    </cfRule>
  </conditionalFormatting>
  <conditionalFormatting sqref="D541:D634">
    <cfRule type="cellIs" dxfId="27" priority="85" stopIfTrue="1" operator="notEqual">
      <formula>0</formula>
    </cfRule>
  </conditionalFormatting>
  <conditionalFormatting sqref="D636:D741">
    <cfRule type="cellIs" dxfId="26" priority="81" stopIfTrue="1" operator="notEqual">
      <formula>0</formula>
    </cfRule>
  </conditionalFormatting>
  <conditionalFormatting sqref="D756:D775">
    <cfRule type="cellIs" dxfId="25" priority="122" stopIfTrue="1" operator="notEqual">
      <formula>0</formula>
    </cfRule>
  </conditionalFormatting>
  <conditionalFormatting sqref="D777:D793">
    <cfRule type="cellIs" dxfId="24" priority="78" stopIfTrue="1" operator="notEqual">
      <formula>0</formula>
    </cfRule>
  </conditionalFormatting>
  <conditionalFormatting sqref="D795:D892">
    <cfRule type="cellIs" dxfId="23" priority="73" stopIfTrue="1" operator="notEqual">
      <formula>0</formula>
    </cfRule>
  </conditionalFormatting>
  <conditionalFormatting sqref="D894:D920">
    <cfRule type="cellIs" dxfId="22" priority="70" stopIfTrue="1" operator="notEqual">
      <formula>0</formula>
    </cfRule>
  </conditionalFormatting>
  <conditionalFormatting sqref="D922:D1121">
    <cfRule type="cellIs" dxfId="21" priority="36" stopIfTrue="1" operator="notEqual">
      <formula>0</formula>
    </cfRule>
  </conditionalFormatting>
  <conditionalFormatting sqref="D1123:D1311">
    <cfRule type="cellIs" dxfId="20" priority="5" stopIfTrue="1" operator="notEqual">
      <formula>0</formula>
    </cfRule>
  </conditionalFormatting>
  <conditionalFormatting sqref="D1317:D1354 D1356:D1380">
    <cfRule type="cellIs" dxfId="19" priority="4" stopIfTrue="1" operator="notEqual">
      <formula>0</formula>
    </cfRule>
  </conditionalFormatting>
  <conditionalFormatting sqref="D1392:D1410 D1412:D65560">
    <cfRule type="cellIs" dxfId="17" priority="160" stopIfTrue="1" operator="notEqual">
      <formula>0</formula>
    </cfRule>
  </conditionalFormatting>
  <conditionalFormatting sqref="E10:F97 E99:F211 E486:F634 E636:F754 E756:F775 E795:F892">
    <cfRule type="cellIs" dxfId="16" priority="144" stopIfTrue="1" operator="notEqual">
      <formula>0</formula>
    </cfRule>
  </conditionalFormatting>
  <conditionalFormatting sqref="E213:F302 E366:F439">
    <cfRule type="cellIs" dxfId="15" priority="135" stopIfTrue="1" operator="notEqual">
      <formula>0</formula>
    </cfRule>
  </conditionalFormatting>
  <conditionalFormatting sqref="E304:F338">
    <cfRule type="cellIs" dxfId="14" priority="150" stopIfTrue="1" operator="notEqual">
      <formula>0</formula>
    </cfRule>
  </conditionalFormatting>
  <conditionalFormatting sqref="E340:F364">
    <cfRule type="cellIs" dxfId="13" priority="147" stopIfTrue="1" operator="notEqual">
      <formula>0</formula>
    </cfRule>
  </conditionalFormatting>
  <conditionalFormatting sqref="E445:F484">
    <cfRule type="cellIs" dxfId="12" priority="142" stopIfTrue="1" operator="notEqual">
      <formula>0</formula>
    </cfRule>
  </conditionalFormatting>
  <conditionalFormatting sqref="E777:F793">
    <cfRule type="cellIs" dxfId="11" priority="154" stopIfTrue="1" operator="notEqual">
      <formula>0</formula>
    </cfRule>
  </conditionalFormatting>
  <conditionalFormatting sqref="E894:F920 E1316:F1354 E1356:F1380">
    <cfRule type="cellIs" dxfId="10" priority="158" stopIfTrue="1" operator="notEqual">
      <formula>0</formula>
    </cfRule>
  </conditionalFormatting>
  <conditionalFormatting sqref="E922:F1121">
    <cfRule type="cellIs" dxfId="9" priority="138" stopIfTrue="1" operator="notEqual">
      <formula>0</formula>
    </cfRule>
  </conditionalFormatting>
  <conditionalFormatting sqref="E1123:F1314">
    <cfRule type="cellIs" dxfId="8" priority="140" stopIfTrue="1" operator="notEqual">
      <formula>0</formula>
    </cfRule>
  </conditionalFormatting>
  <conditionalFormatting sqref="F441">
    <cfRule type="cellIs" dxfId="7" priority="143" stopIfTrue="1" operator="notEqual">
      <formula>0</formula>
    </cfRule>
  </conditionalFormatting>
  <conditionalFormatting sqref="F477:F478">
    <cfRule type="cellIs" dxfId="6" priority="149" stopIfTrue="1" operator="notEqual">
      <formula>0</formula>
    </cfRule>
  </conditionalFormatting>
  <conditionalFormatting sqref="F1382">
    <cfRule type="cellIs" dxfId="5" priority="156" stopIfTrue="1" operator="notEqual">
      <formula>0</formula>
    </cfRule>
  </conditionalFormatting>
  <conditionalFormatting sqref="H894:IV895">
    <cfRule type="cellIs" dxfId="4" priority="193" stopIfTrue="1" operator="notEqual">
      <formula>0</formula>
    </cfRule>
  </conditionalFormatting>
  <conditionalFormatting sqref="D1385:D1388">
    <cfRule type="cellIs" dxfId="2" priority="3" stopIfTrue="1" operator="notEqual">
      <formula>0</formula>
    </cfRule>
  </conditionalFormatting>
  <conditionalFormatting sqref="F1385:F1388">
    <cfRule type="cellIs" dxfId="1" priority="2" stopIfTrue="1" operator="notEqual">
      <formula>0</formula>
    </cfRule>
  </conditionalFormatting>
  <conditionalFormatting sqref="F1390">
    <cfRule type="cellIs" dxfId="0" priority="1" stopIfTrue="1" operator="notEqual">
      <formula>0</formula>
    </cfRule>
  </conditionalFormatting>
  <printOptions gridLines="1"/>
  <pageMargins left="0.78740157480314965" right="0.23622047244094491" top="0.51181102362204722" bottom="0.74803149606299213" header="0.31496062992125984" footer="0.31496062992125984"/>
  <pageSetup paperSize="9" scale="64" orientation="portrait" r:id="rId1"/>
  <headerFooter alignWithMargins="0">
    <oddFooter>&amp;R&amp;P/&amp;N</oddFooter>
  </headerFooter>
  <rowBreaks count="19" manualBreakCount="19">
    <brk id="97" max="5" man="1"/>
    <brk id="203" max="16383" man="1"/>
    <brk id="263" max="5" man="1"/>
    <brk id="293" max="16383" man="1"/>
    <brk id="329" max="16383" man="1"/>
    <brk id="355" max="16383" man="1"/>
    <brk id="435" max="5" man="1"/>
    <brk id="476" max="16383" man="1"/>
    <brk id="594" max="5" man="1"/>
    <brk id="609" max="16383" man="1"/>
    <brk id="726" max="5" man="1"/>
    <brk id="744" max="16383" man="1"/>
    <brk id="840" max="5" man="1"/>
    <brk id="868" max="16383" man="1"/>
    <brk id="954" max="5" man="1"/>
    <brk id="1069" max="16383" man="1"/>
    <brk id="1262" max="16383" man="1"/>
    <brk id="1302" max="16383" man="1"/>
    <brk id="1392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6f4e610-6d57-4469-ab9c-ced3bcf070c4">
      <Terms xmlns="http://schemas.microsoft.com/office/infopath/2007/PartnerControls"/>
    </lcf76f155ced4ddcb4097134ff3c332f>
    <TaxCatchAll xmlns="18d74a7f-e489-4891-a144-6163e5694d0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5CDEAF761AFA4AB0E0EC0364BF1684" ma:contentTypeVersion="18" ma:contentTypeDescription="Crée un document." ma:contentTypeScope="" ma:versionID="10df5690536da318ce1a3aefd093ed95">
  <xsd:schema xmlns:xsd="http://www.w3.org/2001/XMLSchema" xmlns:xs="http://www.w3.org/2001/XMLSchema" xmlns:p="http://schemas.microsoft.com/office/2006/metadata/properties" xmlns:ns2="18d74a7f-e489-4891-a144-6163e5694d06" xmlns:ns3="06f4e610-6d57-4469-ab9c-ced3bcf070c4" targetNamespace="http://schemas.microsoft.com/office/2006/metadata/properties" ma:root="true" ma:fieldsID="1c929bae5ba7807e85985e05ea542ab1" ns2:_="" ns3:_="">
    <xsd:import namespace="18d74a7f-e489-4891-a144-6163e5694d06"/>
    <xsd:import namespace="06f4e610-6d57-4469-ab9c-ced3bcf070c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OCR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d74a7f-e489-4891-a144-6163e5694d0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e3f52b36-7916-4fa4-b449-c69d7777750e}" ma:internalName="TaxCatchAll" ma:showField="CatchAllData" ma:web="18d74a7f-e489-4891-a144-6163e5694d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f4e610-6d57-4469-ab9c-ced3bcf070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544576b8-bfbf-4af1-be5b-b090daeea6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36A0D4-E340-4B01-932A-AB379ABFE8B4}">
  <ds:schemaRefs>
    <ds:schemaRef ds:uri="http://purl.org/dc/elements/1.1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06f4e610-6d57-4469-ab9c-ced3bcf070c4"/>
    <ds:schemaRef ds:uri="http://www.w3.org/XML/1998/namespace"/>
    <ds:schemaRef ds:uri="http://schemas.microsoft.com/office/infopath/2007/PartnerControls"/>
    <ds:schemaRef ds:uri="18d74a7f-e489-4891-a144-6163e5694d06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109B461-2923-4F9F-95DF-495349BF44E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E183A0-B7DA-4424-9660-52A2CCA91B6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malabrydet</vt:lpstr>
      <vt:lpstr>Cas 2</vt:lpstr>
      <vt:lpstr>'Cas 2'!Impression_des_titres</vt:lpstr>
      <vt:lpstr>'Cas 2'!Zone_d_impression</vt:lpstr>
    </vt:vector>
  </TitlesOfParts>
  <Company>Edisys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Geoffrey GRELET</dc:creator>
  <cp:lastModifiedBy>POMYKALA-DUFOUR Cécile</cp:lastModifiedBy>
  <cp:lastPrinted>2019-04-23T15:44:59Z</cp:lastPrinted>
  <dcterms:created xsi:type="dcterms:W3CDTF">2010-08-06T11:30:59Z</dcterms:created>
  <dcterms:modified xsi:type="dcterms:W3CDTF">2025-05-30T15:38:11Z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ET_Orient">
    <vt:lpwstr>portrait</vt:lpwstr>
  </property>
  <property fmtid="{D5CDD505-2E9C-101B-9397-08002B2CF9AE}" pid="3" name="EtapEnCours">
    <vt:i4>6</vt:i4>
  </property>
  <property fmtid="{D5CDD505-2E9C-101B-9397-08002B2CF9AE}" pid="4" name="DatDebT">
    <vt:lpwstr>06/08/2010 16:50:39</vt:lpwstr>
  </property>
  <property fmtid="{D5CDD505-2E9C-101B-9397-08002B2CF9AE}" pid="5" name="NomStd">
    <vt:lpwstr>malabry</vt:lpwstr>
  </property>
  <property fmtid="{D5CDD505-2E9C-101B-9397-08002B2CF9AE}" pid="6" name="MT_DET">
    <vt:lpwstr>=Qté_DET*PU_DET</vt:lpwstr>
  </property>
  <property fmtid="{D5CDD505-2E9C-101B-9397-08002B2CF9AE}" pid="7" name="NumDossier">
    <vt:lpwstr>1435646</vt:lpwstr>
  </property>
  <property fmtid="{D5CDD505-2E9C-101B-9397-08002B2CF9AE}" pid="8" name="TVA">
    <vt:lpwstr>0.196</vt:lpwstr>
  </property>
  <property fmtid="{D5CDD505-2E9C-101B-9397-08002B2CF9AE}" pid="9" name="Unit">
    <vt:bool>false</vt:bool>
  </property>
  <property fmtid="{D5CDD505-2E9C-101B-9397-08002B2CF9AE}" pid="10" name="StdVersion">
    <vt:lpwstr>3.3.7</vt:lpwstr>
  </property>
  <property fmtid="{D5CDD505-2E9C-101B-9397-08002B2CF9AE}" pid="11" name="bRecap">
    <vt:bool>false</vt:bool>
  </property>
  <property fmtid="{D5CDD505-2E9C-101B-9397-08002B2CF9AE}" pid="12" name="DET_NbPages">
    <vt:i4>138</vt:i4>
  </property>
  <property fmtid="{D5CDD505-2E9C-101B-9397-08002B2CF9AE}" pid="13" name="DET_NbGarde">
    <vt:i4>1</vt:i4>
  </property>
  <property fmtid="{D5CDD505-2E9C-101B-9397-08002B2CF9AE}" pid="14" name="BPX_Orient">
    <vt:lpwstr>portrait</vt:lpwstr>
  </property>
  <property fmtid="{D5CDD505-2E9C-101B-9397-08002B2CF9AE}" pid="15" name="BPX_NbPages">
    <vt:i4>0</vt:i4>
  </property>
  <property fmtid="{D5CDD505-2E9C-101B-9397-08002B2CF9AE}" pid="16" name="BPX_NbGarde">
    <vt:i4>0</vt:i4>
  </property>
  <property fmtid="{D5CDD505-2E9C-101B-9397-08002B2CF9AE}" pid="17" name="BPX_Type">
    <vt:i4>1</vt:i4>
  </property>
  <property fmtid="{D5CDD505-2E9C-101B-9397-08002B2CF9AE}" pid="18" name="DebutDossier">
    <vt:i4>4</vt:i4>
  </property>
  <property fmtid="{D5CDD505-2E9C-101B-9397-08002B2CF9AE}" pid="19" name="cLsiQte">
    <vt:i4>4</vt:i4>
  </property>
  <property fmtid="{D5CDD505-2E9C-101B-9397-08002B2CF9AE}" pid="20" name="cLsiPU">
    <vt:i4>5</vt:i4>
  </property>
  <property fmtid="{D5CDD505-2E9C-101B-9397-08002B2CF9AE}" pid="21" name="Déci">
    <vt:i4>2</vt:i4>
  </property>
  <property fmtid="{D5CDD505-2E9C-101B-9397-08002B2CF9AE}" pid="22" name="DDE">
    <vt:bool>false</vt:bool>
  </property>
  <property fmtid="{D5CDD505-2E9C-101B-9397-08002B2CF9AE}" pid="23" name="Romain">
    <vt:bool>false</vt:bool>
  </property>
  <property fmtid="{D5CDD505-2E9C-101B-9397-08002B2CF9AE}" pid="24" name="RecupCols">
    <vt:lpwstr>-Qté-PU-</vt:lpwstr>
  </property>
  <property fmtid="{D5CDD505-2E9C-101B-9397-08002B2CF9AE}" pid="25" name="TexteCols">
    <vt:lpwstr>-</vt:lpwstr>
  </property>
  <property fmtid="{D5CDD505-2E9C-101B-9397-08002B2CF9AE}" pid="26" name="Doublons">
    <vt:bool>false</vt:bool>
  </property>
  <property fmtid="{D5CDD505-2E9C-101B-9397-08002B2CF9AE}" pid="27" name="Liaisons">
    <vt:bool>false</vt:bool>
  </property>
  <property fmtid="{D5CDD505-2E9C-101B-9397-08002B2CF9AE}" pid="28" name="IsUpdateFiles">
    <vt:bool>true</vt:bool>
  </property>
  <property fmtid="{D5CDD505-2E9C-101B-9397-08002B2CF9AE}" pid="29" name="VisuQtte">
    <vt:lpwstr>Qté</vt:lpwstr>
  </property>
  <property fmtid="{D5CDD505-2E9C-101B-9397-08002B2CF9AE}" pid="30" name="DatFinT">
    <vt:lpwstr>09/08/2010 13:59:12</vt:lpwstr>
  </property>
  <property fmtid="{D5CDD505-2E9C-101B-9397-08002B2CF9AE}" pid="31" name="DateDebT">
    <vt:lpwstr>09/08/2010 13:59:13</vt:lpwstr>
  </property>
  <property fmtid="{D5CDD505-2E9C-101B-9397-08002B2CF9AE}" pid="32" name="DateFinT">
    <vt:lpwstr>09/08/2010 13:59:13</vt:lpwstr>
  </property>
  <property fmtid="{D5CDD505-2E9C-101B-9397-08002B2CF9AE}" pid="33" name="dateMU">
    <vt:lpwstr>1435646|09/08/2010 15:20:33|06/08/2010 17:14:33|06/08/2010 17:30:41|06/08/2010 17:58:21|09/08/2010 15:25:29|09/08/2010 13:52:39</vt:lpwstr>
  </property>
  <property fmtid="{D5CDD505-2E9C-101B-9397-08002B2CF9AE}" pid="34" name="comments">
    <vt:lpwstr>Numéro du dossier : 1435646</vt:lpwstr>
  </property>
  <property fmtid="{D5CDD505-2E9C-101B-9397-08002B2CF9AE}" pid="35" name="MailAgence">
    <vt:lpwstr>paris@edisys.eu</vt:lpwstr>
  </property>
  <property fmtid="{D5CDD505-2E9C-101B-9397-08002B2CF9AE}" pid="36" name="ContentTypeId">
    <vt:lpwstr>0x0101005B5CDEAF761AFA4AB0E0EC0364BF1684</vt:lpwstr>
  </property>
  <property fmtid="{D5CDD505-2E9C-101B-9397-08002B2CF9AE}" pid="37" name="MediaServiceImageTags">
    <vt:lpwstr/>
  </property>
</Properties>
</file>